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66925"/>
  <xr:revisionPtr revIDLastSave="0" documentId="8_{4EC0333C-6D2C-4404-87D8-F66254BE91A5}" xr6:coauthVersionLast="47" xr6:coauthVersionMax="47" xr10:uidLastSave="{00000000-0000-0000-0000-000000000000}"/>
  <bookViews>
    <workbookView xWindow="-120" yWindow="-120" windowWidth="29040" windowHeight="15840" tabRatio="751" xr2:uid="{DEC87124-C5A5-450B-A6D1-4A0CACD49B8D}"/>
  </bookViews>
  <sheets>
    <sheet name="TOC" sheetId="12" r:id="rId1"/>
    <sheet name="JDT-4 Page 1" sheetId="7" r:id="rId2"/>
    <sheet name="JDT-4 Page 2-3" sheetId="11" r:id="rId3"/>
    <sheet name="Rate Design (Consol)" sheetId="4" r:id="rId4"/>
    <sheet name="Bill Impact Detail" sheetId="6" r:id="rId5"/>
    <sheet name="G2-8 Summary" sheetId="3" r:id="rId6"/>
    <sheet name="G2-7 Summary" sheetId="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_123Graph_X" localSheetId="0" hidden="1">'[1]BUDGET CASH 2002'!#REF!</definedName>
    <definedName name="__123Graph_X" hidden="1">'[1]BUDGET CASH 2002'!#REF!</definedName>
    <definedName name="__FDS_HYPERLINK_TOGGLE_STATE__" hidden="1">"ON"</definedName>
    <definedName name="_1D_9">[2]Template!$A$1:$R$48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[3]FxdChg!#REF!</definedName>
    <definedName name="_Fill" hidden="1">[3]FxdChg!#REF!</definedName>
    <definedName name="_xlnm._FilterDatabase" localSheetId="4" hidden="1">'Bill Impact Detail'!$A$6:$BC$166</definedName>
    <definedName name="_xlnm._FilterDatabase" localSheetId="5" hidden="1">'G2-8 Summary'!$A$3:$AY$195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lloc_Factor_Name">'[4]Input-Allocators'!$B$27:$B$82</definedName>
    <definedName name="AllTables" localSheetId="0">{2}</definedName>
    <definedName name="AllTables">{2}</definedName>
    <definedName name="AS2DocOpenMode" hidden="1">"AS2DocumentEdit"</definedName>
    <definedName name="bb">[5]Main!$H$8:$S$56,[5]Main!$H$16:$S$132</definedName>
    <definedName name="Cap">'[6]2002'!$A$1:$O$101</definedName>
    <definedName name="CIQWBGuid" hidden="1">"Management Deck Worksheet Q3 2012.xlsx"</definedName>
    <definedName name="Class_Factor_Names">'[4]Input-Allocators'!$B$19:$B$24</definedName>
    <definedName name="commissionrate">'[7]Cost Savings Detail'!$F$144</definedName>
    <definedName name="Corp_Inis">'[8]Corporate Model'!$A$190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a">[13]Inputs!$B$2</definedName>
    <definedName name="Data">[14]Data!$A$1:$DY$75</definedName>
    <definedName name="DEPRBYDIST">[15]DeprCoDetail:DeprSum!$A$1:$G$36</definedName>
    <definedName name="dfdfdf" localSheetId="0" hidden="1">[3]FxdChg!#REF!</definedName>
    <definedName name="dfdfdf" hidden="1">[3]FxdChg!#REF!</definedName>
    <definedName name="ebsens">'[16]Trans Assump'!$G$56</definedName>
    <definedName name="equity">'[17]LBO Analysis'!$AB$23</definedName>
    <definedName name="euro">[18]BRKT!$C$11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hangerate">[9]DCEInputs!$I$8</definedName>
    <definedName name="fds">'[19]FRCT INPUT-CFG'!$D$41:$H$41</definedName>
    <definedName name="FileName">[20]Sheet1!$D$2</definedName>
    <definedName name="financialcase">[7]Model!$D$8</definedName>
    <definedName name="fixedmargin">[7]Model!$AA$178</definedName>
    <definedName name="Func_Factor_Name">'[4]Input-Allocators'!$B$9:$B$16</definedName>
    <definedName name="GMJanMay">'[21]FRCT INPUT-FE'!$D$41:$H$41</definedName>
    <definedName name="goodwill">[7]Model!$D$11</definedName>
    <definedName name="growth">[9]DCEInputs!$I$24</definedName>
    <definedName name="HedgeType">'[22]Financing Assumptions'!$N$12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nflation">'[7]Cost Savings Detail'!$F$143</definedName>
    <definedName name="Intref">'[17]LBO FINS'!$E$216</definedName>
    <definedName name="Intsub">'[17]LBO Analysis'!$J$10</definedName>
    <definedName name="ipocase">[7]Model!$D$41</definedName>
    <definedName name="ipoyear">[7]Model!$D$49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RM_Inis">'[8]JRM Model'!$A$191</definedName>
    <definedName name="KKR_Deal_Fee">[23]Triggers!$E$23</definedName>
    <definedName name="lbo">[24]LBOSourceUse!$D$7</definedName>
    <definedName name="LBO_MODEL">[25]TRANS!$D$10</definedName>
    <definedName name="Lcash">[26]Inputs!$P$27</definedName>
    <definedName name="Lfdshares">[26]Inputs!$P$24</definedName>
    <definedName name="Lmin">[26]Inputs!$P$29</definedName>
    <definedName name="Long_Term_Debt">[10]Inputs!$B$8</definedName>
    <definedName name="Lpref">[26]Inputs!$P$30</definedName>
    <definedName name="LTM_EBITDA">[10]Inputs!$B$21</definedName>
    <definedName name="LTM_EBITDAR">[10]Inputs!$B$20</definedName>
    <definedName name="LTM_REVENUES">[10]Inputs!$B$19</definedName>
    <definedName name="Ltotdebt">[26]Inputs!$P$28</definedName>
    <definedName name="Macro4" localSheetId="5">[27]!Macro4</definedName>
    <definedName name="Macro4">[27]!Macro4</definedName>
    <definedName name="mapping">[28]mapping!$A$2:$H$1143</definedName>
    <definedName name="margin">[7]Model!$AA$180</definedName>
    <definedName name="master">[29]conrol!$B$11</definedName>
    <definedName name="MaxChange">'[4]General Inputs'!$D$32</definedName>
    <definedName name="MEWarning" hidden="1">1</definedName>
    <definedName name="Mill">[30]MODEL!$L$22</definedName>
    <definedName name="MODEL_TYPE">[25]TRANS!$D$14</definedName>
    <definedName name="N12M_EPS">[10]Inputs!$B$14</definedName>
    <definedName name="NAME">[31]INPUT!$A$13:$B$30</definedName>
    <definedName name="newcutoff">'[12]Summary History'!$C$3</definedName>
    <definedName name="offer">'[24]Sources &amp; Uses'!$D$7</definedName>
    <definedName name="OFFER_PRICE">[32]Transinputs!$U$7</definedName>
    <definedName name="ownership">[7]Model!$C$22</definedName>
    <definedName name="PAGE4">[32]Calcs:tainted!$B$57:$L$73</definedName>
    <definedName name="pdate">[9]DCEInputs!$I$6</definedName>
    <definedName name="PIKK">'[33]Trans Assump'!$U$18</definedName>
    <definedName name="PIPELINE_INPUT">'[34]FPL Interconnect Actual'!$E$7:$P$53</definedName>
    <definedName name="pjname" localSheetId="0">{"Client Name or Project Name"}</definedName>
    <definedName name="pjname">{"Client Name or Project Name"}</definedName>
    <definedName name="pprice">[23]Triggers!$E$13</definedName>
    <definedName name="Preferred_Stock">[10]Inputs!$B$7</definedName>
    <definedName name="premium">[32]Transinputs!$U$13</definedName>
    <definedName name="pricecase">[26]Buildup!$Z$374</definedName>
    <definedName name="Print_HardRock" localSheetId="5">[35]!Print_HardRock</definedName>
    <definedName name="Print_HardRock">[35]!Print_HardRock</definedName>
    <definedName name="Print_Valmax" localSheetId="5">[36]!Print_Valmax</definedName>
    <definedName name="Print_Valmax">[36]!Print_Valmax</definedName>
    <definedName name="project">[24]Inputs!$D$5</definedName>
    <definedName name="Project_Name">[10]Inputs!$E$1</definedName>
    <definedName name="ProjectName" localSheetId="0">{"Client Name or Project Name"}</definedName>
    <definedName name="ProjectName">{"Client Name or Project Name"}</definedName>
    <definedName name="PROJNAME">'[37]Transaction Inputs'!$E$15</definedName>
    <definedName name="pur">[13]Snow_recap!$R$9</definedName>
    <definedName name="RAS" localSheetId="0" hidden="1">[38]FxdChg!#REF!</definedName>
    <definedName name="RAS" hidden="1">[38]FxdChg!#REF!</definedName>
    <definedName name="relever">[39]Controls!$E$8</definedName>
    <definedName name="rhtprice">[40]Overview!$D$8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R_System">'[4]General Inputs'!$D$19</definedName>
    <definedName name="secondary1">[7]Model!$D$56</definedName>
    <definedName name="secondary2">[7]Model!$D$59</definedName>
    <definedName name="secondary3">[7]Model!$D$62</definedName>
    <definedName name="secondarydiscount">[7]Model!$D$50</definedName>
    <definedName name="secondarymultiple">[7]Model!$D$51</definedName>
    <definedName name="secondarytiming">[7]Model!$D$45</definedName>
    <definedName name="sellerfinancerate">[7]Model!$I$8</definedName>
    <definedName name="SENSEPOOL">[32]Calcs:Summary!$M$34:$AI$122</definedName>
    <definedName name="shares">[41]DCEInputs!$M$13</definedName>
    <definedName name="Shares_Outstanding">[10]Inputs!$B$5</definedName>
    <definedName name="Short_Term_Debt">[10]Inputs!$B$9</definedName>
    <definedName name="srecap">[23]Triggers!$E$21</definedName>
    <definedName name="Summ">'[42]DEL-updated'!$A$11:$T$372</definedName>
    <definedName name="switch">[13]conrol!$B$16</definedName>
    <definedName name="t1book">'[37]Target 1'!$W$26</definedName>
    <definedName name="t1cash">'[37]Target 1'!$W$8</definedName>
    <definedName name="t1debt">'[37]Target 1'!$W$22</definedName>
    <definedName name="t1ebitda">'[37]Target 1'!$G$25</definedName>
    <definedName name="T1RENTS">'[37]Target 1'!$G$23</definedName>
    <definedName name="t1revs">'[37]Target 1'!$G$20</definedName>
    <definedName name="t1shares">'[37]Share Calculations'!$K$29</definedName>
    <definedName name="targ1fy97">'[37]Target 1'!$E$11</definedName>
    <definedName name="targ1fy98">'[37]Target 1'!$E$11</definedName>
    <definedName name="targ1price">'[37]Transaction Calculations'!$I$22</definedName>
    <definedName name="targ1shares">'[37]Transaction Calculations'!$I$29</definedName>
    <definedName name="Targ52High">[43]Input!$K$63</definedName>
    <definedName name="Targ52Low">[43]Input!$K$64</definedName>
    <definedName name="TargCalEPS1">[43]Input!$K$68</definedName>
    <definedName name="TargCalEPS2">[43]Input!$K$69</definedName>
    <definedName name="TargCalEPS3">[43]Input!$K$70</definedName>
    <definedName name="TargEBITDA">[43]Input!$K$47</definedName>
    <definedName name="Target1">'[37]Transaction Inputs'!$E$19</definedName>
    <definedName name="TargetDebt">[43]Input!$K$54</definedName>
    <definedName name="tbl" localSheetId="0">{2}</definedName>
    <definedName name="tbl">{2}</definedName>
    <definedName name="ticker">'[9]SumComp-Nortel'!$D$1</definedName>
    <definedName name="timepeiece">[43]Input!$E$9</definedName>
    <definedName name="Title">[44]Cases!$A$4</definedName>
    <definedName name="TOTAL_ACQ">'[45]Units Sold Data'!$B$123:$J$123</definedName>
    <definedName name="TOTAL_AUS">'[45]Units Sold Data'!$B$69:$J$69</definedName>
    <definedName name="TOTAL_CAN">'[45]Units Sold Data'!$B$87:$J$87</definedName>
    <definedName name="TOTAL_FM">'[46]Total Products - FM'!$B$17:$J$17</definedName>
    <definedName name="TOTAL_NAT_L">'[45]Units Sold Data'!$B$105:$J$105</definedName>
    <definedName name="TOTAL_UK">'[45]Units Sold Data'!$B$51:$J$51</definedName>
    <definedName name="TOTAL_US">'[45]Units Sold Data'!$B$33:$J$33</definedName>
    <definedName name="TOTALCustomerSheets">OFFSET('[4]Required Sheets'!$I$24:$I$35,,,12-COUNTBLANK('[4]Required Sheets'!$I$24:$I$35))</definedName>
    <definedName name="TOTALDemandSheets">OFFSET('[4]Required Sheets'!$G$24:$G$35,,,12-COUNTBLANK('[4]Required Sheets'!$G$24:$G$35))</definedName>
    <definedName name="TOTALECSheets">OFFSET('[4]Required Sheets'!$H$24:$H$35,,,12-COUNTBLANK('[4]Required Sheets'!$H$24:$H$35))</definedName>
    <definedName name="units">[29]conrol!$C$8</definedName>
    <definedName name="Useful_Life_of_Depreciable_PP_E">"PPElife"</definedName>
    <definedName name="usprice">[9]DCEInputs!$I$5</definedName>
    <definedName name="wrn.IPO._.Valuation." localSheetId="0" hidden="1">{"assumptions",#N/A,FALSE,"Scenario 1";"valuation",#N/A,FALSE,"Scenario 1"}</definedName>
    <definedName name="wrn.IPO._.Valuation." hidden="1">{"assumptions",#N/A,FALSE,"Scenario 1";"valuation",#N/A,FALSE,"Scenario 1"}</definedName>
    <definedName name="wrn.LBO._.Summary." localSheetId="0" hidden="1">{"LBO Summary",#N/A,FALSE,"Summary"}</definedName>
    <definedName name="wrn.LBO._.Summary." hidden="1">{"LBO Summary",#N/A,FALSE,"Summary"}</definedName>
    <definedName name="wrn.Print._.All._.Pages.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z_Col10">[5]Main!$P$5:$P$56,[5]Main!$P$16:$P$132,[5]Main!$P$145:$P$199,[5]Main!$P$213:$P$234</definedName>
    <definedName name="z_Col11">[5]Main!$P$5:$P$56,[5]Main!$P$16:$P$132,[5]Main!$P$145:$P$199,[5]Main!$P$213:$P$234</definedName>
    <definedName name="z_Col12">[5]Main!$P$5:$P$56,[5]Main!$P$16:$P$132,[5]Main!$P$145:$P$199,[5]Main!$P$213:$P$234</definedName>
    <definedName name="z_Col13">[5]Main!$P$5:$P$56,[5]Main!$P$16:$P$132,[5]Main!$P$145:$P$199,[5]Main!$P$213:$P$234</definedName>
    <definedName name="z_Col14">[5]Main!$P$5:$P$56,[5]Main!$P$16:$P$132,[5]Main!$P$145:$P$199,[5]Main!$P$213:$P$234</definedName>
    <definedName name="z_Col5">[5]Main!$J$5:$O$56,[5]Main!$J$16:$O$132,[5]Main!$J$145:$O$199,[5]Main!$J$213:$O$234</definedName>
    <definedName name="z_Col6">[5]Main!$N$4:$O$56,[5]Main!$N$16:$O$132,[5]Main!$N$145:$O$199,[5]Main!$N$213:$O$234</definedName>
    <definedName name="z_Col7" localSheetId="0">[5]Main!#REF!,[5]Main!#REF!,[5]Main!#REF!,[5]Main!#REF!</definedName>
    <definedName name="z_Col7">[5]Main!#REF!,[5]Main!#REF!,[5]Main!#REF!,[5]Main!#REF!</definedName>
    <definedName name="z_Col9">[5]Main!$P$5:$P$56,[5]Main!$P$16:$P$132,[5]Main!$P$145:$P$199,[5]Main!$P$213:$P$234</definedName>
    <definedName name="z_Printarea">[5]Main!$H$8:$S$56,[5]Main!$H$16:$S$132</definedName>
  </definedNames>
  <calcPr calcId="191028" calcOnSave="0"/>
  <pivotCaches>
    <pivotCache cacheId="0" r:id="rId54"/>
    <pivotCache cacheId="1" r:id="rId5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2" l="1"/>
  <c r="A8" i="12" s="1"/>
  <c r="A9" i="12" s="1"/>
  <c r="A10" i="12" s="1"/>
  <c r="A11" i="12" s="1"/>
  <c r="AI12" i="4"/>
  <c r="AG8" i="4"/>
  <c r="AM208" i="3" l="1"/>
  <c r="AM207" i="3"/>
  <c r="AM206" i="3"/>
  <c r="AM205" i="3"/>
  <c r="AM200" i="3"/>
  <c r="AF200" i="3"/>
  <c r="AM199" i="3"/>
  <c r="AF199" i="3"/>
  <c r="AM198" i="3"/>
  <c r="AF198" i="3"/>
  <c r="AM197" i="3"/>
  <c r="AF197" i="3"/>
  <c r="I19" i="3"/>
  <c r="I18" i="3"/>
  <c r="I16" i="3"/>
  <c r="I15" i="3"/>
  <c r="I137" i="3"/>
  <c r="I136" i="3"/>
  <c r="AM201" i="3" l="1"/>
  <c r="AF201" i="3"/>
  <c r="AM209" i="3"/>
  <c r="AS163" i="3"/>
  <c r="AM163" i="3" l="1"/>
  <c r="AM193" i="3" s="1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N165" i="3"/>
  <c r="AN166" i="3"/>
  <c r="AN167" i="3"/>
  <c r="AN168" i="3"/>
  <c r="AN169" i="3"/>
  <c r="AN170" i="3"/>
  <c r="AN171" i="3"/>
  <c r="AN172" i="3"/>
  <c r="AN173" i="3"/>
  <c r="AN174" i="3"/>
  <c r="AN175" i="3"/>
  <c r="AN176" i="3"/>
  <c r="AN177" i="3"/>
  <c r="AN178" i="3"/>
  <c r="AN179" i="3"/>
  <c r="AN180" i="3"/>
  <c r="AN181" i="3"/>
  <c r="AN182" i="3"/>
  <c r="AN183" i="3"/>
  <c r="AN184" i="3"/>
  <c r="AN185" i="3"/>
  <c r="AN186" i="3"/>
  <c r="AN187" i="3"/>
  <c r="AN188" i="3"/>
  <c r="AN189" i="3"/>
  <c r="AN190" i="3"/>
  <c r="AN191" i="3"/>
  <c r="AN192" i="3"/>
  <c r="J85" i="6" l="1"/>
  <c r="H85" i="6"/>
  <c r="K85" i="6" s="1"/>
  <c r="F85" i="6"/>
  <c r="Q19" i="3"/>
  <c r="G19" i="3"/>
  <c r="E19" i="3"/>
  <c r="J62" i="6"/>
  <c r="J63" i="6"/>
  <c r="J81" i="6"/>
  <c r="J82" i="6"/>
  <c r="J84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7" i="6"/>
  <c r="H62" i="6"/>
  <c r="P62" i="6" s="1"/>
  <c r="AJ62" i="6" s="1"/>
  <c r="H63" i="6"/>
  <c r="K63" i="6" s="1"/>
  <c r="H81" i="6"/>
  <c r="H82" i="6"/>
  <c r="H84" i="6"/>
  <c r="K84" i="6" s="1"/>
  <c r="I165" i="6"/>
  <c r="H165" i="6" s="1"/>
  <c r="I164" i="6"/>
  <c r="J164" i="6" s="1"/>
  <c r="I163" i="6"/>
  <c r="H163" i="6" s="1"/>
  <c r="I162" i="6"/>
  <c r="H162" i="6" s="1"/>
  <c r="I161" i="6"/>
  <c r="H161" i="6" s="1"/>
  <c r="I160" i="6"/>
  <c r="H160" i="6" s="1"/>
  <c r="I159" i="6"/>
  <c r="H159" i="6" s="1"/>
  <c r="K159" i="6" s="1"/>
  <c r="I158" i="6"/>
  <c r="H158" i="6" s="1"/>
  <c r="I157" i="6"/>
  <c r="H157" i="6" s="1"/>
  <c r="I156" i="6"/>
  <c r="J156" i="6" s="1"/>
  <c r="I155" i="6"/>
  <c r="H155" i="6" s="1"/>
  <c r="I154" i="6"/>
  <c r="J154" i="6" s="1"/>
  <c r="I153" i="6"/>
  <c r="H153" i="6" s="1"/>
  <c r="I152" i="6"/>
  <c r="H152" i="6" s="1"/>
  <c r="I151" i="6"/>
  <c r="H151" i="6" s="1"/>
  <c r="K151" i="6" s="1"/>
  <c r="I150" i="6"/>
  <c r="H150" i="6" s="1"/>
  <c r="I149" i="6"/>
  <c r="H149" i="6" s="1"/>
  <c r="I148" i="6"/>
  <c r="J148" i="6" s="1"/>
  <c r="I147" i="6"/>
  <c r="H147" i="6" s="1"/>
  <c r="I146" i="6"/>
  <c r="H146" i="6" s="1"/>
  <c r="I145" i="6"/>
  <c r="J145" i="6" s="1"/>
  <c r="I144" i="6"/>
  <c r="H144" i="6" s="1"/>
  <c r="P144" i="6" s="1"/>
  <c r="AJ144" i="6" s="1"/>
  <c r="I143" i="6"/>
  <c r="J143" i="6" s="1"/>
  <c r="I142" i="6"/>
  <c r="H142" i="6" s="1"/>
  <c r="I141" i="6"/>
  <c r="H141" i="6" s="1"/>
  <c r="I140" i="6"/>
  <c r="J140" i="6" s="1"/>
  <c r="I139" i="6"/>
  <c r="H139" i="6" s="1"/>
  <c r="I138" i="6"/>
  <c r="J138" i="6" s="1"/>
  <c r="I137" i="6"/>
  <c r="H137" i="6" s="1"/>
  <c r="P137" i="6" s="1"/>
  <c r="AJ137" i="6" s="1"/>
  <c r="I136" i="6"/>
  <c r="H136" i="6" s="1"/>
  <c r="P136" i="6" s="1"/>
  <c r="AJ136" i="6" s="1"/>
  <c r="I135" i="6"/>
  <c r="J135" i="6" s="1"/>
  <c r="I134" i="6"/>
  <c r="H134" i="6" s="1"/>
  <c r="I133" i="6"/>
  <c r="H133" i="6" s="1"/>
  <c r="I132" i="6"/>
  <c r="H132" i="6" s="1"/>
  <c r="I131" i="6"/>
  <c r="H131" i="6" s="1"/>
  <c r="I130" i="6"/>
  <c r="H130" i="6" s="1"/>
  <c r="I129" i="6"/>
  <c r="J129" i="6" s="1"/>
  <c r="I128" i="6"/>
  <c r="H128" i="6" s="1"/>
  <c r="K128" i="6" s="1"/>
  <c r="I127" i="6"/>
  <c r="J127" i="6" s="1"/>
  <c r="I126" i="6"/>
  <c r="H126" i="6" s="1"/>
  <c r="I125" i="6"/>
  <c r="H125" i="6" s="1"/>
  <c r="I124" i="6"/>
  <c r="J124" i="6" s="1"/>
  <c r="I123" i="6"/>
  <c r="H123" i="6" s="1"/>
  <c r="I122" i="6"/>
  <c r="J122" i="6" s="1"/>
  <c r="I121" i="6"/>
  <c r="H121" i="6" s="1"/>
  <c r="K121" i="6" s="1"/>
  <c r="I120" i="6"/>
  <c r="H120" i="6" s="1"/>
  <c r="P120" i="6" s="1"/>
  <c r="AJ120" i="6" s="1"/>
  <c r="I119" i="6"/>
  <c r="H119" i="6" s="1"/>
  <c r="P119" i="6" s="1"/>
  <c r="AJ119" i="6" s="1"/>
  <c r="I118" i="6"/>
  <c r="H118" i="6" s="1"/>
  <c r="I117" i="6"/>
  <c r="H117" i="6" s="1"/>
  <c r="I116" i="6"/>
  <c r="J116" i="6" s="1"/>
  <c r="I115" i="6"/>
  <c r="H115" i="6" s="1"/>
  <c r="I114" i="6"/>
  <c r="H114" i="6" s="1"/>
  <c r="I113" i="6"/>
  <c r="H113" i="6" s="1"/>
  <c r="K113" i="6" s="1"/>
  <c r="I112" i="6"/>
  <c r="H112" i="6" s="1"/>
  <c r="P112" i="6" s="1"/>
  <c r="AJ112" i="6" s="1"/>
  <c r="I111" i="6"/>
  <c r="J111" i="6" s="1"/>
  <c r="I110" i="6"/>
  <c r="H110" i="6" s="1"/>
  <c r="I109" i="6"/>
  <c r="H109" i="6" s="1"/>
  <c r="I108" i="6"/>
  <c r="J108" i="6" s="1"/>
  <c r="I107" i="6"/>
  <c r="H107" i="6" s="1"/>
  <c r="I106" i="6"/>
  <c r="J106" i="6" s="1"/>
  <c r="I105" i="6"/>
  <c r="H105" i="6" s="1"/>
  <c r="I104" i="6"/>
  <c r="H104" i="6" s="1"/>
  <c r="K104" i="6" s="1"/>
  <c r="I103" i="6"/>
  <c r="J103" i="6" s="1"/>
  <c r="I102" i="6"/>
  <c r="H102" i="6" s="1"/>
  <c r="I101" i="6"/>
  <c r="H101" i="6" s="1"/>
  <c r="I100" i="6"/>
  <c r="J100" i="6" s="1"/>
  <c r="I99" i="6"/>
  <c r="H99" i="6" s="1"/>
  <c r="I98" i="6"/>
  <c r="H98" i="6" s="1"/>
  <c r="I97" i="6"/>
  <c r="H97" i="6" s="1"/>
  <c r="K97" i="6" s="1"/>
  <c r="I96" i="6"/>
  <c r="H96" i="6" s="1"/>
  <c r="I95" i="6"/>
  <c r="H95" i="6" s="1"/>
  <c r="I94" i="6"/>
  <c r="H94" i="6" s="1"/>
  <c r="I93" i="6"/>
  <c r="H93" i="6" s="1"/>
  <c r="I92" i="6"/>
  <c r="H92" i="6" s="1"/>
  <c r="I91" i="6"/>
  <c r="H91" i="6" s="1"/>
  <c r="K91" i="6" s="1"/>
  <c r="I90" i="6"/>
  <c r="H90" i="6" s="1"/>
  <c r="I89" i="6"/>
  <c r="H89" i="6" s="1"/>
  <c r="K89" i="6" s="1"/>
  <c r="I88" i="6"/>
  <c r="H88" i="6" s="1"/>
  <c r="I87" i="6"/>
  <c r="H87" i="6" s="1"/>
  <c r="I86" i="6"/>
  <c r="H86" i="6" s="1"/>
  <c r="I83" i="6"/>
  <c r="J83" i="6" s="1"/>
  <c r="I80" i="6"/>
  <c r="J80" i="6" s="1"/>
  <c r="I79" i="6"/>
  <c r="H79" i="6" s="1"/>
  <c r="K79" i="6" s="1"/>
  <c r="I78" i="6"/>
  <c r="H78" i="6" s="1"/>
  <c r="I77" i="6"/>
  <c r="H77" i="6" s="1"/>
  <c r="I76" i="6"/>
  <c r="H76" i="6" s="1"/>
  <c r="I75" i="6"/>
  <c r="H75" i="6" s="1"/>
  <c r="I74" i="6"/>
  <c r="H74" i="6" s="1"/>
  <c r="I73" i="6"/>
  <c r="J73" i="6" s="1"/>
  <c r="I72" i="6"/>
  <c r="J72" i="6" s="1"/>
  <c r="I71" i="6"/>
  <c r="H71" i="6" s="1"/>
  <c r="K71" i="6" s="1"/>
  <c r="I70" i="6"/>
  <c r="H70" i="6" s="1"/>
  <c r="I69" i="6"/>
  <c r="H69" i="6" s="1"/>
  <c r="I68" i="6"/>
  <c r="H68" i="6" s="1"/>
  <c r="I67" i="6"/>
  <c r="J67" i="6" s="1"/>
  <c r="I66" i="6"/>
  <c r="H66" i="6" s="1"/>
  <c r="I65" i="6"/>
  <c r="J65" i="6" s="1"/>
  <c r="I64" i="6"/>
  <c r="J64" i="6" s="1"/>
  <c r="I61" i="6"/>
  <c r="H61" i="6" s="1"/>
  <c r="I60" i="6"/>
  <c r="H60" i="6" s="1"/>
  <c r="I59" i="6"/>
  <c r="H59" i="6" s="1"/>
  <c r="I58" i="6"/>
  <c r="H58" i="6" s="1"/>
  <c r="I57" i="6"/>
  <c r="H57" i="6" s="1"/>
  <c r="I56" i="6"/>
  <c r="J56" i="6" s="1"/>
  <c r="I55" i="6"/>
  <c r="H55" i="6" s="1"/>
  <c r="I54" i="6"/>
  <c r="H54" i="6" s="1"/>
  <c r="I53" i="6"/>
  <c r="H53" i="6" s="1"/>
  <c r="I52" i="6"/>
  <c r="H52" i="6" s="1"/>
  <c r="I51" i="6"/>
  <c r="J51" i="6" s="1"/>
  <c r="I50" i="6"/>
  <c r="H50" i="6" s="1"/>
  <c r="I49" i="6"/>
  <c r="J49" i="6" s="1"/>
  <c r="I48" i="6"/>
  <c r="J48" i="6" s="1"/>
  <c r="I47" i="6"/>
  <c r="H47" i="6" s="1"/>
  <c r="I46" i="6"/>
  <c r="H46" i="6" s="1"/>
  <c r="I45" i="6"/>
  <c r="H45" i="6" s="1"/>
  <c r="I44" i="6"/>
  <c r="H44" i="6" s="1"/>
  <c r="I43" i="6"/>
  <c r="J43" i="6" s="1"/>
  <c r="I42" i="6"/>
  <c r="H42" i="6" s="1"/>
  <c r="I41" i="6"/>
  <c r="J41" i="6" s="1"/>
  <c r="I40" i="6"/>
  <c r="J40" i="6" s="1"/>
  <c r="I39" i="6"/>
  <c r="H39" i="6" s="1"/>
  <c r="I38" i="6"/>
  <c r="H38" i="6" s="1"/>
  <c r="I37" i="6"/>
  <c r="H37" i="6" s="1"/>
  <c r="I36" i="6"/>
  <c r="H36" i="6" s="1"/>
  <c r="I35" i="6"/>
  <c r="H35" i="6" s="1"/>
  <c r="I34" i="6"/>
  <c r="H34" i="6" s="1"/>
  <c r="I33" i="6"/>
  <c r="H33" i="6" s="1"/>
  <c r="I32" i="6"/>
  <c r="J32" i="6" s="1"/>
  <c r="I31" i="6"/>
  <c r="H31" i="6" s="1"/>
  <c r="P31" i="6" s="1"/>
  <c r="AJ31" i="6" s="1"/>
  <c r="I30" i="6"/>
  <c r="H30" i="6" s="1"/>
  <c r="I29" i="6"/>
  <c r="H29" i="6" s="1"/>
  <c r="I28" i="6"/>
  <c r="H28" i="6" s="1"/>
  <c r="I27" i="6"/>
  <c r="J27" i="6" s="1"/>
  <c r="I26" i="6"/>
  <c r="H26" i="6" s="1"/>
  <c r="K26" i="6" s="1"/>
  <c r="I25" i="6"/>
  <c r="J25" i="6" s="1"/>
  <c r="I24" i="6"/>
  <c r="J24" i="6" s="1"/>
  <c r="I23" i="6"/>
  <c r="H23" i="6" s="1"/>
  <c r="K23" i="6" s="1"/>
  <c r="I22" i="6"/>
  <c r="H22" i="6" s="1"/>
  <c r="K22" i="6" s="1"/>
  <c r="I21" i="6"/>
  <c r="H21" i="6" s="1"/>
  <c r="K21" i="6" s="1"/>
  <c r="I20" i="6"/>
  <c r="H20" i="6" s="1"/>
  <c r="K20" i="6" s="1"/>
  <c r="I19" i="6"/>
  <c r="J19" i="6" s="1"/>
  <c r="I18" i="6"/>
  <c r="H18" i="6" s="1"/>
  <c r="K18" i="6" s="1"/>
  <c r="I17" i="6"/>
  <c r="J17" i="6" s="1"/>
  <c r="I16" i="6"/>
  <c r="H16" i="6" s="1"/>
  <c r="K16" i="6" s="1"/>
  <c r="I15" i="6"/>
  <c r="H15" i="6" s="1"/>
  <c r="K15" i="6" s="1"/>
  <c r="I14" i="6"/>
  <c r="H14" i="6" s="1"/>
  <c r="K14" i="6" s="1"/>
  <c r="I13" i="6"/>
  <c r="H13" i="6" s="1"/>
  <c r="K13" i="6" s="1"/>
  <c r="I12" i="6"/>
  <c r="H12" i="6" s="1"/>
  <c r="K12" i="6" s="1"/>
  <c r="I11" i="6"/>
  <c r="H11" i="6" s="1"/>
  <c r="K11" i="6" s="1"/>
  <c r="I10" i="6"/>
  <c r="H10" i="6" s="1"/>
  <c r="K10" i="6" s="1"/>
  <c r="I9" i="6"/>
  <c r="H9" i="6" s="1"/>
  <c r="K9" i="6" s="1"/>
  <c r="I8" i="6"/>
  <c r="H8" i="6" s="1"/>
  <c r="K8" i="6" s="1"/>
  <c r="I7" i="6"/>
  <c r="H7" i="6" s="1"/>
  <c r="K7" i="6" s="1"/>
  <c r="P19" i="3" l="1"/>
  <c r="O19" i="3" s="1"/>
  <c r="J19" i="3"/>
  <c r="AN19" i="3"/>
  <c r="H156" i="6"/>
  <c r="H138" i="6"/>
  <c r="H124" i="6"/>
  <c r="P85" i="6"/>
  <c r="AJ85" i="6" s="1"/>
  <c r="H103" i="6"/>
  <c r="K103" i="6" s="1"/>
  <c r="J137" i="6"/>
  <c r="J89" i="6"/>
  <c r="H135" i="6"/>
  <c r="P135" i="6" s="1"/>
  <c r="AJ135" i="6" s="1"/>
  <c r="H100" i="6"/>
  <c r="P100" i="6" s="1"/>
  <c r="AJ100" i="6" s="1"/>
  <c r="J136" i="6"/>
  <c r="H129" i="6"/>
  <c r="K129" i="6" s="1"/>
  <c r="H51" i="6"/>
  <c r="K51" i="6" s="1"/>
  <c r="J161" i="6"/>
  <c r="J54" i="6"/>
  <c r="H164" i="6"/>
  <c r="P164" i="6" s="1"/>
  <c r="AJ164" i="6" s="1"/>
  <c r="H127" i="6"/>
  <c r="K127" i="6" s="1"/>
  <c r="H49" i="6"/>
  <c r="P49" i="6" s="1"/>
  <c r="AJ49" i="6" s="1"/>
  <c r="J160" i="6"/>
  <c r="J128" i="6"/>
  <c r="J46" i="6"/>
  <c r="H32" i="6"/>
  <c r="P32" i="6" s="1"/>
  <c r="AJ32" i="6" s="1"/>
  <c r="J153" i="6"/>
  <c r="J121" i="6"/>
  <c r="J79" i="6"/>
  <c r="J38" i="6"/>
  <c r="H148" i="6"/>
  <c r="H116" i="6"/>
  <c r="P116" i="6" s="1"/>
  <c r="AJ116" i="6" s="1"/>
  <c r="H27" i="6"/>
  <c r="P27" i="6" s="1"/>
  <c r="AJ27" i="6" s="1"/>
  <c r="J152" i="6"/>
  <c r="J113" i="6"/>
  <c r="J78" i="6"/>
  <c r="J30" i="6"/>
  <c r="H145" i="6"/>
  <c r="K145" i="6" s="1"/>
  <c r="H111" i="6"/>
  <c r="P111" i="6" s="1"/>
  <c r="AJ111" i="6" s="1"/>
  <c r="H80" i="6"/>
  <c r="P80" i="6" s="1"/>
  <c r="AJ80" i="6" s="1"/>
  <c r="J105" i="6"/>
  <c r="J71" i="6"/>
  <c r="J22" i="6"/>
  <c r="H140" i="6"/>
  <c r="K140" i="6" s="1"/>
  <c r="H108" i="6"/>
  <c r="H67" i="6"/>
  <c r="P67" i="6" s="1"/>
  <c r="AJ67" i="6" s="1"/>
  <c r="J144" i="6"/>
  <c r="J97" i="6"/>
  <c r="J70" i="6"/>
  <c r="J14" i="6"/>
  <c r="J55" i="6"/>
  <c r="J31" i="6"/>
  <c r="J120" i="6"/>
  <c r="J112" i="6"/>
  <c r="J104" i="6"/>
  <c r="J96" i="6"/>
  <c r="J88" i="6"/>
  <c r="H143" i="6"/>
  <c r="P143" i="6" s="1"/>
  <c r="AJ143" i="6" s="1"/>
  <c r="H106" i="6"/>
  <c r="P106" i="6" s="1"/>
  <c r="AJ106" i="6" s="1"/>
  <c r="H64" i="6"/>
  <c r="P64" i="6" s="1"/>
  <c r="AJ64" i="6" s="1"/>
  <c r="H48" i="6"/>
  <c r="H25" i="6"/>
  <c r="K25" i="6" s="1"/>
  <c r="J159" i="6"/>
  <c r="J151" i="6"/>
  <c r="J119" i="6"/>
  <c r="J95" i="6"/>
  <c r="J87" i="6"/>
  <c r="J77" i="6"/>
  <c r="J69" i="6"/>
  <c r="J61" i="6"/>
  <c r="J53" i="6"/>
  <c r="J45" i="6"/>
  <c r="J37" i="6"/>
  <c r="J29" i="6"/>
  <c r="J21" i="6"/>
  <c r="J13" i="6"/>
  <c r="J23" i="6"/>
  <c r="H65" i="6"/>
  <c r="P65" i="6" s="1"/>
  <c r="AJ65" i="6" s="1"/>
  <c r="H122" i="6"/>
  <c r="K122" i="6" s="1"/>
  <c r="H43" i="6"/>
  <c r="P43" i="6" s="1"/>
  <c r="AJ43" i="6" s="1"/>
  <c r="H24" i="6"/>
  <c r="K24" i="6" s="1"/>
  <c r="J158" i="6"/>
  <c r="J150" i="6"/>
  <c r="J142" i="6"/>
  <c r="J134" i="6"/>
  <c r="J126" i="6"/>
  <c r="J118" i="6"/>
  <c r="J110" i="6"/>
  <c r="J102" i="6"/>
  <c r="J94" i="6"/>
  <c r="J86" i="6"/>
  <c r="J76" i="6"/>
  <c r="J68" i="6"/>
  <c r="J60" i="6"/>
  <c r="J52" i="6"/>
  <c r="J44" i="6"/>
  <c r="J36" i="6"/>
  <c r="J28" i="6"/>
  <c r="J20" i="6"/>
  <c r="J12" i="6"/>
  <c r="J15" i="6"/>
  <c r="H41" i="6"/>
  <c r="P41" i="6" s="1"/>
  <c r="AJ41" i="6" s="1"/>
  <c r="H19" i="6"/>
  <c r="K19" i="6" s="1"/>
  <c r="J165" i="6"/>
  <c r="J157" i="6"/>
  <c r="J149" i="6"/>
  <c r="J141" i="6"/>
  <c r="J133" i="6"/>
  <c r="J125" i="6"/>
  <c r="J117" i="6"/>
  <c r="J109" i="6"/>
  <c r="J101" i="6"/>
  <c r="J93" i="6"/>
  <c r="J75" i="6"/>
  <c r="J59" i="6"/>
  <c r="J35" i="6"/>
  <c r="J11" i="6"/>
  <c r="J47" i="6"/>
  <c r="J39" i="6"/>
  <c r="H154" i="6"/>
  <c r="K154" i="6" s="1"/>
  <c r="H40" i="6"/>
  <c r="P40" i="6" s="1"/>
  <c r="AJ40" i="6" s="1"/>
  <c r="H17" i="6"/>
  <c r="K17" i="6" s="1"/>
  <c r="J132" i="6"/>
  <c r="J92" i="6"/>
  <c r="J74" i="6"/>
  <c r="J66" i="6"/>
  <c r="J58" i="6"/>
  <c r="J50" i="6"/>
  <c r="J42" i="6"/>
  <c r="J34" i="6"/>
  <c r="J26" i="6"/>
  <c r="J18" i="6"/>
  <c r="J10" i="6"/>
  <c r="H73" i="6"/>
  <c r="P73" i="6" s="1"/>
  <c r="AJ73" i="6" s="1"/>
  <c r="J163" i="6"/>
  <c r="J155" i="6"/>
  <c r="J147" i="6"/>
  <c r="J139" i="6"/>
  <c r="J131" i="6"/>
  <c r="J123" i="6"/>
  <c r="J115" i="6"/>
  <c r="J107" i="6"/>
  <c r="J99" i="6"/>
  <c r="J91" i="6"/>
  <c r="J57" i="6"/>
  <c r="J33" i="6"/>
  <c r="J9" i="6"/>
  <c r="H72" i="6"/>
  <c r="K72" i="6" s="1"/>
  <c r="H56" i="6"/>
  <c r="P56" i="6" s="1"/>
  <c r="AJ56" i="6" s="1"/>
  <c r="J162" i="6"/>
  <c r="J146" i="6"/>
  <c r="J130" i="6"/>
  <c r="J114" i="6"/>
  <c r="J98" i="6"/>
  <c r="J90" i="6"/>
  <c r="J16" i="6"/>
  <c r="J8" i="6"/>
  <c r="N19" i="3"/>
  <c r="AD19" i="3"/>
  <c r="H83" i="6"/>
  <c r="P83" i="6" s="1"/>
  <c r="AJ83" i="6" s="1"/>
  <c r="J7" i="6"/>
  <c r="P113" i="6"/>
  <c r="AJ113" i="6" s="1"/>
  <c r="P114" i="6"/>
  <c r="AJ114" i="6" s="1"/>
  <c r="K114" i="6"/>
  <c r="P98" i="6"/>
  <c r="AJ98" i="6" s="1"/>
  <c r="K98" i="6"/>
  <c r="P162" i="6"/>
  <c r="AJ162" i="6" s="1"/>
  <c r="K162" i="6"/>
  <c r="P146" i="6"/>
  <c r="AJ146" i="6" s="1"/>
  <c r="K146" i="6"/>
  <c r="P90" i="6"/>
  <c r="AJ90" i="6" s="1"/>
  <c r="K90" i="6"/>
  <c r="P130" i="6"/>
  <c r="AJ130" i="6" s="1"/>
  <c r="K130" i="6"/>
  <c r="P53" i="6"/>
  <c r="AJ53" i="6" s="1"/>
  <c r="K53" i="6"/>
  <c r="K123" i="6"/>
  <c r="P123" i="6"/>
  <c r="AJ123" i="6" s="1"/>
  <c r="K155" i="6"/>
  <c r="P46" i="6"/>
  <c r="AJ46" i="6" s="1"/>
  <c r="K46" i="6"/>
  <c r="P39" i="6"/>
  <c r="AJ39" i="6" s="1"/>
  <c r="P93" i="6"/>
  <c r="AJ93" i="6" s="1"/>
  <c r="K93" i="6"/>
  <c r="P125" i="6"/>
  <c r="AJ125" i="6" s="1"/>
  <c r="K125" i="6"/>
  <c r="P157" i="6"/>
  <c r="AJ157" i="6" s="1"/>
  <c r="K157" i="6"/>
  <c r="K136" i="6"/>
  <c r="P155" i="6"/>
  <c r="AJ155" i="6" s="1"/>
  <c r="P37" i="6"/>
  <c r="AJ37" i="6" s="1"/>
  <c r="K37" i="6"/>
  <c r="P71" i="6"/>
  <c r="AJ71" i="6" s="1"/>
  <c r="P99" i="6"/>
  <c r="AJ99" i="6" s="1"/>
  <c r="K99" i="6"/>
  <c r="K131" i="6"/>
  <c r="P131" i="6"/>
  <c r="AJ131" i="6" s="1"/>
  <c r="P163" i="6"/>
  <c r="AJ163" i="6" s="1"/>
  <c r="K163" i="6"/>
  <c r="P30" i="6"/>
  <c r="AJ30" i="6" s="1"/>
  <c r="K30" i="6"/>
  <c r="P38" i="6"/>
  <c r="AJ38" i="6" s="1"/>
  <c r="K38" i="6"/>
  <c r="P54" i="6"/>
  <c r="AJ54" i="6" s="1"/>
  <c r="K54" i="6"/>
  <c r="K144" i="6"/>
  <c r="P47" i="6"/>
  <c r="AJ47" i="6" s="1"/>
  <c r="P101" i="6"/>
  <c r="AJ101" i="6" s="1"/>
  <c r="K101" i="6"/>
  <c r="P117" i="6"/>
  <c r="AJ117" i="6" s="1"/>
  <c r="K117" i="6"/>
  <c r="P141" i="6"/>
  <c r="AJ141" i="6" s="1"/>
  <c r="K141" i="6"/>
  <c r="P165" i="6"/>
  <c r="AJ165" i="6" s="1"/>
  <c r="K165" i="6"/>
  <c r="P74" i="6"/>
  <c r="AJ74" i="6" s="1"/>
  <c r="K74" i="6"/>
  <c r="P86" i="6"/>
  <c r="AJ86" i="6" s="1"/>
  <c r="K86" i="6"/>
  <c r="P94" i="6"/>
  <c r="AJ94" i="6" s="1"/>
  <c r="K94" i="6"/>
  <c r="P102" i="6"/>
  <c r="AJ102" i="6" s="1"/>
  <c r="K102" i="6"/>
  <c r="P110" i="6"/>
  <c r="AJ110" i="6" s="1"/>
  <c r="K110" i="6"/>
  <c r="P118" i="6"/>
  <c r="AJ118" i="6" s="1"/>
  <c r="K118" i="6"/>
  <c r="P126" i="6"/>
  <c r="AJ126" i="6" s="1"/>
  <c r="K126" i="6"/>
  <c r="P134" i="6"/>
  <c r="AJ134" i="6" s="1"/>
  <c r="K134" i="6"/>
  <c r="P142" i="6"/>
  <c r="AJ142" i="6" s="1"/>
  <c r="K142" i="6"/>
  <c r="P150" i="6"/>
  <c r="AJ150" i="6" s="1"/>
  <c r="K150" i="6"/>
  <c r="P158" i="6"/>
  <c r="AJ158" i="6" s="1"/>
  <c r="K158" i="6"/>
  <c r="K148" i="6"/>
  <c r="P148" i="6"/>
  <c r="AJ148" i="6" s="1"/>
  <c r="K132" i="6"/>
  <c r="P132" i="6"/>
  <c r="AJ132" i="6" s="1"/>
  <c r="P42" i="6"/>
  <c r="AJ42" i="6" s="1"/>
  <c r="K42" i="6"/>
  <c r="P58" i="6"/>
  <c r="AJ58" i="6" s="1"/>
  <c r="K58" i="6"/>
  <c r="P76" i="6"/>
  <c r="AJ76" i="6" s="1"/>
  <c r="K76" i="6"/>
  <c r="P96" i="6"/>
  <c r="AJ96" i="6" s="1"/>
  <c r="P45" i="6"/>
  <c r="AJ45" i="6" s="1"/>
  <c r="K45" i="6"/>
  <c r="P79" i="6"/>
  <c r="AJ79" i="6" s="1"/>
  <c r="P115" i="6"/>
  <c r="AJ115" i="6" s="1"/>
  <c r="K115" i="6"/>
  <c r="K147" i="6"/>
  <c r="P147" i="6"/>
  <c r="AJ147" i="6" s="1"/>
  <c r="P138" i="6"/>
  <c r="AJ138" i="6" s="1"/>
  <c r="K138" i="6"/>
  <c r="P55" i="6"/>
  <c r="AJ55" i="6" s="1"/>
  <c r="P109" i="6"/>
  <c r="AJ109" i="6" s="1"/>
  <c r="K109" i="6"/>
  <c r="P133" i="6"/>
  <c r="AJ133" i="6" s="1"/>
  <c r="K133" i="6"/>
  <c r="P149" i="6"/>
  <c r="AJ149" i="6" s="1"/>
  <c r="K149" i="6"/>
  <c r="P66" i="6"/>
  <c r="AJ66" i="6" s="1"/>
  <c r="K66" i="6"/>
  <c r="P87" i="6"/>
  <c r="AJ87" i="6" s="1"/>
  <c r="K87" i="6"/>
  <c r="P95" i="6"/>
  <c r="AJ95" i="6" s="1"/>
  <c r="K95" i="6"/>
  <c r="P81" i="6"/>
  <c r="AJ81" i="6" s="1"/>
  <c r="K81" i="6"/>
  <c r="K120" i="6"/>
  <c r="K55" i="6"/>
  <c r="K34" i="6"/>
  <c r="P34" i="6"/>
  <c r="AJ34" i="6" s="1"/>
  <c r="P152" i="6"/>
  <c r="AJ152" i="6" s="1"/>
  <c r="K112" i="6"/>
  <c r="K47" i="6"/>
  <c r="P91" i="6"/>
  <c r="AJ91" i="6" s="1"/>
  <c r="P160" i="6"/>
  <c r="AJ160" i="6" s="1"/>
  <c r="P69" i="6"/>
  <c r="AJ69" i="6" s="1"/>
  <c r="K69" i="6"/>
  <c r="P77" i="6"/>
  <c r="AJ77" i="6" s="1"/>
  <c r="K77" i="6"/>
  <c r="P92" i="6"/>
  <c r="AJ92" i="6" s="1"/>
  <c r="K92" i="6"/>
  <c r="P75" i="6"/>
  <c r="AJ75" i="6" s="1"/>
  <c r="K75" i="6"/>
  <c r="P59" i="6"/>
  <c r="AJ59" i="6" s="1"/>
  <c r="K59" i="6"/>
  <c r="K39" i="6"/>
  <c r="P51" i="6"/>
  <c r="AJ51" i="6" s="1"/>
  <c r="K50" i="6"/>
  <c r="P50" i="6"/>
  <c r="AJ50" i="6" s="1"/>
  <c r="P128" i="6"/>
  <c r="AJ128" i="6" s="1"/>
  <c r="P28" i="6"/>
  <c r="AJ28" i="6" s="1"/>
  <c r="K28" i="6"/>
  <c r="P36" i="6"/>
  <c r="AJ36" i="6" s="1"/>
  <c r="K36" i="6"/>
  <c r="P44" i="6"/>
  <c r="AJ44" i="6" s="1"/>
  <c r="K44" i="6"/>
  <c r="P52" i="6"/>
  <c r="AJ52" i="6" s="1"/>
  <c r="K52" i="6"/>
  <c r="P60" i="6"/>
  <c r="AJ60" i="6" s="1"/>
  <c r="K60" i="6"/>
  <c r="P70" i="6"/>
  <c r="AJ70" i="6" s="1"/>
  <c r="K70" i="6"/>
  <c r="P78" i="6"/>
  <c r="AJ78" i="6" s="1"/>
  <c r="K78" i="6"/>
  <c r="P156" i="6"/>
  <c r="AJ156" i="6" s="1"/>
  <c r="K156" i="6"/>
  <c r="K124" i="6"/>
  <c r="P124" i="6"/>
  <c r="AJ124" i="6" s="1"/>
  <c r="K108" i="6"/>
  <c r="P108" i="6"/>
  <c r="AJ108" i="6" s="1"/>
  <c r="P57" i="6"/>
  <c r="AJ57" i="6" s="1"/>
  <c r="K57" i="6"/>
  <c r="K35" i="6"/>
  <c r="P35" i="6"/>
  <c r="AJ35" i="6" s="1"/>
  <c r="K160" i="6"/>
  <c r="K96" i="6"/>
  <c r="K31" i="6"/>
  <c r="P68" i="6"/>
  <c r="AJ68" i="6" s="1"/>
  <c r="K68" i="6"/>
  <c r="P88" i="6"/>
  <c r="AJ88" i="6" s="1"/>
  <c r="P104" i="6"/>
  <c r="AJ104" i="6" s="1"/>
  <c r="P29" i="6"/>
  <c r="AJ29" i="6" s="1"/>
  <c r="K29" i="6"/>
  <c r="P61" i="6"/>
  <c r="AJ61" i="6" s="1"/>
  <c r="K61" i="6"/>
  <c r="K107" i="6"/>
  <c r="P107" i="6"/>
  <c r="AJ107" i="6" s="1"/>
  <c r="P139" i="6"/>
  <c r="AJ139" i="6" s="1"/>
  <c r="K139" i="6"/>
  <c r="P33" i="6"/>
  <c r="AJ33" i="6" s="1"/>
  <c r="K33" i="6"/>
  <c r="K152" i="6"/>
  <c r="K88" i="6"/>
  <c r="K135" i="6"/>
  <c r="K119" i="6"/>
  <c r="K111" i="6"/>
  <c r="K62" i="6"/>
  <c r="P153" i="6"/>
  <c r="AJ153" i="6" s="1"/>
  <c r="P89" i="6"/>
  <c r="AJ89" i="6" s="1"/>
  <c r="P105" i="6"/>
  <c r="AJ105" i="6" s="1"/>
  <c r="P82" i="6"/>
  <c r="AJ82" i="6" s="1"/>
  <c r="P63" i="6"/>
  <c r="AJ63" i="6" s="1"/>
  <c r="P145" i="6"/>
  <c r="AJ145" i="6" s="1"/>
  <c r="K82" i="6"/>
  <c r="P121" i="6"/>
  <c r="AJ121" i="6" s="1"/>
  <c r="P127" i="6"/>
  <c r="AJ127" i="6" s="1"/>
  <c r="P161" i="6"/>
  <c r="AJ161" i="6" s="1"/>
  <c r="P97" i="6"/>
  <c r="AJ97" i="6" s="1"/>
  <c r="P159" i="6"/>
  <c r="AJ159" i="6" s="1"/>
  <c r="P151" i="6"/>
  <c r="AJ151" i="6" s="1"/>
  <c r="P84" i="6"/>
  <c r="AJ84" i="6" s="1"/>
  <c r="K161" i="6"/>
  <c r="K153" i="6"/>
  <c r="K137" i="6"/>
  <c r="K105" i="6"/>
  <c r="K56" i="6"/>
  <c r="K48" i="6"/>
  <c r="AP19" i="3" l="1"/>
  <c r="P122" i="6"/>
  <c r="AJ122" i="6" s="1"/>
  <c r="K73" i="6"/>
  <c r="K32" i="6"/>
  <c r="P129" i="6"/>
  <c r="AJ129" i="6" s="1"/>
  <c r="K67" i="6"/>
  <c r="K41" i="6"/>
  <c r="K27" i="6"/>
  <c r="K40" i="6"/>
  <c r="P72" i="6"/>
  <c r="AJ72" i="6" s="1"/>
  <c r="P140" i="6"/>
  <c r="AJ140" i="6" s="1"/>
  <c r="K80" i="6"/>
  <c r="K143" i="6"/>
  <c r="K116" i="6"/>
  <c r="K49" i="6"/>
  <c r="P103" i="6"/>
  <c r="AJ103" i="6" s="1"/>
  <c r="K65" i="6"/>
  <c r="K83" i="6"/>
  <c r="P154" i="6"/>
  <c r="AJ154" i="6" s="1"/>
  <c r="K100" i="6"/>
  <c r="K64" i="6"/>
  <c r="K106" i="6"/>
  <c r="K164" i="6"/>
  <c r="K43" i="6"/>
  <c r="G137" i="3" l="1"/>
  <c r="E137" i="3"/>
  <c r="AN137" i="3" l="1"/>
  <c r="N137" i="3"/>
  <c r="J137" i="3"/>
  <c r="G15" i="3"/>
  <c r="G18" i="3"/>
  <c r="E4" i="3"/>
  <c r="E5" i="3"/>
  <c r="E6" i="3"/>
  <c r="E7" i="3"/>
  <c r="E8" i="3"/>
  <c r="E9" i="3"/>
  <c r="E10" i="3"/>
  <c r="E11" i="3"/>
  <c r="E12" i="3"/>
  <c r="E13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5" i="3"/>
  <c r="E16" i="3"/>
  <c r="E17" i="3"/>
  <c r="E18" i="3"/>
  <c r="E20" i="3"/>
  <c r="E21" i="3"/>
  <c r="E22" i="3"/>
  <c r="E23" i="3"/>
  <c r="E24" i="3"/>
  <c r="E25" i="3"/>
  <c r="E26" i="3"/>
  <c r="E27" i="3"/>
  <c r="E28" i="3"/>
  <c r="E29" i="3"/>
  <c r="E14" i="3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G16" i="3"/>
  <c r="H17" i="3"/>
  <c r="I17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 s="1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H113" i="3"/>
  <c r="I113" i="3" s="1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123" i="3"/>
  <c r="I123" i="3" s="1"/>
  <c r="H124" i="3"/>
  <c r="I124" i="3" s="1"/>
  <c r="H125" i="3"/>
  <c r="I125" i="3" s="1"/>
  <c r="H126" i="3"/>
  <c r="I126" i="3" s="1"/>
  <c r="H127" i="3"/>
  <c r="I127" i="3" s="1"/>
  <c r="H128" i="3"/>
  <c r="I128" i="3" s="1"/>
  <c r="H129" i="3"/>
  <c r="I129" i="3" s="1"/>
  <c r="H130" i="3"/>
  <c r="I130" i="3" s="1"/>
  <c r="H131" i="3"/>
  <c r="I131" i="3" s="1"/>
  <c r="H132" i="3"/>
  <c r="I132" i="3" s="1"/>
  <c r="H133" i="3"/>
  <c r="I133" i="3" s="1"/>
  <c r="H134" i="3"/>
  <c r="I134" i="3" s="1"/>
  <c r="H135" i="3"/>
  <c r="I135" i="3" s="1"/>
  <c r="G136" i="3"/>
  <c r="H138" i="3"/>
  <c r="I138" i="3" s="1"/>
  <c r="H139" i="3"/>
  <c r="I139" i="3" s="1"/>
  <c r="H140" i="3"/>
  <c r="I140" i="3" s="1"/>
  <c r="H141" i="3"/>
  <c r="I141" i="3" s="1"/>
  <c r="H142" i="3"/>
  <c r="I142" i="3" s="1"/>
  <c r="H143" i="3"/>
  <c r="I143" i="3" s="1"/>
  <c r="H144" i="3"/>
  <c r="I144" i="3" s="1"/>
  <c r="H145" i="3"/>
  <c r="I145" i="3" s="1"/>
  <c r="H146" i="3"/>
  <c r="I146" i="3" s="1"/>
  <c r="H147" i="3"/>
  <c r="I147" i="3" s="1"/>
  <c r="H148" i="3"/>
  <c r="I148" i="3" s="1"/>
  <c r="H149" i="3"/>
  <c r="I149" i="3" s="1"/>
  <c r="H150" i="3"/>
  <c r="I150" i="3" s="1"/>
  <c r="H151" i="3"/>
  <c r="I151" i="3" s="1"/>
  <c r="H152" i="3"/>
  <c r="I152" i="3" s="1"/>
  <c r="H153" i="3"/>
  <c r="I153" i="3" s="1"/>
  <c r="H154" i="3"/>
  <c r="I154" i="3" s="1"/>
  <c r="H155" i="3"/>
  <c r="I155" i="3" s="1"/>
  <c r="H156" i="3"/>
  <c r="I156" i="3" s="1"/>
  <c r="H157" i="3"/>
  <c r="I157" i="3" s="1"/>
  <c r="H158" i="3"/>
  <c r="I158" i="3" s="1"/>
  <c r="H159" i="3"/>
  <c r="I159" i="3" s="1"/>
  <c r="H160" i="3"/>
  <c r="I160" i="3" s="1"/>
  <c r="H161" i="3"/>
  <c r="I161" i="3" s="1"/>
  <c r="H162" i="3"/>
  <c r="I162" i="3" s="1"/>
  <c r="H4" i="3"/>
  <c r="I4" i="3" s="1"/>
  <c r="AP137" i="3" l="1"/>
  <c r="J16" i="3"/>
  <c r="AN16" i="3"/>
  <c r="AN136" i="3"/>
  <c r="AN18" i="3"/>
  <c r="J15" i="3"/>
  <c r="AN15" i="3"/>
  <c r="G161" i="3"/>
  <c r="G153" i="3"/>
  <c r="G145" i="3"/>
  <c r="G128" i="3"/>
  <c r="G120" i="3"/>
  <c r="G112" i="3"/>
  <c r="G104" i="3"/>
  <c r="G96" i="3"/>
  <c r="G88" i="3"/>
  <c r="G80" i="3"/>
  <c r="G72" i="3"/>
  <c r="G64" i="3"/>
  <c r="G56" i="3"/>
  <c r="G48" i="3"/>
  <c r="G40" i="3"/>
  <c r="G32" i="3"/>
  <c r="G24" i="3"/>
  <c r="G13" i="3"/>
  <c r="G5" i="3"/>
  <c r="G146" i="3"/>
  <c r="G97" i="3"/>
  <c r="G65" i="3"/>
  <c r="G25" i="3"/>
  <c r="G152" i="3"/>
  <c r="G135" i="3"/>
  <c r="G119" i="3"/>
  <c r="G111" i="3"/>
  <c r="G103" i="3"/>
  <c r="G95" i="3"/>
  <c r="G87" i="3"/>
  <c r="G79" i="3"/>
  <c r="G71" i="3"/>
  <c r="G63" i="3"/>
  <c r="G55" i="3"/>
  <c r="G47" i="3"/>
  <c r="G39" i="3"/>
  <c r="G31" i="3"/>
  <c r="G23" i="3"/>
  <c r="G12" i="3"/>
  <c r="G138" i="3"/>
  <c r="G89" i="3"/>
  <c r="G41" i="3"/>
  <c r="G6" i="3"/>
  <c r="G160" i="3"/>
  <c r="G144" i="3"/>
  <c r="G127" i="3"/>
  <c r="G159" i="3"/>
  <c r="G151" i="3"/>
  <c r="G143" i="3"/>
  <c r="G134" i="3"/>
  <c r="G126" i="3"/>
  <c r="G118" i="3"/>
  <c r="G110" i="3"/>
  <c r="G102" i="3"/>
  <c r="G94" i="3"/>
  <c r="G86" i="3"/>
  <c r="G78" i="3"/>
  <c r="G70" i="3"/>
  <c r="G62" i="3"/>
  <c r="G54" i="3"/>
  <c r="G46" i="3"/>
  <c r="G38" i="3"/>
  <c r="G30" i="3"/>
  <c r="G22" i="3"/>
  <c r="G11" i="3"/>
  <c r="G129" i="3"/>
  <c r="G57" i="3"/>
  <c r="G142" i="3"/>
  <c r="G109" i="3"/>
  <c r="G85" i="3"/>
  <c r="G69" i="3"/>
  <c r="G61" i="3"/>
  <c r="G29" i="3"/>
  <c r="G21" i="3"/>
  <c r="G10" i="3"/>
  <c r="G162" i="3"/>
  <c r="G105" i="3"/>
  <c r="G49" i="3"/>
  <c r="G158" i="3"/>
  <c r="G125" i="3"/>
  <c r="G101" i="3"/>
  <c r="G53" i="3"/>
  <c r="G157" i="3"/>
  <c r="G149" i="3"/>
  <c r="G141" i="3"/>
  <c r="G132" i="3"/>
  <c r="G124" i="3"/>
  <c r="G116" i="3"/>
  <c r="G108" i="3"/>
  <c r="G100" i="3"/>
  <c r="G92" i="3"/>
  <c r="G84" i="3"/>
  <c r="G76" i="3"/>
  <c r="G68" i="3"/>
  <c r="G60" i="3"/>
  <c r="G52" i="3"/>
  <c r="G44" i="3"/>
  <c r="G36" i="3"/>
  <c r="G28" i="3"/>
  <c r="G20" i="3"/>
  <c r="G9" i="3"/>
  <c r="G121" i="3"/>
  <c r="G73" i="3"/>
  <c r="G133" i="3"/>
  <c r="G93" i="3"/>
  <c r="G37" i="3"/>
  <c r="G156" i="3"/>
  <c r="G148" i="3"/>
  <c r="G140" i="3"/>
  <c r="G131" i="3"/>
  <c r="G123" i="3"/>
  <c r="G115" i="3"/>
  <c r="G107" i="3"/>
  <c r="G99" i="3"/>
  <c r="G91" i="3"/>
  <c r="G83" i="3"/>
  <c r="G75" i="3"/>
  <c r="G67" i="3"/>
  <c r="G59" i="3"/>
  <c r="G51" i="3"/>
  <c r="G43" i="3"/>
  <c r="G35" i="3"/>
  <c r="G27" i="3"/>
  <c r="G17" i="3"/>
  <c r="G8" i="3"/>
  <c r="G154" i="3"/>
  <c r="G113" i="3"/>
  <c r="G81" i="3"/>
  <c r="G33" i="3"/>
  <c r="G14" i="3"/>
  <c r="G150" i="3"/>
  <c r="G117" i="3"/>
  <c r="G77" i="3"/>
  <c r="G45" i="3"/>
  <c r="G155" i="3"/>
  <c r="G147" i="3"/>
  <c r="G139" i="3"/>
  <c r="G130" i="3"/>
  <c r="G122" i="3"/>
  <c r="G114" i="3"/>
  <c r="G106" i="3"/>
  <c r="G98" i="3"/>
  <c r="G90" i="3"/>
  <c r="G82" i="3"/>
  <c r="G74" i="3"/>
  <c r="G66" i="3"/>
  <c r="G58" i="3"/>
  <c r="G50" i="3"/>
  <c r="G42" i="3"/>
  <c r="G34" i="3"/>
  <c r="G26" i="3"/>
  <c r="G7" i="3"/>
  <c r="G4" i="3"/>
  <c r="N18" i="3"/>
  <c r="J18" i="3"/>
  <c r="N136" i="3"/>
  <c r="J136" i="3"/>
  <c r="J139" i="3" l="1"/>
  <c r="AN139" i="3"/>
  <c r="J44" i="3"/>
  <c r="AN44" i="3"/>
  <c r="J11" i="3"/>
  <c r="AN11" i="3"/>
  <c r="J135" i="3"/>
  <c r="AN135" i="3"/>
  <c r="J51" i="3"/>
  <c r="AN51" i="3"/>
  <c r="J42" i="3"/>
  <c r="AN42" i="3"/>
  <c r="J106" i="3"/>
  <c r="AN106" i="3"/>
  <c r="J77" i="3"/>
  <c r="AN77" i="3"/>
  <c r="J8" i="3"/>
  <c r="AN8" i="3"/>
  <c r="J75" i="3"/>
  <c r="AN75" i="3"/>
  <c r="J140" i="3"/>
  <c r="AN140" i="3"/>
  <c r="J9" i="3"/>
  <c r="AN9" i="3"/>
  <c r="J76" i="3"/>
  <c r="AN76" i="3"/>
  <c r="J141" i="3"/>
  <c r="AN141" i="3"/>
  <c r="J105" i="3"/>
  <c r="AN105" i="3"/>
  <c r="J109" i="3"/>
  <c r="AN109" i="3"/>
  <c r="J46" i="3"/>
  <c r="AN46" i="3"/>
  <c r="J110" i="3"/>
  <c r="AN110" i="3"/>
  <c r="J144" i="3"/>
  <c r="AO144" i="3"/>
  <c r="AN144" i="3"/>
  <c r="J31" i="3"/>
  <c r="AN31" i="3"/>
  <c r="J95" i="3"/>
  <c r="AN95" i="3"/>
  <c r="J97" i="3"/>
  <c r="AN97" i="3"/>
  <c r="J56" i="3"/>
  <c r="AN56" i="3"/>
  <c r="J120" i="3"/>
  <c r="AN120" i="3"/>
  <c r="J4" i="3"/>
  <c r="AN4" i="3"/>
  <c r="J101" i="3"/>
  <c r="AN101" i="3"/>
  <c r="J63" i="3"/>
  <c r="AN63" i="3"/>
  <c r="J7" i="3"/>
  <c r="AN7" i="3"/>
  <c r="J50" i="3"/>
  <c r="AN50" i="3"/>
  <c r="J114" i="3"/>
  <c r="AN114" i="3"/>
  <c r="J117" i="3"/>
  <c r="AN117" i="3"/>
  <c r="J17" i="3"/>
  <c r="AN17" i="3"/>
  <c r="J83" i="3"/>
  <c r="AN83" i="3"/>
  <c r="J148" i="3"/>
  <c r="AN148" i="3"/>
  <c r="AO148" i="3"/>
  <c r="J20" i="3"/>
  <c r="AN20" i="3"/>
  <c r="J84" i="3"/>
  <c r="AN84" i="3"/>
  <c r="J149" i="3"/>
  <c r="AN149" i="3"/>
  <c r="AO149" i="3"/>
  <c r="J162" i="3"/>
  <c r="AO162" i="3"/>
  <c r="AN162" i="3"/>
  <c r="J142" i="3"/>
  <c r="AN142" i="3"/>
  <c r="AO142" i="3"/>
  <c r="J54" i="3"/>
  <c r="AN54" i="3"/>
  <c r="J118" i="3"/>
  <c r="AN118" i="3"/>
  <c r="J160" i="3"/>
  <c r="AO160" i="3"/>
  <c r="AN160" i="3"/>
  <c r="J39" i="3"/>
  <c r="AN39" i="3"/>
  <c r="J103" i="3"/>
  <c r="AN103" i="3"/>
  <c r="J146" i="3"/>
  <c r="AO146" i="3"/>
  <c r="AN146" i="3"/>
  <c r="J64" i="3"/>
  <c r="AN64" i="3"/>
  <c r="J128" i="3"/>
  <c r="AN128" i="3"/>
  <c r="J74" i="3"/>
  <c r="AN74" i="3"/>
  <c r="J93" i="3"/>
  <c r="AN93" i="3"/>
  <c r="J29" i="3"/>
  <c r="AN29" i="3"/>
  <c r="J24" i="3"/>
  <c r="AN24" i="3"/>
  <c r="J82" i="3"/>
  <c r="AN82" i="3"/>
  <c r="J133" i="3"/>
  <c r="AN133" i="3"/>
  <c r="J61" i="3"/>
  <c r="AN61" i="3"/>
  <c r="J71" i="3"/>
  <c r="AN71" i="3"/>
  <c r="J58" i="3"/>
  <c r="AN58" i="3"/>
  <c r="J122" i="3"/>
  <c r="AN122" i="3"/>
  <c r="J150" i="3"/>
  <c r="AN150" i="3"/>
  <c r="AO150" i="3"/>
  <c r="J27" i="3"/>
  <c r="AN27" i="3"/>
  <c r="J91" i="3"/>
  <c r="AN91" i="3"/>
  <c r="J156" i="3"/>
  <c r="AN156" i="3"/>
  <c r="AO156" i="3"/>
  <c r="J28" i="3"/>
  <c r="AN28" i="3"/>
  <c r="J92" i="3"/>
  <c r="AN92" i="3"/>
  <c r="J157" i="3"/>
  <c r="AN157" i="3"/>
  <c r="J10" i="3"/>
  <c r="AN10" i="3"/>
  <c r="J57" i="3"/>
  <c r="AN57" i="3"/>
  <c r="J62" i="3"/>
  <c r="AN62" i="3"/>
  <c r="J126" i="3"/>
  <c r="AN126" i="3"/>
  <c r="J6" i="3"/>
  <c r="AN6" i="3"/>
  <c r="J47" i="3"/>
  <c r="AN47" i="3"/>
  <c r="J111" i="3"/>
  <c r="AN111" i="3"/>
  <c r="J5" i="3"/>
  <c r="AN5" i="3"/>
  <c r="J72" i="3"/>
  <c r="AN72" i="3"/>
  <c r="J145" i="3"/>
  <c r="AO145" i="3"/>
  <c r="AN145" i="3"/>
  <c r="J107" i="3"/>
  <c r="AN107" i="3"/>
  <c r="J143" i="3"/>
  <c r="AN143" i="3"/>
  <c r="AO143" i="3"/>
  <c r="J66" i="3"/>
  <c r="AN66" i="3"/>
  <c r="J130" i="3"/>
  <c r="AN130" i="3"/>
  <c r="J14" i="3"/>
  <c r="AN14" i="3"/>
  <c r="J35" i="3"/>
  <c r="AN35" i="3"/>
  <c r="J99" i="3"/>
  <c r="AN99" i="3"/>
  <c r="J37" i="3"/>
  <c r="AN37" i="3"/>
  <c r="J36" i="3"/>
  <c r="AN36" i="3"/>
  <c r="J100" i="3"/>
  <c r="AN100" i="3"/>
  <c r="J53" i="3"/>
  <c r="AN53" i="3"/>
  <c r="J21" i="3"/>
  <c r="AN21" i="3"/>
  <c r="J129" i="3"/>
  <c r="AN129" i="3"/>
  <c r="J70" i="3"/>
  <c r="AN70" i="3"/>
  <c r="J134" i="3"/>
  <c r="AN134" i="3"/>
  <c r="J41" i="3"/>
  <c r="AN41" i="3"/>
  <c r="J55" i="3"/>
  <c r="AN55" i="3"/>
  <c r="J119" i="3"/>
  <c r="AN119" i="3"/>
  <c r="J13" i="3"/>
  <c r="AN13" i="3"/>
  <c r="J80" i="3"/>
  <c r="AN80" i="3"/>
  <c r="J153" i="3"/>
  <c r="AO153" i="3"/>
  <c r="AN153" i="3"/>
  <c r="J33" i="3"/>
  <c r="AN33" i="3"/>
  <c r="J22" i="3"/>
  <c r="AN22" i="3"/>
  <c r="J108" i="3"/>
  <c r="AN108" i="3"/>
  <c r="J89" i="3"/>
  <c r="AN89" i="3"/>
  <c r="J161" i="3"/>
  <c r="AO161" i="3"/>
  <c r="AN161" i="3"/>
  <c r="J147" i="3"/>
  <c r="AN147" i="3"/>
  <c r="AO147" i="3"/>
  <c r="J115" i="3"/>
  <c r="AN115" i="3"/>
  <c r="J116" i="3"/>
  <c r="AN116" i="3"/>
  <c r="J86" i="3"/>
  <c r="AN86" i="3"/>
  <c r="J138" i="3"/>
  <c r="AN138" i="3"/>
  <c r="J32" i="3"/>
  <c r="AN32" i="3"/>
  <c r="J90" i="3"/>
  <c r="AN90" i="3"/>
  <c r="J113" i="3"/>
  <c r="AN113" i="3"/>
  <c r="J123" i="3"/>
  <c r="AN123" i="3"/>
  <c r="J60" i="3"/>
  <c r="AN60" i="3"/>
  <c r="J158" i="3"/>
  <c r="AN158" i="3"/>
  <c r="AO158" i="3"/>
  <c r="J69" i="3"/>
  <c r="AN69" i="3"/>
  <c r="J94" i="3"/>
  <c r="AN94" i="3"/>
  <c r="J159" i="3"/>
  <c r="AN159" i="3"/>
  <c r="AO159" i="3"/>
  <c r="J12" i="3"/>
  <c r="AN12" i="3"/>
  <c r="J79" i="3"/>
  <c r="AN79" i="3"/>
  <c r="J25" i="3"/>
  <c r="AN25" i="3"/>
  <c r="J40" i="3"/>
  <c r="AN40" i="3"/>
  <c r="J104" i="3"/>
  <c r="AN104" i="3"/>
  <c r="J43" i="3"/>
  <c r="AN43" i="3"/>
  <c r="J78" i="3"/>
  <c r="AN78" i="3"/>
  <c r="J88" i="3"/>
  <c r="AN88" i="3"/>
  <c r="J81" i="3"/>
  <c r="AN81" i="3"/>
  <c r="J52" i="3"/>
  <c r="AN52" i="3"/>
  <c r="J125" i="3"/>
  <c r="AN125" i="3"/>
  <c r="J151" i="3"/>
  <c r="AN151" i="3"/>
  <c r="AO151" i="3"/>
  <c r="J152" i="3"/>
  <c r="AO152" i="3"/>
  <c r="AN152" i="3"/>
  <c r="J96" i="3"/>
  <c r="AN96" i="3"/>
  <c r="J26" i="3"/>
  <c r="AN26" i="3"/>
  <c r="J155" i="3"/>
  <c r="AN155" i="3"/>
  <c r="AO155" i="3"/>
  <c r="J59" i="3"/>
  <c r="AN59" i="3"/>
  <c r="J73" i="3"/>
  <c r="AN73" i="3"/>
  <c r="J124" i="3"/>
  <c r="AN124" i="3"/>
  <c r="J30" i="3"/>
  <c r="AN30" i="3"/>
  <c r="J34" i="3"/>
  <c r="AN34" i="3"/>
  <c r="J98" i="3"/>
  <c r="AN98" i="3"/>
  <c r="J45" i="3"/>
  <c r="AN45" i="3"/>
  <c r="J154" i="3"/>
  <c r="AO154" i="3"/>
  <c r="AN154" i="3"/>
  <c r="J67" i="3"/>
  <c r="AN67" i="3"/>
  <c r="J131" i="3"/>
  <c r="AN131" i="3"/>
  <c r="J121" i="3"/>
  <c r="J68" i="3"/>
  <c r="AN68" i="3"/>
  <c r="J132" i="3"/>
  <c r="AN132" i="3"/>
  <c r="J49" i="3"/>
  <c r="AN49" i="3"/>
  <c r="J85" i="3"/>
  <c r="AN85" i="3"/>
  <c r="J38" i="3"/>
  <c r="AN38" i="3"/>
  <c r="J102" i="3"/>
  <c r="AN102" i="3"/>
  <c r="J127" i="3"/>
  <c r="AN127" i="3"/>
  <c r="J23" i="3"/>
  <c r="AN23" i="3"/>
  <c r="J87" i="3"/>
  <c r="AN87" i="3"/>
  <c r="J65" i="3"/>
  <c r="AN65" i="3"/>
  <c r="J48" i="3"/>
  <c r="AN48" i="3"/>
  <c r="J112" i="3"/>
  <c r="AN112" i="3"/>
  <c r="AP162" i="3" l="1"/>
  <c r="AN205" i="3"/>
  <c r="AN197" i="3"/>
  <c r="AN208" i="3"/>
  <c r="AN200" i="3"/>
  <c r="AN207" i="3"/>
  <c r="AN199" i="3"/>
  <c r="AO200" i="3"/>
  <c r="AO208" i="3"/>
  <c r="AO197" i="3"/>
  <c r="AO205" i="3"/>
  <c r="S84" i="6"/>
  <c r="S83" i="6"/>
  <c r="S85" i="6"/>
  <c r="I61" i="4" l="1"/>
  <c r="M8" i="6" l="1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7" i="6"/>
  <c r="P23" i="6" l="1"/>
  <c r="AJ23" i="6" s="1"/>
  <c r="P15" i="6"/>
  <c r="AJ15" i="6" s="1"/>
  <c r="T15" i="6"/>
  <c r="P22" i="6"/>
  <c r="AJ22" i="6" s="1"/>
  <c r="P14" i="6"/>
  <c r="AJ14" i="6" s="1"/>
  <c r="P21" i="6"/>
  <c r="AJ21" i="6" s="1"/>
  <c r="P13" i="6"/>
  <c r="AJ13" i="6" s="1"/>
  <c r="T13" i="6"/>
  <c r="P20" i="6"/>
  <c r="AJ20" i="6" s="1"/>
  <c r="T20" i="6"/>
  <c r="P12" i="6"/>
  <c r="AJ12" i="6" s="1"/>
  <c r="T12" i="6"/>
  <c r="P7" i="6"/>
  <c r="AJ7" i="6" s="1"/>
  <c r="T7" i="6"/>
  <c r="P19" i="6"/>
  <c r="AJ19" i="6" s="1"/>
  <c r="T19" i="6"/>
  <c r="P11" i="6"/>
  <c r="AJ11" i="6" s="1"/>
  <c r="P26" i="6"/>
  <c r="AJ26" i="6" s="1"/>
  <c r="T18" i="6"/>
  <c r="P18" i="6"/>
  <c r="AJ18" i="6" s="1"/>
  <c r="P10" i="6"/>
  <c r="AJ10" i="6" s="1"/>
  <c r="T10" i="6"/>
  <c r="P25" i="6"/>
  <c r="AJ25" i="6" s="1"/>
  <c r="T25" i="6"/>
  <c r="T17" i="6"/>
  <c r="P17" i="6"/>
  <c r="AJ17" i="6" s="1"/>
  <c r="P9" i="6"/>
  <c r="AJ9" i="6" s="1"/>
  <c r="T9" i="6"/>
  <c r="P24" i="6"/>
  <c r="AJ24" i="6" s="1"/>
  <c r="T24" i="6"/>
  <c r="P16" i="6"/>
  <c r="AJ16" i="6" s="1"/>
  <c r="P8" i="6"/>
  <c r="AJ8" i="6" s="1"/>
  <c r="T8" i="6"/>
  <c r="K63" i="4"/>
  <c r="P48" i="6" l="1"/>
  <c r="AJ48" i="6" s="1"/>
  <c r="AN121" i="3"/>
  <c r="T23" i="6"/>
  <c r="T26" i="6"/>
  <c r="AN198" i="3" l="1"/>
  <c r="AN201" i="3" s="1"/>
  <c r="AN206" i="3"/>
  <c r="AN209" i="3" s="1"/>
  <c r="T16" i="6"/>
  <c r="T21" i="6"/>
  <c r="T22" i="6"/>
  <c r="T11" i="6" l="1"/>
  <c r="T14" i="6"/>
  <c r="N28" i="4" l="1"/>
  <c r="V43" i="4"/>
  <c r="U43" i="4"/>
  <c r="T43" i="4"/>
  <c r="V42" i="4"/>
  <c r="U42" i="4"/>
  <c r="T42" i="4"/>
  <c r="V41" i="4"/>
  <c r="U41" i="4"/>
  <c r="T41" i="4"/>
  <c r="V40" i="4"/>
  <c r="U40" i="4"/>
  <c r="T40" i="4"/>
  <c r="V39" i="4"/>
  <c r="U39" i="4"/>
  <c r="T39" i="4"/>
  <c r="V38" i="4"/>
  <c r="U38" i="4"/>
  <c r="T38" i="4"/>
  <c r="V31" i="4"/>
  <c r="U31" i="4"/>
  <c r="T31" i="4"/>
  <c r="T17" i="4"/>
  <c r="U17" i="4"/>
  <c r="V17" i="4"/>
  <c r="T18" i="4"/>
  <c r="U18" i="4"/>
  <c r="V18" i="4"/>
  <c r="T19" i="4"/>
  <c r="U19" i="4"/>
  <c r="V19" i="4"/>
  <c r="T20" i="4"/>
  <c r="U20" i="4"/>
  <c r="V20" i="4"/>
  <c r="T21" i="4"/>
  <c r="U21" i="4"/>
  <c r="V21" i="4"/>
  <c r="T22" i="4"/>
  <c r="U22" i="4"/>
  <c r="V22" i="4"/>
  <c r="T23" i="4"/>
  <c r="U23" i="4"/>
  <c r="V23" i="4"/>
  <c r="I43" i="4"/>
  <c r="H43" i="4"/>
  <c r="G43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1" i="4"/>
  <c r="H31" i="4"/>
  <c r="G31" i="4"/>
  <c r="G11" i="4"/>
  <c r="G17" i="4"/>
  <c r="G18" i="4"/>
  <c r="G19" i="4"/>
  <c r="G20" i="4"/>
  <c r="G21" i="4"/>
  <c r="G22" i="4"/>
  <c r="G23" i="4"/>
  <c r="I11" i="4"/>
  <c r="I17" i="4"/>
  <c r="I18" i="4"/>
  <c r="I19" i="4"/>
  <c r="I20" i="4"/>
  <c r="I21" i="4"/>
  <c r="I22" i="4"/>
  <c r="I23" i="4"/>
  <c r="H11" i="4"/>
  <c r="H17" i="4"/>
  <c r="H18" i="4"/>
  <c r="H19" i="4"/>
  <c r="H20" i="4"/>
  <c r="H21" i="4"/>
  <c r="H22" i="4"/>
  <c r="H23" i="4"/>
  <c r="O42" i="4" l="1"/>
  <c r="O31" i="4"/>
  <c r="O40" i="4"/>
  <c r="O38" i="4"/>
  <c r="O39" i="4"/>
  <c r="O19" i="4"/>
  <c r="P20" i="4"/>
  <c r="O18" i="4"/>
  <c r="P19" i="4"/>
  <c r="O17" i="4"/>
  <c r="P18" i="4"/>
  <c r="P17" i="4"/>
  <c r="O20" i="4"/>
  <c r="P21" i="4"/>
  <c r="O22" i="4"/>
  <c r="P23" i="4"/>
  <c r="O21" i="4"/>
  <c r="P22" i="4"/>
  <c r="P11" i="4"/>
  <c r="O41" i="4"/>
  <c r="O43" i="4"/>
  <c r="P42" i="4"/>
  <c r="W31" i="4"/>
  <c r="W39" i="4"/>
  <c r="P40" i="4"/>
  <c r="W42" i="4"/>
  <c r="P43" i="4"/>
  <c r="P38" i="4"/>
  <c r="P41" i="4"/>
  <c r="P31" i="4"/>
  <c r="P39" i="4"/>
  <c r="W40" i="4"/>
  <c r="W43" i="4"/>
  <c r="W38" i="4"/>
  <c r="W41" i="4"/>
  <c r="W21" i="4"/>
  <c r="W19" i="4"/>
  <c r="W18" i="4"/>
  <c r="O23" i="4"/>
  <c r="W23" i="4"/>
  <c r="W22" i="4"/>
  <c r="W17" i="4"/>
  <c r="W20" i="4"/>
  <c r="Q31" i="4" l="1"/>
  <c r="Q39" i="4"/>
  <c r="Q42" i="4"/>
  <c r="Q40" i="4"/>
  <c r="Q38" i="4"/>
  <c r="Q19" i="4"/>
  <c r="Q17" i="4"/>
  <c r="Q20" i="4"/>
  <c r="Q22" i="4"/>
  <c r="Q11" i="4"/>
  <c r="Q18" i="4"/>
  <c r="Q21" i="4"/>
  <c r="Q23" i="4"/>
  <c r="Q41" i="4"/>
  <c r="Q43" i="4"/>
  <c r="AF163" i="3" l="1"/>
  <c r="H61" i="4" l="1"/>
  <c r="O61" i="4" s="1"/>
  <c r="N156" i="3"/>
  <c r="N162" i="3"/>
  <c r="N154" i="3"/>
  <c r="N161" i="3"/>
  <c r="N153" i="3"/>
  <c r="N155" i="3"/>
  <c r="N152" i="3"/>
  <c r="P162" i="3"/>
  <c r="N160" i="3"/>
  <c r="N159" i="3"/>
  <c r="N151" i="3"/>
  <c r="N158" i="3"/>
  <c r="N150" i="3"/>
  <c r="N157" i="3"/>
  <c r="H37" i="4" l="1"/>
  <c r="H16" i="4"/>
  <c r="O37" i="4" l="1"/>
  <c r="O16" i="4"/>
  <c r="G16" i="4"/>
  <c r="T37" i="4" l="1"/>
  <c r="T16" i="4"/>
  <c r="U192" i="3"/>
  <c r="U181" i="3"/>
  <c r="U182" i="3"/>
  <c r="U183" i="3"/>
  <c r="U184" i="3"/>
  <c r="U185" i="3"/>
  <c r="U187" i="3"/>
  <c r="U188" i="3"/>
  <c r="U189" i="3"/>
  <c r="U190" i="3"/>
  <c r="U191" i="3"/>
  <c r="U166" i="3"/>
  <c r="U167" i="3"/>
  <c r="U168" i="3"/>
  <c r="U169" i="3"/>
  <c r="U170" i="3"/>
  <c r="U171" i="3"/>
  <c r="U173" i="3"/>
  <c r="U174" i="3"/>
  <c r="U175" i="3"/>
  <c r="U176" i="3"/>
  <c r="U177" i="3"/>
  <c r="U178" i="3"/>
  <c r="U180" i="3"/>
  <c r="N120" i="3" l="1"/>
  <c r="U186" i="3" l="1"/>
  <c r="AL192" i="3" l="1"/>
  <c r="AF192" i="3"/>
  <c r="AI191" i="3"/>
  <c r="AH191" i="3"/>
  <c r="AG191" i="3"/>
  <c r="AE191" i="3"/>
  <c r="AD191" i="3"/>
  <c r="AI190" i="3"/>
  <c r="AH190" i="3"/>
  <c r="AG190" i="3"/>
  <c r="AE190" i="3"/>
  <c r="AD190" i="3"/>
  <c r="AI189" i="3"/>
  <c r="AH189" i="3"/>
  <c r="AG189" i="3"/>
  <c r="AE189" i="3"/>
  <c r="AD189" i="3"/>
  <c r="AI188" i="3"/>
  <c r="AH188" i="3"/>
  <c r="AG188" i="3"/>
  <c r="AE188" i="3"/>
  <c r="AD188" i="3"/>
  <c r="AI187" i="3"/>
  <c r="AH187" i="3"/>
  <c r="AG187" i="3"/>
  <c r="AE187" i="3"/>
  <c r="AD187" i="3"/>
  <c r="AI186" i="3"/>
  <c r="AH186" i="3"/>
  <c r="AG186" i="3"/>
  <c r="AE186" i="3"/>
  <c r="AD186" i="3"/>
  <c r="AI185" i="3"/>
  <c r="AH185" i="3"/>
  <c r="AG185" i="3"/>
  <c r="AE185" i="3"/>
  <c r="AD185" i="3"/>
  <c r="AI184" i="3"/>
  <c r="AH184" i="3"/>
  <c r="AG184" i="3"/>
  <c r="AE184" i="3"/>
  <c r="AD184" i="3"/>
  <c r="AI183" i="3"/>
  <c r="AH183" i="3"/>
  <c r="AG183" i="3"/>
  <c r="AE183" i="3"/>
  <c r="AD183" i="3"/>
  <c r="AI182" i="3"/>
  <c r="AH182" i="3"/>
  <c r="AG182" i="3"/>
  <c r="AE182" i="3"/>
  <c r="AD182" i="3"/>
  <c r="AI181" i="3"/>
  <c r="AH181" i="3"/>
  <c r="AG181" i="3"/>
  <c r="AE181" i="3"/>
  <c r="AD181" i="3"/>
  <c r="AL180" i="3"/>
  <c r="AI180" i="3"/>
  <c r="AH180" i="3"/>
  <c r="AG180" i="3"/>
  <c r="AF180" i="3"/>
  <c r="AE180" i="3"/>
  <c r="AD180" i="3"/>
  <c r="AI178" i="3"/>
  <c r="AH178" i="3"/>
  <c r="AG178" i="3"/>
  <c r="AE178" i="3"/>
  <c r="AD178" i="3"/>
  <c r="AI177" i="3"/>
  <c r="AH177" i="3"/>
  <c r="AG177" i="3"/>
  <c r="AE177" i="3"/>
  <c r="AD177" i="3"/>
  <c r="AI176" i="3"/>
  <c r="AH176" i="3"/>
  <c r="AG176" i="3"/>
  <c r="AE176" i="3"/>
  <c r="AD176" i="3"/>
  <c r="AI175" i="3"/>
  <c r="AH175" i="3"/>
  <c r="AG175" i="3"/>
  <c r="AE175" i="3"/>
  <c r="AD175" i="3"/>
  <c r="AI174" i="3"/>
  <c r="AH174" i="3"/>
  <c r="AG174" i="3"/>
  <c r="AE174" i="3"/>
  <c r="AD174" i="3"/>
  <c r="AI173" i="3"/>
  <c r="AH173" i="3"/>
  <c r="AG173" i="3"/>
  <c r="AE173" i="3"/>
  <c r="AD173" i="3"/>
  <c r="AL171" i="3"/>
  <c r="AI171" i="3"/>
  <c r="AH171" i="3"/>
  <c r="AG171" i="3"/>
  <c r="AF171" i="3"/>
  <c r="AE171" i="3"/>
  <c r="AD171" i="3"/>
  <c r="AI170" i="3"/>
  <c r="AH170" i="3"/>
  <c r="AG170" i="3"/>
  <c r="AE170" i="3"/>
  <c r="AD170" i="3"/>
  <c r="AI169" i="3"/>
  <c r="AH169" i="3"/>
  <c r="AG169" i="3"/>
  <c r="AE169" i="3"/>
  <c r="AD169" i="3"/>
  <c r="AI168" i="3"/>
  <c r="AH168" i="3"/>
  <c r="AG168" i="3"/>
  <c r="AE168" i="3"/>
  <c r="AD168" i="3"/>
  <c r="AI167" i="3"/>
  <c r="AH167" i="3"/>
  <c r="AG167" i="3"/>
  <c r="AE167" i="3"/>
  <c r="AD167" i="3"/>
  <c r="AI166" i="3"/>
  <c r="AH166" i="3"/>
  <c r="AG166" i="3"/>
  <c r="AE166" i="3"/>
  <c r="AD166" i="3"/>
  <c r="AB163" i="3"/>
  <c r="AB193" i="3" s="1"/>
  <c r="O129" i="1"/>
  <c r="M129" i="1"/>
  <c r="L129" i="1"/>
  <c r="K129" i="1"/>
  <c r="J129" i="1"/>
  <c r="I129" i="1"/>
  <c r="H129" i="1"/>
  <c r="G129" i="1"/>
  <c r="M128" i="1"/>
  <c r="L128" i="1"/>
  <c r="K128" i="1"/>
  <c r="J128" i="1"/>
  <c r="I128" i="1"/>
  <c r="H128" i="1"/>
  <c r="G128" i="1"/>
  <c r="E128" i="1"/>
  <c r="D128" i="1"/>
  <c r="O127" i="1"/>
  <c r="M127" i="1"/>
  <c r="L127" i="1"/>
  <c r="K127" i="1"/>
  <c r="J127" i="1"/>
  <c r="I127" i="1"/>
  <c r="H127" i="1"/>
  <c r="G127" i="1"/>
  <c r="E127" i="1"/>
  <c r="D127" i="1"/>
  <c r="O126" i="1"/>
  <c r="M126" i="1"/>
  <c r="L126" i="1"/>
  <c r="K126" i="1"/>
  <c r="J126" i="1"/>
  <c r="I126" i="1"/>
  <c r="H126" i="1"/>
  <c r="G126" i="1"/>
  <c r="E126" i="1"/>
  <c r="D126" i="1"/>
  <c r="M125" i="1"/>
  <c r="L125" i="1"/>
  <c r="K125" i="1"/>
  <c r="J125" i="1"/>
  <c r="I125" i="1"/>
  <c r="H125" i="1"/>
  <c r="G125" i="1"/>
  <c r="E125" i="1"/>
  <c r="D125" i="1"/>
  <c r="O124" i="1"/>
  <c r="M124" i="1"/>
  <c r="L124" i="1"/>
  <c r="K124" i="1"/>
  <c r="J124" i="1"/>
  <c r="I124" i="1"/>
  <c r="H124" i="1"/>
  <c r="G124" i="1"/>
  <c r="E124" i="1"/>
  <c r="D124" i="1"/>
  <c r="O123" i="1"/>
  <c r="S118" i="1"/>
  <c r="W117" i="1"/>
  <c r="V117" i="1"/>
  <c r="U117" i="1"/>
  <c r="T117" i="1"/>
  <c r="S117" i="1"/>
  <c r="S116" i="1"/>
  <c r="W115" i="1"/>
  <c r="V115" i="1"/>
  <c r="U115" i="1"/>
  <c r="T115" i="1"/>
  <c r="S115" i="1"/>
  <c r="W114" i="1"/>
  <c r="V114" i="1"/>
  <c r="U114" i="1"/>
  <c r="T114" i="1"/>
  <c r="S114" i="1"/>
  <c r="R114" i="1"/>
  <c r="W113" i="1"/>
  <c r="V113" i="1"/>
  <c r="U113" i="1"/>
  <c r="T113" i="1"/>
  <c r="S113" i="1"/>
  <c r="R113" i="1"/>
  <c r="W112" i="1"/>
  <c r="V112" i="1"/>
  <c r="U112" i="1"/>
  <c r="T112" i="1"/>
  <c r="S112" i="1"/>
  <c r="R112" i="1"/>
  <c r="W111" i="1"/>
  <c r="V111" i="1"/>
  <c r="U111" i="1"/>
  <c r="T111" i="1"/>
  <c r="S111" i="1"/>
  <c r="R111" i="1"/>
  <c r="W110" i="1"/>
  <c r="V110" i="1"/>
  <c r="U110" i="1"/>
  <c r="T110" i="1"/>
  <c r="S110" i="1"/>
  <c r="R110" i="1"/>
  <c r="S109" i="1"/>
  <c r="R109" i="1"/>
  <c r="W108" i="1"/>
  <c r="V108" i="1"/>
  <c r="U108" i="1"/>
  <c r="T108" i="1"/>
  <c r="S108" i="1"/>
  <c r="S107" i="1"/>
  <c r="S106" i="1"/>
  <c r="S105" i="1"/>
  <c r="S104" i="1"/>
  <c r="S103" i="1"/>
  <c r="S102" i="1"/>
  <c r="W101" i="1"/>
  <c r="V101" i="1"/>
  <c r="U101" i="1"/>
  <c r="T101" i="1"/>
  <c r="S101" i="1"/>
  <c r="W100" i="1"/>
  <c r="V100" i="1"/>
  <c r="U100" i="1"/>
  <c r="T100" i="1"/>
  <c r="S100" i="1"/>
  <c r="W99" i="1"/>
  <c r="V99" i="1"/>
  <c r="U99" i="1"/>
  <c r="T99" i="1"/>
  <c r="S99" i="1"/>
  <c r="W98" i="1"/>
  <c r="V98" i="1"/>
  <c r="U98" i="1"/>
  <c r="T98" i="1"/>
  <c r="S98" i="1"/>
  <c r="S97" i="1"/>
  <c r="S96" i="1"/>
  <c r="V96" i="1"/>
  <c r="W95" i="1"/>
  <c r="V95" i="1"/>
  <c r="U95" i="1"/>
  <c r="T95" i="1"/>
  <c r="S95" i="1"/>
  <c r="S94" i="1"/>
  <c r="F94" i="1"/>
  <c r="W93" i="1"/>
  <c r="V93" i="1"/>
  <c r="U93" i="1"/>
  <c r="T93" i="1"/>
  <c r="S93" i="1"/>
  <c r="W92" i="1"/>
  <c r="V92" i="1"/>
  <c r="U92" i="1"/>
  <c r="T92" i="1"/>
  <c r="S92" i="1"/>
  <c r="R92" i="1"/>
  <c r="W91" i="1"/>
  <c r="V91" i="1"/>
  <c r="U91" i="1"/>
  <c r="T91" i="1"/>
  <c r="S91" i="1"/>
  <c r="R91" i="1"/>
  <c r="W90" i="1"/>
  <c r="V90" i="1"/>
  <c r="U90" i="1"/>
  <c r="T90" i="1"/>
  <c r="S90" i="1"/>
  <c r="R90" i="1"/>
  <c r="W89" i="1"/>
  <c r="V89" i="1"/>
  <c r="U89" i="1"/>
  <c r="T89" i="1"/>
  <c r="S89" i="1"/>
  <c r="R89" i="1"/>
  <c r="W88" i="1"/>
  <c r="V88" i="1"/>
  <c r="U88" i="1"/>
  <c r="T88" i="1"/>
  <c r="S88" i="1"/>
  <c r="R88" i="1"/>
  <c r="W87" i="1"/>
  <c r="V87" i="1"/>
  <c r="U87" i="1"/>
  <c r="T87" i="1"/>
  <c r="S87" i="1"/>
  <c r="R87" i="1"/>
  <c r="P87" i="1"/>
  <c r="S86" i="1"/>
  <c r="R86" i="1"/>
  <c r="W85" i="1"/>
  <c r="V85" i="1"/>
  <c r="U85" i="1"/>
  <c r="T85" i="1"/>
  <c r="S85" i="1"/>
  <c r="S84" i="1"/>
  <c r="S83" i="1"/>
  <c r="S82" i="1"/>
  <c r="S81" i="1"/>
  <c r="W80" i="1"/>
  <c r="V80" i="1"/>
  <c r="U80" i="1"/>
  <c r="T80" i="1"/>
  <c r="S80" i="1"/>
  <c r="W79" i="1"/>
  <c r="V79" i="1"/>
  <c r="U79" i="1"/>
  <c r="T79" i="1"/>
  <c r="S79" i="1"/>
  <c r="W78" i="1"/>
  <c r="V78" i="1"/>
  <c r="U78" i="1"/>
  <c r="T78" i="1"/>
  <c r="S78" i="1"/>
  <c r="W77" i="1"/>
  <c r="V77" i="1"/>
  <c r="U77" i="1"/>
  <c r="T77" i="1"/>
  <c r="S77" i="1"/>
  <c r="S76" i="1"/>
  <c r="S75" i="1"/>
  <c r="W74" i="1"/>
  <c r="V74" i="1"/>
  <c r="U74" i="1"/>
  <c r="T74" i="1"/>
  <c r="S74" i="1"/>
  <c r="S73" i="1"/>
  <c r="F73" i="1"/>
  <c r="W72" i="1"/>
  <c r="V72" i="1"/>
  <c r="U72" i="1"/>
  <c r="T72" i="1"/>
  <c r="S72" i="1"/>
  <c r="W71" i="1"/>
  <c r="V71" i="1"/>
  <c r="U71" i="1"/>
  <c r="T71" i="1"/>
  <c r="S71" i="1"/>
  <c r="R71" i="1"/>
  <c r="W70" i="1"/>
  <c r="V70" i="1"/>
  <c r="U70" i="1"/>
  <c r="T70" i="1"/>
  <c r="S70" i="1"/>
  <c r="R70" i="1"/>
  <c r="W69" i="1"/>
  <c r="V69" i="1"/>
  <c r="U69" i="1"/>
  <c r="T69" i="1"/>
  <c r="S69" i="1"/>
  <c r="R69" i="1"/>
  <c r="W68" i="1"/>
  <c r="V68" i="1"/>
  <c r="U68" i="1"/>
  <c r="T68" i="1"/>
  <c r="S68" i="1"/>
  <c r="R68" i="1"/>
  <c r="W67" i="1"/>
  <c r="V67" i="1"/>
  <c r="U67" i="1"/>
  <c r="T67" i="1"/>
  <c r="S67" i="1"/>
  <c r="R67" i="1"/>
  <c r="W66" i="1"/>
  <c r="V66" i="1"/>
  <c r="U66" i="1"/>
  <c r="T66" i="1"/>
  <c r="S66" i="1"/>
  <c r="R66" i="1"/>
  <c r="S65" i="1"/>
  <c r="R65" i="1"/>
  <c r="W64" i="1"/>
  <c r="V64" i="1"/>
  <c r="U64" i="1"/>
  <c r="T64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W36" i="1"/>
  <c r="V36" i="1"/>
  <c r="U36" i="1"/>
  <c r="T36" i="1"/>
  <c r="S36" i="1"/>
  <c r="W35" i="1"/>
  <c r="V35" i="1"/>
  <c r="U35" i="1"/>
  <c r="T35" i="1"/>
  <c r="S35" i="1"/>
  <c r="W34" i="1"/>
  <c r="V34" i="1"/>
  <c r="U34" i="1"/>
  <c r="T34" i="1"/>
  <c r="S34" i="1"/>
  <c r="W33" i="1"/>
  <c r="V33" i="1"/>
  <c r="U33" i="1"/>
  <c r="T33" i="1"/>
  <c r="S33" i="1"/>
  <c r="W32" i="1"/>
  <c r="V32" i="1"/>
  <c r="U32" i="1"/>
  <c r="T32" i="1"/>
  <c r="S32" i="1"/>
  <c r="S31" i="1"/>
  <c r="S30" i="1"/>
  <c r="W29" i="1"/>
  <c r="V29" i="1"/>
  <c r="U29" i="1"/>
  <c r="T29" i="1"/>
  <c r="S29" i="1"/>
  <c r="S28" i="1"/>
  <c r="W27" i="1"/>
  <c r="V27" i="1"/>
  <c r="U27" i="1"/>
  <c r="T27" i="1"/>
  <c r="S27" i="1"/>
  <c r="P27" i="1"/>
  <c r="W26" i="1"/>
  <c r="V26" i="1"/>
  <c r="U26" i="1"/>
  <c r="T26" i="1"/>
  <c r="S26" i="1"/>
  <c r="R26" i="1"/>
  <c r="W25" i="1"/>
  <c r="V25" i="1"/>
  <c r="U25" i="1"/>
  <c r="T25" i="1"/>
  <c r="S25" i="1"/>
  <c r="R25" i="1"/>
  <c r="W24" i="1"/>
  <c r="V24" i="1"/>
  <c r="U24" i="1"/>
  <c r="T24" i="1"/>
  <c r="S24" i="1"/>
  <c r="R24" i="1"/>
  <c r="W23" i="1"/>
  <c r="V23" i="1"/>
  <c r="U23" i="1"/>
  <c r="T23" i="1"/>
  <c r="S23" i="1"/>
  <c r="R23" i="1"/>
  <c r="W22" i="1"/>
  <c r="V22" i="1"/>
  <c r="U22" i="1"/>
  <c r="T22" i="1"/>
  <c r="S22" i="1"/>
  <c r="R22" i="1"/>
  <c r="W21" i="1"/>
  <c r="V21" i="1"/>
  <c r="U21" i="1"/>
  <c r="T21" i="1"/>
  <c r="S21" i="1"/>
  <c r="R21" i="1"/>
  <c r="S20" i="1"/>
  <c r="R20" i="1"/>
  <c r="W19" i="1"/>
  <c r="V19" i="1"/>
  <c r="U19" i="1"/>
  <c r="T19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AR171" i="3" l="1"/>
  <c r="AQ171" i="3"/>
  <c r="AR180" i="3"/>
  <c r="AQ180" i="3"/>
  <c r="AR192" i="3"/>
  <c r="AQ192" i="3"/>
  <c r="AT85" i="6"/>
  <c r="G61" i="4"/>
  <c r="N12" i="3"/>
  <c r="N21" i="3"/>
  <c r="N29" i="3"/>
  <c r="N37" i="3"/>
  <c r="N45" i="3"/>
  <c r="N49" i="3"/>
  <c r="N53" i="3"/>
  <c r="N61" i="3"/>
  <c r="N65" i="3"/>
  <c r="N69" i="3"/>
  <c r="N73" i="3"/>
  <c r="N77" i="3"/>
  <c r="N81" i="3"/>
  <c r="N85" i="3"/>
  <c r="N89" i="3"/>
  <c r="N93" i="3"/>
  <c r="N97" i="3"/>
  <c r="N101" i="3"/>
  <c r="N105" i="3"/>
  <c r="N109" i="3"/>
  <c r="N113" i="3"/>
  <c r="N117" i="3"/>
  <c r="N122" i="3"/>
  <c r="N126" i="3"/>
  <c r="N134" i="3"/>
  <c r="N8" i="3"/>
  <c r="N16" i="3"/>
  <c r="N25" i="3"/>
  <c r="N33" i="3"/>
  <c r="N41" i="3"/>
  <c r="N57" i="3"/>
  <c r="N131" i="3"/>
  <c r="N135" i="3"/>
  <c r="N140" i="3"/>
  <c r="N144" i="3"/>
  <c r="N148" i="3"/>
  <c r="N130" i="3"/>
  <c r="N30" i="3"/>
  <c r="N46" i="3"/>
  <c r="N62" i="3"/>
  <c r="N66" i="3"/>
  <c r="N70" i="3"/>
  <c r="N78" i="3"/>
  <c r="N82" i="3"/>
  <c r="N86" i="3"/>
  <c r="N90" i="3"/>
  <c r="N94" i="3"/>
  <c r="N98" i="3"/>
  <c r="N102" i="3"/>
  <c r="N106" i="3"/>
  <c r="N110" i="3"/>
  <c r="N114" i="3"/>
  <c r="N118" i="3"/>
  <c r="N123" i="3"/>
  <c r="N127" i="3"/>
  <c r="N17" i="3"/>
  <c r="N34" i="3"/>
  <c r="N42" i="3"/>
  <c r="N58" i="3"/>
  <c r="N74" i="3"/>
  <c r="N128" i="3"/>
  <c r="N132" i="3"/>
  <c r="N141" i="3"/>
  <c r="N145" i="3"/>
  <c r="N149" i="3"/>
  <c r="N139" i="3"/>
  <c r="N5" i="3"/>
  <c r="N26" i="3"/>
  <c r="N50" i="3"/>
  <c r="N6" i="3"/>
  <c r="N14" i="3"/>
  <c r="N23" i="3"/>
  <c r="N27" i="3"/>
  <c r="N31" i="3"/>
  <c r="N35" i="3"/>
  <c r="N39" i="3"/>
  <c r="N43" i="3"/>
  <c r="N47" i="3"/>
  <c r="N51" i="3"/>
  <c r="N55" i="3"/>
  <c r="N59" i="3"/>
  <c r="N63" i="3"/>
  <c r="N67" i="3"/>
  <c r="N71" i="3"/>
  <c r="N75" i="3"/>
  <c r="N79" i="3"/>
  <c r="N83" i="3"/>
  <c r="N87" i="3"/>
  <c r="N91" i="3"/>
  <c r="N95" i="3"/>
  <c r="N99" i="3"/>
  <c r="N103" i="3"/>
  <c r="N107" i="3"/>
  <c r="N111" i="3"/>
  <c r="N115" i="3"/>
  <c r="N119" i="3"/>
  <c r="N124" i="3"/>
  <c r="N143" i="3"/>
  <c r="N13" i="3"/>
  <c r="N22" i="3"/>
  <c r="N54" i="3"/>
  <c r="N10" i="3"/>
  <c r="N129" i="3"/>
  <c r="N133" i="3"/>
  <c r="N138" i="3"/>
  <c r="N142" i="3"/>
  <c r="N146" i="3"/>
  <c r="N147" i="3"/>
  <c r="N9" i="3"/>
  <c r="N38" i="3"/>
  <c r="N7" i="3"/>
  <c r="N11" i="3"/>
  <c r="N15" i="3"/>
  <c r="N20" i="3"/>
  <c r="N24" i="3"/>
  <c r="N28" i="3"/>
  <c r="N32" i="3"/>
  <c r="N36" i="3"/>
  <c r="N40" i="3"/>
  <c r="N44" i="3"/>
  <c r="N48" i="3"/>
  <c r="N52" i="3"/>
  <c r="N56" i="3"/>
  <c r="N60" i="3"/>
  <c r="N64" i="3"/>
  <c r="N68" i="3"/>
  <c r="N72" i="3"/>
  <c r="N76" i="3"/>
  <c r="N80" i="3"/>
  <c r="N84" i="3"/>
  <c r="N88" i="3"/>
  <c r="N92" i="3"/>
  <c r="N96" i="3"/>
  <c r="N100" i="3"/>
  <c r="N104" i="3"/>
  <c r="N108" i="3"/>
  <c r="N112" i="3"/>
  <c r="N116" i="3"/>
  <c r="N121" i="3"/>
  <c r="N125" i="3"/>
  <c r="Q192" i="3"/>
  <c r="AP192" i="3" s="1"/>
  <c r="Q189" i="3"/>
  <c r="AP189" i="3" s="1"/>
  <c r="Q169" i="3"/>
  <c r="AP169" i="3" s="1"/>
  <c r="Q175" i="3"/>
  <c r="AP175" i="3" s="1"/>
  <c r="Q181" i="3"/>
  <c r="AP181" i="3" s="1"/>
  <c r="Q185" i="3"/>
  <c r="AP185" i="3" s="1"/>
  <c r="Q188" i="3"/>
  <c r="AP188" i="3" s="1"/>
  <c r="Q180" i="3"/>
  <c r="AP180" i="3" s="1"/>
  <c r="Q178" i="3"/>
  <c r="AP178" i="3" s="1"/>
  <c r="Q168" i="3"/>
  <c r="AP168" i="3" s="1"/>
  <c r="Q174" i="3"/>
  <c r="AP174" i="3" s="1"/>
  <c r="Q184" i="3"/>
  <c r="AP184" i="3" s="1"/>
  <c r="Q187" i="3"/>
  <c r="AP187" i="3" s="1"/>
  <c r="Q191" i="3"/>
  <c r="AP191" i="3" s="1"/>
  <c r="Q167" i="3"/>
  <c r="AP167" i="3" s="1"/>
  <c r="Q171" i="3"/>
  <c r="AP171" i="3" s="1"/>
  <c r="Q173" i="3"/>
  <c r="AP173" i="3" s="1"/>
  <c r="Q177" i="3"/>
  <c r="AP177" i="3" s="1"/>
  <c r="Q183" i="3"/>
  <c r="AP183" i="3" s="1"/>
  <c r="Q190" i="3"/>
  <c r="AP190" i="3" s="1"/>
  <c r="Q166" i="3"/>
  <c r="AP166" i="3" s="1"/>
  <c r="Q170" i="3"/>
  <c r="AP170" i="3" s="1"/>
  <c r="Q176" i="3"/>
  <c r="AP176" i="3" s="1"/>
  <c r="Q182" i="3"/>
  <c r="AP182" i="3" s="1"/>
  <c r="Q186" i="3"/>
  <c r="AP186" i="3" s="1"/>
  <c r="P89" i="1"/>
  <c r="P91" i="1"/>
  <c r="AK192" i="3"/>
  <c r="N4" i="3"/>
  <c r="O83" i="1"/>
  <c r="J84" i="1"/>
  <c r="J94" i="1" s="1"/>
  <c r="U96" i="1"/>
  <c r="T118" i="1"/>
  <c r="U118" i="1"/>
  <c r="H84" i="1"/>
  <c r="H94" i="1" s="1"/>
  <c r="H97" i="1" s="1"/>
  <c r="V83" i="1"/>
  <c r="Z162" i="3" s="1"/>
  <c r="U86" i="1"/>
  <c r="K84" i="1"/>
  <c r="K94" i="1" s="1"/>
  <c r="K97" i="1" s="1"/>
  <c r="V86" i="1"/>
  <c r="W96" i="1"/>
  <c r="V81" i="1"/>
  <c r="W86" i="1"/>
  <c r="T83" i="1"/>
  <c r="X162" i="3" s="1"/>
  <c r="I84" i="1"/>
  <c r="I94" i="1" s="1"/>
  <c r="I97" i="1" s="1"/>
  <c r="N83" i="1"/>
  <c r="O81" i="1"/>
  <c r="N86" i="1"/>
  <c r="P86" i="1" s="1"/>
  <c r="U83" i="1"/>
  <c r="Y162" i="3" s="1"/>
  <c r="W82" i="1"/>
  <c r="W75" i="1"/>
  <c r="T82" i="1"/>
  <c r="N82" i="1"/>
  <c r="U82" i="1"/>
  <c r="V75" i="1"/>
  <c r="L84" i="1"/>
  <c r="L94" i="1" s="1"/>
  <c r="T81" i="1"/>
  <c r="T86" i="1"/>
  <c r="P92" i="1"/>
  <c r="AF191" i="3"/>
  <c r="P90" i="1"/>
  <c r="AF189" i="3"/>
  <c r="AF188" i="3"/>
  <c r="P88" i="1"/>
  <c r="V82" i="1"/>
  <c r="D84" i="1"/>
  <c r="D94" i="1" s="1"/>
  <c r="D97" i="1" s="1"/>
  <c r="M84" i="1"/>
  <c r="M94" i="1" s="1"/>
  <c r="E84" i="1"/>
  <c r="E94" i="1" s="1"/>
  <c r="E97" i="1" s="1"/>
  <c r="G84" i="1"/>
  <c r="AF187" i="3"/>
  <c r="U81" i="1"/>
  <c r="O82" i="1"/>
  <c r="U75" i="1"/>
  <c r="T96" i="1"/>
  <c r="AF190" i="3"/>
  <c r="W81" i="1"/>
  <c r="W83" i="1"/>
  <c r="AA162" i="3" s="1"/>
  <c r="V118" i="1"/>
  <c r="N81" i="1"/>
  <c r="W118" i="1"/>
  <c r="AC182" i="3" l="1"/>
  <c r="AC176" i="3"/>
  <c r="AC170" i="3"/>
  <c r="AC166" i="3"/>
  <c r="AC190" i="3"/>
  <c r="AJ190" i="3" s="1"/>
  <c r="AC183" i="3"/>
  <c r="AC177" i="3"/>
  <c r="AC173" i="3"/>
  <c r="AC171" i="3"/>
  <c r="AJ171" i="3" s="1"/>
  <c r="AK171" i="3" s="1"/>
  <c r="AC167" i="3"/>
  <c r="AC191" i="3"/>
  <c r="AJ191" i="3" s="1"/>
  <c r="AC187" i="3"/>
  <c r="AJ187" i="3" s="1"/>
  <c r="AC184" i="3"/>
  <c r="AC174" i="3"/>
  <c r="AC168" i="3"/>
  <c r="AC178" i="3"/>
  <c r="AC180" i="3"/>
  <c r="AJ180" i="3" s="1"/>
  <c r="AK180" i="3" s="1"/>
  <c r="AC188" i="3"/>
  <c r="AJ188" i="3" s="1"/>
  <c r="AC185" i="3"/>
  <c r="AC181" i="3"/>
  <c r="AC175" i="3"/>
  <c r="AC169" i="3"/>
  <c r="AC189" i="3"/>
  <c r="AJ189" i="3" s="1"/>
  <c r="AT63" i="6"/>
  <c r="G94" i="1"/>
  <c r="G97" i="1" s="1"/>
  <c r="AT14" i="6"/>
  <c r="W14" i="6"/>
  <c r="AA158" i="3"/>
  <c r="AA160" i="3"/>
  <c r="AA159" i="3"/>
  <c r="AA161" i="3"/>
  <c r="Z156" i="3"/>
  <c r="Z154" i="3"/>
  <c r="Z155" i="3"/>
  <c r="Y156" i="3"/>
  <c r="Y154" i="3"/>
  <c r="Y155" i="3"/>
  <c r="Y159" i="3"/>
  <c r="Y158" i="3"/>
  <c r="Y160" i="3"/>
  <c r="Y161" i="3"/>
  <c r="AA155" i="3"/>
  <c r="AA156" i="3"/>
  <c r="AA154" i="3"/>
  <c r="X158" i="3"/>
  <c r="X159" i="3"/>
  <c r="X160" i="3"/>
  <c r="X161" i="3"/>
  <c r="Z160" i="3"/>
  <c r="Z158" i="3"/>
  <c r="Z159" i="3"/>
  <c r="Z161" i="3"/>
  <c r="X154" i="3"/>
  <c r="X155" i="3"/>
  <c r="X156" i="3"/>
  <c r="Z186" i="6"/>
  <c r="Y186" i="6"/>
  <c r="X186" i="6"/>
  <c r="W186" i="6"/>
  <c r="AC186" i="3"/>
  <c r="AL187" i="3"/>
  <c r="AF186" i="3"/>
  <c r="AF208" i="3" s="1"/>
  <c r="AL188" i="3"/>
  <c r="AL186" i="3"/>
  <c r="AL189" i="3"/>
  <c r="P83" i="1"/>
  <c r="AL191" i="3"/>
  <c r="AL190" i="3"/>
  <c r="AQ190" i="3" s="1"/>
  <c r="U97" i="1"/>
  <c r="W84" i="1"/>
  <c r="U84" i="1"/>
  <c r="T84" i="1"/>
  <c r="W94" i="1"/>
  <c r="P82" i="1"/>
  <c r="N84" i="1"/>
  <c r="N94" i="1" s="1"/>
  <c r="N97" i="1" s="1"/>
  <c r="P81" i="1"/>
  <c r="O84" i="1"/>
  <c r="O94" i="1" s="1"/>
  <c r="O97" i="1" s="1"/>
  <c r="V84" i="1"/>
  <c r="L97" i="1"/>
  <c r="V97" i="1" s="1"/>
  <c r="V94" i="1"/>
  <c r="J97" i="1"/>
  <c r="T97" i="1" s="1"/>
  <c r="T94" i="1"/>
  <c r="U94" i="1"/>
  <c r="M97" i="1"/>
  <c r="W97" i="1" s="1"/>
  <c r="W11" i="6" l="1"/>
  <c r="AR191" i="3"/>
  <c r="AQ191" i="3"/>
  <c r="AR189" i="3"/>
  <c r="AQ189" i="3"/>
  <c r="AR186" i="3"/>
  <c r="AQ186" i="3"/>
  <c r="AR188" i="3"/>
  <c r="AQ188" i="3"/>
  <c r="AR187" i="3"/>
  <c r="AQ187" i="3"/>
  <c r="AK190" i="3"/>
  <c r="AR190" i="3"/>
  <c r="AK188" i="3"/>
  <c r="AK191" i="3"/>
  <c r="AK189" i="3"/>
  <c r="AK187" i="3"/>
  <c r="W12" i="6"/>
  <c r="W9" i="6"/>
  <c r="W10" i="6"/>
  <c r="W13" i="6"/>
  <c r="W7" i="6"/>
  <c r="W8" i="6"/>
  <c r="AJ186" i="3"/>
  <c r="AK186" i="3" s="1"/>
  <c r="P84" i="1"/>
  <c r="P94" i="1" l="1"/>
  <c r="P97" i="1" s="1"/>
  <c r="O128" i="1" l="1"/>
  <c r="I16" i="4" l="1"/>
  <c r="I37" i="4"/>
  <c r="U61" i="4" l="1"/>
  <c r="P37" i="4"/>
  <c r="Q37" i="4" s="1"/>
  <c r="P16" i="4"/>
  <c r="Q16" i="4" s="1"/>
  <c r="U37" i="4"/>
  <c r="U16" i="4"/>
  <c r="V16" i="4"/>
  <c r="W16" i="4" l="1"/>
  <c r="T30" i="1" l="1"/>
  <c r="V30" i="1"/>
  <c r="Q165" i="3" l="1"/>
  <c r="AP165" i="3" s="1"/>
  <c r="W104" i="1"/>
  <c r="V103" i="1"/>
  <c r="V105" i="1"/>
  <c r="Z148" i="3" s="1"/>
  <c r="V104" i="1"/>
  <c r="W105" i="1"/>
  <c r="AA148" i="3" s="1"/>
  <c r="U165" i="3"/>
  <c r="T75" i="1"/>
  <c r="U30" i="1"/>
  <c r="T104" i="1" l="1"/>
  <c r="X147" i="3" s="1"/>
  <c r="T103" i="1"/>
  <c r="V109" i="1"/>
  <c r="W103" i="1"/>
  <c r="AQ165" i="3"/>
  <c r="T105" i="1"/>
  <c r="X148" i="3" s="1"/>
  <c r="U105" i="1"/>
  <c r="Y148" i="3" s="1"/>
  <c r="O105" i="1"/>
  <c r="N106" i="1"/>
  <c r="O104" i="1"/>
  <c r="U104" i="1"/>
  <c r="AF168" i="3"/>
  <c r="AJ168" i="3" s="1"/>
  <c r="P112" i="1"/>
  <c r="AL168" i="3" s="1"/>
  <c r="N109" i="1"/>
  <c r="V102" i="1"/>
  <c r="L107" i="1"/>
  <c r="L116" i="1" s="1"/>
  <c r="Z144" i="3"/>
  <c r="Z143" i="3"/>
  <c r="Z142" i="3"/>
  <c r="D107" i="1"/>
  <c r="D116" i="1" s="1"/>
  <c r="D119" i="1" s="1"/>
  <c r="J107" i="1"/>
  <c r="J116" i="1" s="1"/>
  <c r="T102" i="1"/>
  <c r="AA147" i="3"/>
  <c r="AA146" i="3"/>
  <c r="AA145" i="3"/>
  <c r="AC165" i="3"/>
  <c r="I107" i="1"/>
  <c r="I116" i="1" s="1"/>
  <c r="I119" i="1" s="1"/>
  <c r="T109" i="1"/>
  <c r="U103" i="1"/>
  <c r="O103" i="1"/>
  <c r="N105" i="1"/>
  <c r="W102" i="1"/>
  <c r="M107" i="1"/>
  <c r="AF170" i="3"/>
  <c r="AJ170" i="3" s="1"/>
  <c r="P114" i="1"/>
  <c r="AL170" i="3" s="1"/>
  <c r="W106" i="1"/>
  <c r="AF174" i="3"/>
  <c r="AJ174" i="3" s="1"/>
  <c r="AI165" i="3"/>
  <c r="AH165" i="3"/>
  <c r="AG165" i="3"/>
  <c r="AE165" i="3"/>
  <c r="AD165" i="3"/>
  <c r="W109" i="1"/>
  <c r="N103" i="1"/>
  <c r="AF169" i="3"/>
  <c r="AJ169" i="3" s="1"/>
  <c r="P113" i="1"/>
  <c r="AL169" i="3" s="1"/>
  <c r="N104" i="1"/>
  <c r="Z147" i="3"/>
  <c r="Z146" i="3"/>
  <c r="Z145" i="3"/>
  <c r="U102" i="1"/>
  <c r="O102" i="1"/>
  <c r="K107" i="1"/>
  <c r="K116" i="1" s="1"/>
  <c r="AA142" i="3"/>
  <c r="AA144" i="3"/>
  <c r="AA143" i="3"/>
  <c r="O111" i="1"/>
  <c r="P111" i="1" s="1"/>
  <c r="AL167" i="3" s="1"/>
  <c r="AF167" i="3"/>
  <c r="AJ167" i="3" s="1"/>
  <c r="H107" i="1"/>
  <c r="H116" i="1" s="1"/>
  <c r="H119" i="1" s="1"/>
  <c r="G107" i="1"/>
  <c r="N102" i="1"/>
  <c r="E107" i="1"/>
  <c r="E116" i="1" s="1"/>
  <c r="E119" i="1" s="1"/>
  <c r="T106" i="1"/>
  <c r="P110" i="1"/>
  <c r="N124" i="1"/>
  <c r="AF166" i="3"/>
  <c r="AJ166" i="3" s="1"/>
  <c r="O106" i="1"/>
  <c r="U106" i="1"/>
  <c r="X143" i="3"/>
  <c r="X144" i="3"/>
  <c r="X142" i="3"/>
  <c r="V106" i="1"/>
  <c r="U109" i="1"/>
  <c r="W30" i="1"/>
  <c r="X146" i="3" l="1"/>
  <c r="X145" i="3"/>
  <c r="W21" i="6"/>
  <c r="AR167" i="3"/>
  <c r="AQ167" i="3"/>
  <c r="AR169" i="3"/>
  <c r="AQ169" i="3"/>
  <c r="AR170" i="3"/>
  <c r="AQ170" i="3"/>
  <c r="AR168" i="3"/>
  <c r="AQ168" i="3"/>
  <c r="P105" i="1"/>
  <c r="G116" i="1"/>
  <c r="G119" i="1" s="1"/>
  <c r="P104" i="1"/>
  <c r="AK169" i="3"/>
  <c r="O22" i="1"/>
  <c r="P103" i="1"/>
  <c r="N107" i="1"/>
  <c r="N116" i="1" s="1"/>
  <c r="N119" i="1" s="1"/>
  <c r="P102" i="1"/>
  <c r="Y150" i="3"/>
  <c r="Y149" i="3"/>
  <c r="V116" i="1"/>
  <c r="L119" i="1"/>
  <c r="O107" i="1"/>
  <c r="O116" i="1" s="1"/>
  <c r="O119" i="1" s="1"/>
  <c r="AK170" i="3"/>
  <c r="W16" i="1"/>
  <c r="V16" i="1"/>
  <c r="T16" i="1"/>
  <c r="W4" i="1"/>
  <c r="AA141" i="3" s="1"/>
  <c r="V14" i="1"/>
  <c r="Z101" i="3" s="1"/>
  <c r="V15" i="1"/>
  <c r="W14" i="1"/>
  <c r="AA101" i="3" s="1"/>
  <c r="W15" i="1"/>
  <c r="V9" i="1"/>
  <c r="Z100" i="3" s="1"/>
  <c r="V11" i="1"/>
  <c r="Z137" i="3" s="1"/>
  <c r="V13" i="1"/>
  <c r="V4" i="1"/>
  <c r="Z141" i="3" s="1"/>
  <c r="W13" i="1"/>
  <c r="W17" i="1"/>
  <c r="AA157" i="3" s="1"/>
  <c r="W5" i="1"/>
  <c r="W10" i="1"/>
  <c r="AA127" i="3" s="1"/>
  <c r="T15" i="1"/>
  <c r="X16" i="1"/>
  <c r="Y152" i="3"/>
  <c r="Y151" i="3"/>
  <c r="Y153" i="3"/>
  <c r="P109" i="1"/>
  <c r="AF165" i="3"/>
  <c r="AF205" i="3" s="1"/>
  <c r="W19" i="6"/>
  <c r="X150" i="3"/>
  <c r="X149" i="3"/>
  <c r="AK167" i="3"/>
  <c r="M116" i="1"/>
  <c r="W107" i="1"/>
  <c r="T116" i="1"/>
  <c r="J119" i="1"/>
  <c r="AK168" i="3"/>
  <c r="W18" i="6"/>
  <c r="Z149" i="3"/>
  <c r="Z150" i="3"/>
  <c r="AL166" i="3"/>
  <c r="AQ166" i="3" s="1"/>
  <c r="P124" i="1"/>
  <c r="AA153" i="3"/>
  <c r="AA151" i="3"/>
  <c r="AA152" i="3"/>
  <c r="X153" i="3"/>
  <c r="X151" i="3"/>
  <c r="X152" i="3"/>
  <c r="V107" i="1"/>
  <c r="W20" i="6"/>
  <c r="Y144" i="3"/>
  <c r="Y143" i="3"/>
  <c r="Y142" i="3"/>
  <c r="X15" i="1"/>
  <c r="T107" i="1"/>
  <c r="Z153" i="3"/>
  <c r="Z151" i="3"/>
  <c r="Z152" i="3"/>
  <c r="Y147" i="3"/>
  <c r="Y146" i="3"/>
  <c r="Y145" i="3"/>
  <c r="W9" i="1"/>
  <c r="AA100" i="3" s="1"/>
  <c r="P106" i="1"/>
  <c r="K119" i="1"/>
  <c r="U116" i="1"/>
  <c r="U107" i="1"/>
  <c r="AA149" i="3"/>
  <c r="AA150" i="3"/>
  <c r="P22" i="1"/>
  <c r="AA110" i="3"/>
  <c r="AA108" i="3"/>
  <c r="AA107" i="3"/>
  <c r="AA109" i="3"/>
  <c r="AA111" i="3"/>
  <c r="Z129" i="3"/>
  <c r="Z131" i="3"/>
  <c r="Z130" i="3"/>
  <c r="Z134" i="3"/>
  <c r="Z133" i="3"/>
  <c r="Z132" i="3"/>
  <c r="Z136" i="3"/>
  <c r="Z135" i="3"/>
  <c r="X9" i="1" l="1"/>
  <c r="T13" i="1"/>
  <c r="T14" i="1"/>
  <c r="X101" i="3" s="1"/>
  <c r="W28" i="6" s="1"/>
  <c r="X11" i="1"/>
  <c r="AL165" i="3"/>
  <c r="AR165" i="3" s="1"/>
  <c r="N13" i="1"/>
  <c r="T7" i="1"/>
  <c r="X105" i="3" s="1"/>
  <c r="T9" i="1"/>
  <c r="X100" i="3" s="1"/>
  <c r="T17" i="1"/>
  <c r="X157" i="3" s="1"/>
  <c r="W11" i="1"/>
  <c r="AA137" i="3" s="1"/>
  <c r="W7" i="1"/>
  <c r="AA104" i="3" s="1"/>
  <c r="X17" i="1"/>
  <c r="T5" i="1"/>
  <c r="AA125" i="3"/>
  <c r="V10" i="1"/>
  <c r="Z126" i="3" s="1"/>
  <c r="AA123" i="3"/>
  <c r="AA128" i="3"/>
  <c r="N8" i="1"/>
  <c r="AK166" i="3"/>
  <c r="AR166" i="3"/>
  <c r="AA126" i="3"/>
  <c r="AA124" i="3"/>
  <c r="T10" i="1"/>
  <c r="X124" i="3" s="1"/>
  <c r="W65" i="6"/>
  <c r="X4" i="1"/>
  <c r="X6" i="1"/>
  <c r="T4" i="1"/>
  <c r="X141" i="3" s="1"/>
  <c r="X10" i="1"/>
  <c r="T11" i="1"/>
  <c r="W23" i="6"/>
  <c r="AF173" i="3"/>
  <c r="AJ173" i="3" s="1"/>
  <c r="O21" i="1"/>
  <c r="P21" i="1" s="1"/>
  <c r="AL173" i="3" s="1"/>
  <c r="N20" i="1"/>
  <c r="O12" i="1"/>
  <c r="U12" i="1"/>
  <c r="T8" i="1"/>
  <c r="U17" i="1"/>
  <c r="Y157" i="3" s="1"/>
  <c r="O17" i="1"/>
  <c r="D18" i="1"/>
  <c r="U13" i="1"/>
  <c r="O13" i="1"/>
  <c r="P13" i="1" s="1"/>
  <c r="U20" i="1"/>
  <c r="N15" i="1"/>
  <c r="V20" i="1"/>
  <c r="N9" i="1"/>
  <c r="X12" i="1"/>
  <c r="AF176" i="3"/>
  <c r="AJ176" i="3" s="1"/>
  <c r="P25" i="1"/>
  <c r="T6" i="1"/>
  <c r="M18" i="1"/>
  <c r="W3" i="1"/>
  <c r="U9" i="1"/>
  <c r="Y100" i="3" s="1"/>
  <c r="O9" i="1"/>
  <c r="V3" i="1"/>
  <c r="L18" i="1"/>
  <c r="V12" i="1"/>
  <c r="N5" i="1"/>
  <c r="X5" i="1"/>
  <c r="U5" i="1"/>
  <c r="O5" i="1"/>
  <c r="W20" i="1"/>
  <c r="V8" i="1"/>
  <c r="U10" i="1"/>
  <c r="O10" i="1"/>
  <c r="N12" i="1"/>
  <c r="N11" i="1"/>
  <c r="P107" i="1"/>
  <c r="X102" i="3"/>
  <c r="X103" i="3"/>
  <c r="W6" i="1"/>
  <c r="O8" i="1"/>
  <c r="P8" i="1" s="1"/>
  <c r="U8" i="1"/>
  <c r="T12" i="1"/>
  <c r="AA129" i="3"/>
  <c r="AA131" i="3"/>
  <c r="AA130" i="3"/>
  <c r="AA132" i="3"/>
  <c r="AA136" i="3"/>
  <c r="AA134" i="3"/>
  <c r="AA135" i="3"/>
  <c r="U15" i="1"/>
  <c r="O15" i="1"/>
  <c r="X14" i="1"/>
  <c r="X13" i="1"/>
  <c r="W15" i="6"/>
  <c r="AA105" i="3"/>
  <c r="AA106" i="3"/>
  <c r="AA102" i="3"/>
  <c r="X7" i="1"/>
  <c r="Q172" i="3"/>
  <c r="AP172" i="3" s="1"/>
  <c r="Z122" i="3"/>
  <c r="Z121" i="3"/>
  <c r="W8" i="1"/>
  <c r="O11" i="1"/>
  <c r="U11" i="1"/>
  <c r="Y137" i="3" s="1"/>
  <c r="H18" i="1"/>
  <c r="X3" i="1"/>
  <c r="N4" i="1"/>
  <c r="AF177" i="3"/>
  <c r="AJ177" i="3" s="1"/>
  <c r="P26" i="1"/>
  <c r="W16" i="6"/>
  <c r="W25" i="6"/>
  <c r="M119" i="1"/>
  <c r="W116" i="1"/>
  <c r="T3" i="1"/>
  <c r="J18" i="1"/>
  <c r="N6" i="1"/>
  <c r="AA122" i="3"/>
  <c r="AA121" i="3"/>
  <c r="X8" i="1"/>
  <c r="V6" i="1"/>
  <c r="K18" i="1"/>
  <c r="O3" i="1"/>
  <c r="U3" i="1"/>
  <c r="V5" i="1"/>
  <c r="AF175" i="3"/>
  <c r="AJ175" i="3" s="1"/>
  <c r="P24" i="1"/>
  <c r="AJ165" i="3"/>
  <c r="W17" i="6"/>
  <c r="W26" i="6"/>
  <c r="N3" i="1"/>
  <c r="G18" i="1"/>
  <c r="X127" i="3"/>
  <c r="X128" i="3"/>
  <c r="X123" i="3"/>
  <c r="W12" i="1"/>
  <c r="O7" i="1"/>
  <c r="U7" i="1"/>
  <c r="T20" i="1"/>
  <c r="U172" i="3"/>
  <c r="N7" i="1"/>
  <c r="U16" i="1"/>
  <c r="O16" i="1"/>
  <c r="I18" i="1"/>
  <c r="N17" i="1"/>
  <c r="W24" i="6"/>
  <c r="W22" i="6"/>
  <c r="P23" i="1"/>
  <c r="AF178" i="3"/>
  <c r="AJ178" i="3" s="1"/>
  <c r="X121" i="3"/>
  <c r="X122" i="3"/>
  <c r="U4" i="1"/>
  <c r="Y141" i="3" s="1"/>
  <c r="O4" i="1"/>
  <c r="O6" i="1"/>
  <c r="U6" i="1"/>
  <c r="U14" i="1"/>
  <c r="Y101" i="3" s="1"/>
  <c r="O14" i="1"/>
  <c r="N16" i="1"/>
  <c r="N10" i="1"/>
  <c r="P10" i="1" s="1"/>
  <c r="V17" i="1"/>
  <c r="Z157" i="3" s="1"/>
  <c r="E18" i="1"/>
  <c r="V7" i="1"/>
  <c r="N14" i="1"/>
  <c r="AL174" i="3"/>
  <c r="AQ174" i="3" s="1"/>
  <c r="X104" i="3" l="1"/>
  <c r="Z124" i="3"/>
  <c r="X126" i="3"/>
  <c r="Z125" i="3"/>
  <c r="X125" i="3"/>
  <c r="X106" i="3"/>
  <c r="AA103" i="3"/>
  <c r="Z127" i="3"/>
  <c r="Z128" i="3"/>
  <c r="AK165" i="3"/>
  <c r="AA133" i="3"/>
  <c r="X107" i="3"/>
  <c r="X108" i="3"/>
  <c r="X109" i="3"/>
  <c r="X111" i="3"/>
  <c r="X110" i="3"/>
  <c r="W27" i="6"/>
  <c r="W69" i="6"/>
  <c r="Z123" i="3"/>
  <c r="AR173" i="3"/>
  <c r="AQ173" i="3"/>
  <c r="AK174" i="3"/>
  <c r="AR174" i="3"/>
  <c r="X129" i="3"/>
  <c r="X137" i="3"/>
  <c r="W55" i="6"/>
  <c r="P116" i="1"/>
  <c r="X136" i="3"/>
  <c r="X135" i="3"/>
  <c r="X134" i="3"/>
  <c r="X133" i="3"/>
  <c r="X132" i="3"/>
  <c r="X131" i="3"/>
  <c r="X130" i="3"/>
  <c r="W54" i="6"/>
  <c r="V37" i="4"/>
  <c r="W51" i="6"/>
  <c r="P12" i="1"/>
  <c r="W52" i="6"/>
  <c r="W53" i="6"/>
  <c r="W50" i="6"/>
  <c r="P9" i="1"/>
  <c r="P5" i="1"/>
  <c r="P17" i="1"/>
  <c r="P119" i="1"/>
  <c r="AE172" i="3"/>
  <c r="AD172" i="3"/>
  <c r="AH172" i="3"/>
  <c r="AI172" i="3"/>
  <c r="AG172" i="3"/>
  <c r="W36" i="6"/>
  <c r="P4" i="1"/>
  <c r="AC172" i="3"/>
  <c r="Y119" i="3"/>
  <c r="Y116" i="3"/>
  <c r="Y118" i="3"/>
  <c r="Y120" i="3"/>
  <c r="Y117" i="3"/>
  <c r="P11" i="1"/>
  <c r="Y111" i="3"/>
  <c r="Y109" i="3"/>
  <c r="Y110" i="3"/>
  <c r="Y107" i="3"/>
  <c r="Y108" i="3"/>
  <c r="AK173" i="3"/>
  <c r="W49" i="6"/>
  <c r="Z110" i="3"/>
  <c r="Z111" i="3"/>
  <c r="Z109" i="3"/>
  <c r="Z107" i="3"/>
  <c r="Z108" i="3"/>
  <c r="AA139" i="3"/>
  <c r="AA138" i="3"/>
  <c r="AA140" i="3"/>
  <c r="P20" i="1"/>
  <c r="AF172" i="3"/>
  <c r="AF206" i="3" s="1"/>
  <c r="P16" i="1"/>
  <c r="W48" i="6"/>
  <c r="I28" i="1"/>
  <c r="Y105" i="3"/>
  <c r="Y106" i="3"/>
  <c r="Y102" i="3"/>
  <c r="Y104" i="3"/>
  <c r="Y103" i="3"/>
  <c r="AL175" i="3"/>
  <c r="AQ175" i="3" s="1"/>
  <c r="Y138" i="3"/>
  <c r="Y139" i="3"/>
  <c r="Y140" i="3"/>
  <c r="P6" i="1"/>
  <c r="AL177" i="3"/>
  <c r="AQ177" i="3" s="1"/>
  <c r="H28" i="1"/>
  <c r="AA113" i="3"/>
  <c r="AA115" i="3"/>
  <c r="AA114" i="3"/>
  <c r="AA112" i="3"/>
  <c r="M28" i="1"/>
  <c r="W18" i="1"/>
  <c r="Y122" i="3"/>
  <c r="Y121" i="3"/>
  <c r="E28" i="1"/>
  <c r="G28" i="1"/>
  <c r="O18" i="1"/>
  <c r="J28" i="1"/>
  <c r="T18" i="1"/>
  <c r="Y130" i="3"/>
  <c r="Y136" i="3"/>
  <c r="Y133" i="3"/>
  <c r="Y131" i="3"/>
  <c r="Y135" i="3"/>
  <c r="Y129" i="3"/>
  <c r="Y134" i="3"/>
  <c r="Y132" i="3"/>
  <c r="W38" i="6"/>
  <c r="Y125" i="3"/>
  <c r="Y127" i="3"/>
  <c r="Y128" i="3"/>
  <c r="Y124" i="3"/>
  <c r="Y126" i="3"/>
  <c r="Y123" i="3"/>
  <c r="X115" i="3"/>
  <c r="X114" i="3"/>
  <c r="X112" i="3"/>
  <c r="X113" i="3"/>
  <c r="D28" i="1"/>
  <c r="X116" i="3"/>
  <c r="X118" i="3"/>
  <c r="X120" i="3"/>
  <c r="X117" i="3"/>
  <c r="X119" i="3"/>
  <c r="N18" i="1"/>
  <c r="P3" i="1"/>
  <c r="U18" i="1"/>
  <c r="X140" i="3"/>
  <c r="X139" i="3"/>
  <c r="X138" i="3"/>
  <c r="W35" i="6"/>
  <c r="Z117" i="3"/>
  <c r="Z118" i="3"/>
  <c r="Z116" i="3"/>
  <c r="Z120" i="3"/>
  <c r="Z119" i="3"/>
  <c r="AL176" i="3"/>
  <c r="AQ176" i="3" s="1"/>
  <c r="P14" i="1"/>
  <c r="Y112" i="3"/>
  <c r="Y115" i="3"/>
  <c r="Y113" i="3"/>
  <c r="Y114" i="3"/>
  <c r="AL178" i="3"/>
  <c r="AQ178" i="3" s="1"/>
  <c r="P7" i="1"/>
  <c r="K28" i="1"/>
  <c r="AA119" i="3"/>
  <c r="AA116" i="3"/>
  <c r="AA117" i="3"/>
  <c r="AA118" i="3"/>
  <c r="AA120" i="3"/>
  <c r="W34" i="6"/>
  <c r="V18" i="1"/>
  <c r="L28" i="1"/>
  <c r="Z104" i="3"/>
  <c r="Z102" i="3"/>
  <c r="Z105" i="3"/>
  <c r="Z106" i="3"/>
  <c r="Z103" i="3"/>
  <c r="Z112" i="3"/>
  <c r="Z115" i="3"/>
  <c r="Z113" i="3"/>
  <c r="Z114" i="3"/>
  <c r="W37" i="6"/>
  <c r="Z140" i="3"/>
  <c r="Z138" i="3"/>
  <c r="Z139" i="3"/>
  <c r="P15" i="1"/>
  <c r="W29" i="6" l="1"/>
  <c r="W32" i="6"/>
  <c r="W33" i="6"/>
  <c r="W31" i="6"/>
  <c r="W30" i="6"/>
  <c r="W58" i="6"/>
  <c r="W60" i="6"/>
  <c r="W64" i="6"/>
  <c r="W56" i="6"/>
  <c r="AK178" i="3"/>
  <c r="AR178" i="3"/>
  <c r="AK176" i="3"/>
  <c r="AR176" i="3"/>
  <c r="AK177" i="3"/>
  <c r="AR177" i="3"/>
  <c r="AK175" i="3"/>
  <c r="AR175" i="3"/>
  <c r="W62" i="6"/>
  <c r="W63" i="6"/>
  <c r="W37" i="4"/>
  <c r="W61" i="6"/>
  <c r="W59" i="6"/>
  <c r="W57" i="6"/>
  <c r="O66" i="1"/>
  <c r="P66" i="1" s="1"/>
  <c r="V38" i="1"/>
  <c r="T47" i="1"/>
  <c r="H123" i="1"/>
  <c r="W45" i="1"/>
  <c r="V57" i="1"/>
  <c r="T59" i="1"/>
  <c r="W47" i="1"/>
  <c r="W54" i="1"/>
  <c r="W59" i="1"/>
  <c r="V42" i="1"/>
  <c r="V55" i="1"/>
  <c r="W62" i="1"/>
  <c r="V41" i="1"/>
  <c r="Z19" i="3" s="1"/>
  <c r="V54" i="1"/>
  <c r="I123" i="1"/>
  <c r="W38" i="1"/>
  <c r="W41" i="1"/>
  <c r="AA19" i="3" s="1"/>
  <c r="AI19" i="3" s="1"/>
  <c r="T62" i="1"/>
  <c r="T45" i="1"/>
  <c r="W39" i="1"/>
  <c r="W49" i="1"/>
  <c r="T38" i="1"/>
  <c r="W53" i="1"/>
  <c r="J31" i="1"/>
  <c r="W47" i="6"/>
  <c r="W42" i="6"/>
  <c r="O28" i="1"/>
  <c r="W44" i="6"/>
  <c r="V28" i="1"/>
  <c r="L31" i="1"/>
  <c r="K31" i="1"/>
  <c r="U28" i="1"/>
  <c r="W68" i="6"/>
  <c r="N28" i="1"/>
  <c r="P18" i="1"/>
  <c r="W45" i="6"/>
  <c r="M31" i="1"/>
  <c r="W28" i="1"/>
  <c r="W67" i="6"/>
  <c r="W43" i="6"/>
  <c r="T28" i="1"/>
  <c r="E31" i="1"/>
  <c r="W66" i="6"/>
  <c r="H31" i="1"/>
  <c r="AL172" i="3"/>
  <c r="D31" i="1"/>
  <c r="W41" i="6"/>
  <c r="W40" i="6"/>
  <c r="AJ172" i="3"/>
  <c r="W46" i="6"/>
  <c r="W39" i="6"/>
  <c r="G31" i="1"/>
  <c r="I31" i="1"/>
  <c r="T54" i="1" l="1"/>
  <c r="AH19" i="3"/>
  <c r="T58" i="1"/>
  <c r="T40" i="1"/>
  <c r="X16" i="3" s="1"/>
  <c r="T50" i="1"/>
  <c r="T55" i="1"/>
  <c r="T41" i="1"/>
  <c r="X19" i="3" s="1"/>
  <c r="AE19" i="3" s="1"/>
  <c r="AR172" i="3"/>
  <c r="AQ172" i="3"/>
  <c r="N42" i="1"/>
  <c r="W40" i="1"/>
  <c r="AA16" i="3" s="1"/>
  <c r="W61" i="1"/>
  <c r="T61" i="1"/>
  <c r="T56" i="1"/>
  <c r="X88" i="3" s="1"/>
  <c r="V47" i="1"/>
  <c r="V62" i="1"/>
  <c r="W50" i="1"/>
  <c r="AA60" i="3" s="1"/>
  <c r="N51" i="1"/>
  <c r="N40" i="1"/>
  <c r="W48" i="1"/>
  <c r="AA51" i="3" s="1"/>
  <c r="V46" i="1"/>
  <c r="Z43" i="3" s="1"/>
  <c r="E63" i="1"/>
  <c r="E73" i="1" s="1"/>
  <c r="N61" i="1"/>
  <c r="O52" i="1"/>
  <c r="U52" i="1"/>
  <c r="AA77" i="3"/>
  <c r="AA76" i="3"/>
  <c r="AA73" i="3"/>
  <c r="AA75" i="3"/>
  <c r="AA74" i="3"/>
  <c r="U56" i="1"/>
  <c r="O56" i="1"/>
  <c r="Z80" i="3"/>
  <c r="Z82" i="3"/>
  <c r="Z83" i="3"/>
  <c r="Z81" i="3"/>
  <c r="N46" i="1"/>
  <c r="O49" i="1"/>
  <c r="U49" i="1"/>
  <c r="Z27" i="3"/>
  <c r="Z20" i="3"/>
  <c r="Z21" i="3"/>
  <c r="Z29" i="3"/>
  <c r="Z25" i="3"/>
  <c r="Z24" i="3"/>
  <c r="Z23" i="3"/>
  <c r="Z28" i="3"/>
  <c r="Z22" i="3"/>
  <c r="Z26" i="3"/>
  <c r="X80" i="3"/>
  <c r="X81" i="3"/>
  <c r="X82" i="3"/>
  <c r="X83" i="3"/>
  <c r="W42" i="1"/>
  <c r="T49" i="1"/>
  <c r="V60" i="1"/>
  <c r="Z99" i="3" s="1"/>
  <c r="AF181" i="3"/>
  <c r="AJ181" i="3" s="1"/>
  <c r="O67" i="1"/>
  <c r="N125" i="1"/>
  <c r="T57" i="1"/>
  <c r="W56" i="1"/>
  <c r="O61" i="1"/>
  <c r="U61" i="1"/>
  <c r="U45" i="1"/>
  <c r="O45" i="1"/>
  <c r="U50" i="1"/>
  <c r="O50" i="1"/>
  <c r="I63" i="1"/>
  <c r="V40" i="1"/>
  <c r="Z16" i="3" s="1"/>
  <c r="W57" i="1"/>
  <c r="O40" i="1"/>
  <c r="P40" i="1" s="1"/>
  <c r="U40" i="1"/>
  <c r="Y16" i="3" s="1"/>
  <c r="U31" i="1"/>
  <c r="T31" i="1"/>
  <c r="W65" i="1"/>
  <c r="M123" i="1"/>
  <c r="X18" i="3"/>
  <c r="X17" i="3"/>
  <c r="AA18" i="3"/>
  <c r="AA17" i="3"/>
  <c r="U39" i="1"/>
  <c r="O39" i="1"/>
  <c r="N48" i="1"/>
  <c r="AF185" i="3"/>
  <c r="AJ185" i="3" s="1"/>
  <c r="P68" i="1"/>
  <c r="N129" i="1"/>
  <c r="T46" i="1"/>
  <c r="V44" i="1"/>
  <c r="N45" i="1"/>
  <c r="U42" i="1"/>
  <c r="O42" i="1"/>
  <c r="P42" i="1" s="1"/>
  <c r="N50" i="1"/>
  <c r="V49" i="1"/>
  <c r="V45" i="1"/>
  <c r="T53" i="1"/>
  <c r="AA14" i="3"/>
  <c r="AA15" i="3"/>
  <c r="P70" i="1"/>
  <c r="AF183" i="3"/>
  <c r="AJ183" i="3" s="1"/>
  <c r="N127" i="1"/>
  <c r="N54" i="1"/>
  <c r="N59" i="1"/>
  <c r="X78" i="3"/>
  <c r="X79" i="3"/>
  <c r="N56" i="1"/>
  <c r="O47" i="1"/>
  <c r="U47" i="1"/>
  <c r="W43" i="1"/>
  <c r="V65" i="1"/>
  <c r="L123" i="1"/>
  <c r="V52" i="1"/>
  <c r="N47" i="1"/>
  <c r="V48" i="1"/>
  <c r="W44" i="1"/>
  <c r="L63" i="1"/>
  <c r="L73" i="1" s="1"/>
  <c r="V37" i="1"/>
  <c r="O48" i="1"/>
  <c r="U48" i="1"/>
  <c r="Z17" i="3"/>
  <c r="Z18" i="3"/>
  <c r="T44" i="1"/>
  <c r="V43" i="1"/>
  <c r="O43" i="1"/>
  <c r="U43" i="1"/>
  <c r="T48" i="1"/>
  <c r="G63" i="1"/>
  <c r="N37" i="1"/>
  <c r="U179" i="3"/>
  <c r="E123" i="1"/>
  <c r="V51" i="1"/>
  <c r="N55" i="1"/>
  <c r="W37" i="1"/>
  <c r="M63" i="1"/>
  <c r="M73" i="1" s="1"/>
  <c r="V50" i="1"/>
  <c r="N44" i="1"/>
  <c r="N62" i="1"/>
  <c r="N52" i="1"/>
  <c r="P52" i="1" s="1"/>
  <c r="N43" i="1"/>
  <c r="AA78" i="3"/>
  <c r="AA79" i="3"/>
  <c r="V39" i="1"/>
  <c r="AF182" i="3"/>
  <c r="AJ182" i="3" s="1"/>
  <c r="P69" i="1"/>
  <c r="N126" i="1"/>
  <c r="N39" i="1"/>
  <c r="P39" i="1" s="1"/>
  <c r="T51" i="1"/>
  <c r="W46" i="1"/>
  <c r="N57" i="1"/>
  <c r="U65" i="1"/>
  <c r="K123" i="1"/>
  <c r="N65" i="1"/>
  <c r="G123" i="1"/>
  <c r="N60" i="1"/>
  <c r="U62" i="1"/>
  <c r="O62" i="1"/>
  <c r="V59" i="1"/>
  <c r="V61" i="1"/>
  <c r="V58" i="1"/>
  <c r="U59" i="1"/>
  <c r="O59" i="1"/>
  <c r="AF184" i="3"/>
  <c r="AJ184" i="3" s="1"/>
  <c r="P71" i="1"/>
  <c r="N128" i="1"/>
  <c r="O57" i="1"/>
  <c r="U57" i="1"/>
  <c r="N41" i="1"/>
  <c r="U51" i="1"/>
  <c r="O51" i="1"/>
  <c r="T39" i="1"/>
  <c r="T43" i="1"/>
  <c r="W52" i="1"/>
  <c r="W58" i="1"/>
  <c r="D63" i="1"/>
  <c r="T52" i="1"/>
  <c r="Z78" i="3"/>
  <c r="Z79" i="3"/>
  <c r="O37" i="1"/>
  <c r="U37" i="1"/>
  <c r="K63" i="1"/>
  <c r="K73" i="1" s="1"/>
  <c r="X91" i="3"/>
  <c r="X92" i="3"/>
  <c r="X96" i="3"/>
  <c r="X97" i="3"/>
  <c r="X98" i="3"/>
  <c r="X95" i="3"/>
  <c r="X93" i="3"/>
  <c r="X94" i="3"/>
  <c r="T65" i="1"/>
  <c r="J123" i="1"/>
  <c r="W82" i="6"/>
  <c r="H63" i="1"/>
  <c r="N38" i="1"/>
  <c r="W55" i="1"/>
  <c r="O58" i="1"/>
  <c r="U58" i="1"/>
  <c r="O53" i="1"/>
  <c r="U53" i="1"/>
  <c r="W60" i="1"/>
  <c r="AA99" i="3" s="1"/>
  <c r="V56" i="1"/>
  <c r="U46" i="1"/>
  <c r="O46" i="1"/>
  <c r="U55" i="1"/>
  <c r="O55" i="1"/>
  <c r="N49" i="1"/>
  <c r="X57" i="3"/>
  <c r="X58" i="3"/>
  <c r="X59" i="3"/>
  <c r="X60" i="3"/>
  <c r="X61" i="3"/>
  <c r="N58" i="1"/>
  <c r="N53" i="1"/>
  <c r="U54" i="1"/>
  <c r="O54" i="1"/>
  <c r="T60" i="1"/>
  <c r="X99" i="3" s="1"/>
  <c r="T42" i="1"/>
  <c r="O38" i="1"/>
  <c r="U38" i="1"/>
  <c r="W51" i="1"/>
  <c r="O44" i="1"/>
  <c r="U44" i="1"/>
  <c r="O41" i="1"/>
  <c r="U41" i="1"/>
  <c r="Y19" i="3" s="1"/>
  <c r="AG19" i="3" s="1"/>
  <c r="AK19" i="3" s="1"/>
  <c r="Q179" i="3"/>
  <c r="AP179" i="3" s="1"/>
  <c r="D123" i="1"/>
  <c r="V53" i="1"/>
  <c r="O60" i="1"/>
  <c r="U60" i="1"/>
  <c r="Y99" i="3" s="1"/>
  <c r="T37" i="1"/>
  <c r="J63" i="1"/>
  <c r="J73" i="1" s="1"/>
  <c r="AK172" i="3"/>
  <c r="V31" i="1"/>
  <c r="O31" i="1"/>
  <c r="W31" i="1"/>
  <c r="N31" i="1"/>
  <c r="P28" i="1"/>
  <c r="P49" i="1" l="1"/>
  <c r="Z45" i="3"/>
  <c r="AA57" i="3"/>
  <c r="W85" i="6"/>
  <c r="AA49" i="3"/>
  <c r="X85" i="3"/>
  <c r="AA50" i="3"/>
  <c r="X87" i="3"/>
  <c r="AA61" i="3"/>
  <c r="AA54" i="3"/>
  <c r="X86" i="3"/>
  <c r="AA58" i="3"/>
  <c r="AA55" i="3"/>
  <c r="X84" i="3"/>
  <c r="AA53" i="3"/>
  <c r="X90" i="3"/>
  <c r="AA52" i="3"/>
  <c r="X89" i="3"/>
  <c r="AA56" i="3"/>
  <c r="AA59" i="3"/>
  <c r="P61" i="1"/>
  <c r="P51" i="1"/>
  <c r="Z46" i="3"/>
  <c r="Z47" i="3"/>
  <c r="Z42" i="3"/>
  <c r="Z41" i="3"/>
  <c r="Z44" i="3"/>
  <c r="Z48" i="3"/>
  <c r="E122" i="1"/>
  <c r="E130" i="1" s="1"/>
  <c r="P56" i="1"/>
  <c r="P59" i="1"/>
  <c r="P43" i="1"/>
  <c r="P60" i="1"/>
  <c r="P50" i="1"/>
  <c r="P62" i="1"/>
  <c r="P58" i="1"/>
  <c r="P45" i="1"/>
  <c r="M76" i="1"/>
  <c r="W73" i="1"/>
  <c r="M132" i="1"/>
  <c r="U73" i="1"/>
  <c r="K76" i="1"/>
  <c r="K132" i="1"/>
  <c r="V73" i="1"/>
  <c r="L76" i="1"/>
  <c r="L132" i="1"/>
  <c r="W127" i="6"/>
  <c r="Y94" i="3"/>
  <c r="Y96" i="3"/>
  <c r="Y98" i="3"/>
  <c r="Y97" i="3"/>
  <c r="Y95" i="3"/>
  <c r="Y92" i="3"/>
  <c r="Y93" i="3"/>
  <c r="Y91" i="3"/>
  <c r="W157" i="6"/>
  <c r="X69" i="3"/>
  <c r="X67" i="3"/>
  <c r="X68" i="3"/>
  <c r="X70" i="3"/>
  <c r="X71" i="3"/>
  <c r="X72" i="3"/>
  <c r="Y63" i="3"/>
  <c r="Y62" i="3"/>
  <c r="Y64" i="3"/>
  <c r="Y66" i="3"/>
  <c r="Y65" i="3"/>
  <c r="X35" i="3"/>
  <c r="X40" i="3"/>
  <c r="X37" i="3"/>
  <c r="X30" i="3"/>
  <c r="X31" i="3"/>
  <c r="X38" i="3"/>
  <c r="X34" i="3"/>
  <c r="X32" i="3"/>
  <c r="X36" i="3"/>
  <c r="X33" i="3"/>
  <c r="X39" i="3"/>
  <c r="AA30" i="3"/>
  <c r="AA37" i="3"/>
  <c r="AA31" i="3"/>
  <c r="AA36" i="3"/>
  <c r="AA40" i="3"/>
  <c r="AA34" i="3"/>
  <c r="AA33" i="3"/>
  <c r="AA32" i="3"/>
  <c r="AA38" i="3"/>
  <c r="AA35" i="3"/>
  <c r="AA39" i="3"/>
  <c r="AL183" i="3"/>
  <c r="AQ183" i="3" s="1"/>
  <c r="P127" i="1"/>
  <c r="Y25" i="3"/>
  <c r="Y20" i="3"/>
  <c r="Y26" i="3"/>
  <c r="Y22" i="3"/>
  <c r="Y24" i="3"/>
  <c r="Y23" i="3"/>
  <c r="Y29" i="3"/>
  <c r="Y21" i="3"/>
  <c r="Y27" i="3"/>
  <c r="Y28" i="3"/>
  <c r="I73" i="1"/>
  <c r="I122" i="1"/>
  <c r="I130" i="1" s="1"/>
  <c r="W148" i="6"/>
  <c r="W150" i="6"/>
  <c r="AC179" i="3"/>
  <c r="X23" i="3"/>
  <c r="X26" i="3"/>
  <c r="X24" i="3"/>
  <c r="X28" i="3"/>
  <c r="X27" i="3"/>
  <c r="X21" i="3"/>
  <c r="X20" i="3"/>
  <c r="X29" i="3"/>
  <c r="X22" i="3"/>
  <c r="X25" i="3"/>
  <c r="W126" i="6"/>
  <c r="Y80" i="3"/>
  <c r="Y83" i="3"/>
  <c r="Y82" i="3"/>
  <c r="Y81" i="3"/>
  <c r="W158" i="6"/>
  <c r="D73" i="1"/>
  <c r="D122" i="1"/>
  <c r="P41" i="1"/>
  <c r="P44" i="1"/>
  <c r="AD179" i="3"/>
  <c r="AE179" i="3"/>
  <c r="AI179" i="3"/>
  <c r="AG179" i="3"/>
  <c r="AH179" i="3"/>
  <c r="Z51" i="3"/>
  <c r="Z50" i="3"/>
  <c r="Z49" i="3"/>
  <c r="Z55" i="3"/>
  <c r="Z52" i="3"/>
  <c r="Z54" i="3"/>
  <c r="Z56" i="3"/>
  <c r="Z53" i="3"/>
  <c r="Y15" i="3"/>
  <c r="Y14" i="3"/>
  <c r="W147" i="6"/>
  <c r="T73" i="1"/>
  <c r="J76" i="1"/>
  <c r="J132" i="1"/>
  <c r="Y18" i="3"/>
  <c r="Y17" i="3"/>
  <c r="W165" i="6"/>
  <c r="W125" i="6"/>
  <c r="AA82" i="3"/>
  <c r="AA81" i="3"/>
  <c r="AA83" i="3"/>
  <c r="AA80" i="3"/>
  <c r="W159" i="6"/>
  <c r="U63" i="1"/>
  <c r="K122" i="1"/>
  <c r="K130" i="1" s="1"/>
  <c r="E76" i="1"/>
  <c r="E132" i="1"/>
  <c r="P65" i="1"/>
  <c r="AF179" i="3"/>
  <c r="AF207" i="3" s="1"/>
  <c r="AF209" i="3" s="1"/>
  <c r="N123" i="1"/>
  <c r="AL182" i="3"/>
  <c r="AQ182" i="3" s="1"/>
  <c r="P126" i="1"/>
  <c r="Z57" i="3"/>
  <c r="Z61" i="3"/>
  <c r="Z58" i="3"/>
  <c r="Z59" i="3"/>
  <c r="Z60" i="3"/>
  <c r="N63" i="1"/>
  <c r="P37" i="1"/>
  <c r="P47" i="1"/>
  <c r="W145" i="6"/>
  <c r="Z32" i="3"/>
  <c r="Z31" i="3"/>
  <c r="Z35" i="3"/>
  <c r="Z39" i="3"/>
  <c r="Z33" i="3"/>
  <c r="Z37" i="3"/>
  <c r="Z40" i="3"/>
  <c r="Z36" i="3"/>
  <c r="Z30" i="3"/>
  <c r="Z38" i="3"/>
  <c r="Z34" i="3"/>
  <c r="Y59" i="3"/>
  <c r="Y58" i="3"/>
  <c r="Y61" i="3"/>
  <c r="Y60" i="3"/>
  <c r="Y57" i="3"/>
  <c r="P67" i="1"/>
  <c r="O125" i="1"/>
  <c r="W146" i="6"/>
  <c r="T63" i="1"/>
  <c r="J122" i="1"/>
  <c r="J130" i="1" s="1"/>
  <c r="W124" i="6"/>
  <c r="Y46" i="3"/>
  <c r="Y41" i="3"/>
  <c r="Y48" i="3"/>
  <c r="Y45" i="3"/>
  <c r="Y44" i="3"/>
  <c r="Y47" i="3"/>
  <c r="Y43" i="3"/>
  <c r="Y42" i="3"/>
  <c r="P38" i="1"/>
  <c r="W161" i="6"/>
  <c r="Y13" i="3"/>
  <c r="Y5" i="3"/>
  <c r="Y10" i="3"/>
  <c r="Y11" i="3"/>
  <c r="Y9" i="3"/>
  <c r="Y12" i="3"/>
  <c r="Y8" i="3"/>
  <c r="Y7" i="3"/>
  <c r="Y4" i="3"/>
  <c r="Y6" i="3"/>
  <c r="AA93" i="3"/>
  <c r="AA97" i="3"/>
  <c r="AA94" i="3"/>
  <c r="AA92" i="3"/>
  <c r="AA96" i="3"/>
  <c r="AA98" i="3"/>
  <c r="AA91" i="3"/>
  <c r="AA95" i="3"/>
  <c r="Z93" i="3"/>
  <c r="Z95" i="3"/>
  <c r="Z96" i="3"/>
  <c r="Z91" i="3"/>
  <c r="Z94" i="3"/>
  <c r="Z97" i="3"/>
  <c r="Z92" i="3"/>
  <c r="Z98" i="3"/>
  <c r="G73" i="1"/>
  <c r="G122" i="1"/>
  <c r="Y54" i="3"/>
  <c r="Y53" i="3"/>
  <c r="Y51" i="3"/>
  <c r="Y52" i="3"/>
  <c r="Y55" i="3"/>
  <c r="Y50" i="3"/>
  <c r="Y56" i="3"/>
  <c r="Y49" i="3"/>
  <c r="Z72" i="3"/>
  <c r="Z67" i="3"/>
  <c r="Z69" i="3"/>
  <c r="Z71" i="3"/>
  <c r="Z70" i="3"/>
  <c r="Z68" i="3"/>
  <c r="W144" i="6"/>
  <c r="X73" i="3"/>
  <c r="X74" i="3"/>
  <c r="X75" i="3"/>
  <c r="X76" i="3"/>
  <c r="X77" i="3"/>
  <c r="X41" i="3"/>
  <c r="X42" i="3"/>
  <c r="X43" i="3"/>
  <c r="X44" i="3"/>
  <c r="X45" i="3"/>
  <c r="X46" i="3"/>
  <c r="X47" i="3"/>
  <c r="X48" i="3"/>
  <c r="X6" i="3"/>
  <c r="X8" i="3"/>
  <c r="X7" i="3"/>
  <c r="X10" i="3"/>
  <c r="X4" i="3"/>
  <c r="X11" i="3"/>
  <c r="X9" i="3"/>
  <c r="X12" i="3"/>
  <c r="X5" i="3"/>
  <c r="X13" i="3"/>
  <c r="Y33" i="3"/>
  <c r="Y35" i="3"/>
  <c r="Y32" i="3"/>
  <c r="Y36" i="3"/>
  <c r="Y39" i="3"/>
  <c r="Y40" i="3"/>
  <c r="Y38" i="3"/>
  <c r="Y34" i="3"/>
  <c r="Y37" i="3"/>
  <c r="Y31" i="3"/>
  <c r="Y30" i="3"/>
  <c r="Y79" i="3"/>
  <c r="Y78" i="3"/>
  <c r="W123" i="6"/>
  <c r="Z90" i="3"/>
  <c r="Z89" i="3"/>
  <c r="Z85" i="3"/>
  <c r="Z87" i="3"/>
  <c r="Z86" i="3"/>
  <c r="Z88" i="3"/>
  <c r="Z84" i="3"/>
  <c r="H73" i="1"/>
  <c r="H122" i="1"/>
  <c r="H130" i="1" s="1"/>
  <c r="W162" i="6"/>
  <c r="O63" i="1"/>
  <c r="AA69" i="3"/>
  <c r="AA70" i="3"/>
  <c r="AA68" i="3"/>
  <c r="AA71" i="3"/>
  <c r="AA67" i="3"/>
  <c r="AA72" i="3"/>
  <c r="Z14" i="3"/>
  <c r="Z15" i="3"/>
  <c r="W63" i="1"/>
  <c r="M122" i="1"/>
  <c r="M130" i="1" s="1"/>
  <c r="X53" i="3"/>
  <c r="X54" i="3"/>
  <c r="X55" i="3"/>
  <c r="X56" i="3"/>
  <c r="X49" i="3"/>
  <c r="X50" i="3"/>
  <c r="X51" i="3"/>
  <c r="X52" i="3"/>
  <c r="W163" i="6"/>
  <c r="AL184" i="3"/>
  <c r="AQ184" i="3" s="1"/>
  <c r="P128" i="1"/>
  <c r="P57" i="1"/>
  <c r="AA8" i="3"/>
  <c r="AA5" i="3"/>
  <c r="AA4" i="3"/>
  <c r="AA10" i="3"/>
  <c r="AA9" i="3"/>
  <c r="AA11" i="3"/>
  <c r="AA6" i="3"/>
  <c r="AA13" i="3"/>
  <c r="AA7" i="3"/>
  <c r="AA12" i="3"/>
  <c r="P54" i="1"/>
  <c r="AL185" i="3"/>
  <c r="AQ185" i="3" s="1"/>
  <c r="P129" i="1"/>
  <c r="W83" i="6"/>
  <c r="Y89" i="3"/>
  <c r="Y86" i="3"/>
  <c r="Y90" i="3"/>
  <c r="Y88" i="3"/>
  <c r="Y85" i="3"/>
  <c r="Y87" i="3"/>
  <c r="Y84" i="3"/>
  <c r="Y72" i="3"/>
  <c r="Y69" i="3"/>
  <c r="Y68" i="3"/>
  <c r="Y70" i="3"/>
  <c r="Y71" i="3"/>
  <c r="Y67" i="3"/>
  <c r="AA62" i="3"/>
  <c r="AA64" i="3"/>
  <c r="AA66" i="3"/>
  <c r="AA65" i="3"/>
  <c r="AA63" i="3"/>
  <c r="P53" i="1"/>
  <c r="Y76" i="3"/>
  <c r="Y74" i="3"/>
  <c r="Y75" i="3"/>
  <c r="Y73" i="3"/>
  <c r="Y77" i="3"/>
  <c r="W164" i="6"/>
  <c r="X14" i="3"/>
  <c r="X15" i="3"/>
  <c r="AA48" i="3"/>
  <c r="AA42" i="3"/>
  <c r="AA47" i="3"/>
  <c r="AA44" i="3"/>
  <c r="AA46" i="3"/>
  <c r="AA41" i="3"/>
  <c r="AA45" i="3"/>
  <c r="AA43" i="3"/>
  <c r="P55" i="1"/>
  <c r="Z6" i="3"/>
  <c r="Z5" i="3"/>
  <c r="Z13" i="3"/>
  <c r="Z12" i="3"/>
  <c r="Z7" i="3"/>
  <c r="Z11" i="3"/>
  <c r="Z8" i="3"/>
  <c r="Z9" i="3"/>
  <c r="Z10" i="3"/>
  <c r="Z4" i="3"/>
  <c r="W84" i="6"/>
  <c r="AA26" i="3"/>
  <c r="AA28" i="3"/>
  <c r="AA29" i="3"/>
  <c r="AA25" i="3"/>
  <c r="AA23" i="3"/>
  <c r="AA24" i="3"/>
  <c r="AA21" i="3"/>
  <c r="AA20" i="3"/>
  <c r="AA27" i="3"/>
  <c r="AA22" i="3"/>
  <c r="W156" i="6"/>
  <c r="Z76" i="3"/>
  <c r="Z77" i="3"/>
  <c r="Z74" i="3"/>
  <c r="Z73" i="3"/>
  <c r="Z75" i="3"/>
  <c r="W160" i="6"/>
  <c r="X63" i="3"/>
  <c r="X64" i="3"/>
  <c r="X65" i="3"/>
  <c r="X66" i="3"/>
  <c r="X62" i="3"/>
  <c r="Z62" i="3"/>
  <c r="Z65" i="3"/>
  <c r="Z66" i="3"/>
  <c r="Z64" i="3"/>
  <c r="Z63" i="3"/>
  <c r="V63" i="1"/>
  <c r="L122" i="1"/>
  <c r="L130" i="1" s="1"/>
  <c r="P48" i="1"/>
  <c r="AA84" i="3"/>
  <c r="AA87" i="3"/>
  <c r="AA90" i="3"/>
  <c r="AA89" i="3"/>
  <c r="AA88" i="3"/>
  <c r="AA85" i="3"/>
  <c r="AA86" i="3"/>
  <c r="W149" i="6"/>
  <c r="P46" i="1"/>
  <c r="P31" i="1"/>
  <c r="W154" i="6" l="1"/>
  <c r="W153" i="6"/>
  <c r="W151" i="6"/>
  <c r="W155" i="6"/>
  <c r="R85" i="6"/>
  <c r="W152" i="6"/>
  <c r="AK185" i="3"/>
  <c r="AR185" i="3"/>
  <c r="AK184" i="3"/>
  <c r="AR184" i="3"/>
  <c r="AK182" i="3"/>
  <c r="AR182" i="3"/>
  <c r="AK183" i="3"/>
  <c r="AR183" i="3"/>
  <c r="V61" i="4"/>
  <c r="W129" i="6"/>
  <c r="W118" i="6"/>
  <c r="W73" i="6"/>
  <c r="W107" i="6"/>
  <c r="N73" i="1"/>
  <c r="N122" i="1"/>
  <c r="N130" i="1" s="1"/>
  <c r="W93" i="6"/>
  <c r="W96" i="6"/>
  <c r="V76" i="1"/>
  <c r="W117" i="6"/>
  <c r="W77" i="6"/>
  <c r="W72" i="6"/>
  <c r="W114" i="6"/>
  <c r="W143" i="6"/>
  <c r="AF193" i="3"/>
  <c r="W86" i="6"/>
  <c r="I76" i="1"/>
  <c r="I132" i="1"/>
  <c r="W105" i="6"/>
  <c r="W103" i="6"/>
  <c r="W138" i="6"/>
  <c r="W116" i="6"/>
  <c r="O73" i="1"/>
  <c r="O122" i="1"/>
  <c r="O130" i="1" s="1"/>
  <c r="W71" i="6"/>
  <c r="W74" i="6"/>
  <c r="W113" i="6"/>
  <c r="W142" i="6"/>
  <c r="AL179" i="3"/>
  <c r="P123" i="1"/>
  <c r="W89" i="6"/>
  <c r="AJ179" i="3"/>
  <c r="W99" i="6"/>
  <c r="W104" i="6"/>
  <c r="W137" i="6"/>
  <c r="W81" i="6"/>
  <c r="W115" i="6"/>
  <c r="W78" i="6"/>
  <c r="W112" i="6"/>
  <c r="W141" i="6"/>
  <c r="AL181" i="3"/>
  <c r="AQ181" i="3" s="1"/>
  <c r="P125" i="1"/>
  <c r="W95" i="6"/>
  <c r="W102" i="6"/>
  <c r="W101" i="6"/>
  <c r="W136" i="6"/>
  <c r="U76" i="1"/>
  <c r="W128" i="6"/>
  <c r="R84" i="6"/>
  <c r="W80" i="6"/>
  <c r="W122" i="6"/>
  <c r="W75" i="6"/>
  <c r="W111" i="6"/>
  <c r="W140" i="6"/>
  <c r="T76" i="1"/>
  <c r="D130" i="1"/>
  <c r="W94" i="6"/>
  <c r="W98" i="6"/>
  <c r="W134" i="6"/>
  <c r="W132" i="6"/>
  <c r="W121" i="6"/>
  <c r="W79" i="6"/>
  <c r="W110" i="6"/>
  <c r="W139" i="6"/>
  <c r="D76" i="1"/>
  <c r="D132" i="1"/>
  <c r="W90" i="6"/>
  <c r="W100" i="6"/>
  <c r="W133" i="6"/>
  <c r="W131" i="6"/>
  <c r="R83" i="6"/>
  <c r="W120" i="6"/>
  <c r="H76" i="1"/>
  <c r="H132" i="1"/>
  <c r="W70" i="6"/>
  <c r="W109" i="6"/>
  <c r="G130" i="1"/>
  <c r="G135" i="1"/>
  <c r="W91" i="6"/>
  <c r="W92" i="6"/>
  <c r="W106" i="6"/>
  <c r="W135" i="6"/>
  <c r="W130" i="6"/>
  <c r="W119" i="6"/>
  <c r="W76" i="6"/>
  <c r="W108" i="6"/>
  <c r="G76" i="1"/>
  <c r="G132" i="1"/>
  <c r="P63" i="1"/>
  <c r="W88" i="6"/>
  <c r="W87" i="6"/>
  <c r="W97" i="6"/>
  <c r="W76" i="1"/>
  <c r="AR179" i="3" l="1"/>
  <c r="AQ179" i="3"/>
  <c r="AK181" i="3"/>
  <c r="AR181" i="3"/>
  <c r="AK179" i="3"/>
  <c r="N76" i="1"/>
  <c r="N132" i="1"/>
  <c r="O76" i="1"/>
  <c r="O132" i="1"/>
  <c r="P73" i="1"/>
  <c r="P122" i="1"/>
  <c r="P130" i="1" s="1"/>
  <c r="P76" i="1" l="1"/>
  <c r="P132" i="1"/>
  <c r="P135" i="1" s="1"/>
  <c r="W68" i="4" l="1"/>
  <c r="T126" i="6" l="1"/>
  <c r="T46" i="6"/>
  <c r="T136" i="6"/>
  <c r="T147" i="6"/>
  <c r="T32" i="6"/>
  <c r="T53" i="6"/>
  <c r="T121" i="6"/>
  <c r="T141" i="6"/>
  <c r="T144" i="6"/>
  <c r="T37" i="6"/>
  <c r="T131" i="6"/>
  <c r="T59" i="6"/>
  <c r="AO132" i="3" l="1"/>
  <c r="AO70" i="3"/>
  <c r="AO60" i="3"/>
  <c r="AO81" i="3"/>
  <c r="AO78" i="3"/>
  <c r="AO65" i="3"/>
  <c r="AO105" i="3"/>
  <c r="AO126" i="3"/>
  <c r="AO119" i="3"/>
  <c r="AO75" i="3"/>
  <c r="AO55" i="3"/>
  <c r="AO110" i="3"/>
  <c r="S93" i="6" l="1"/>
  <c r="R93" i="6" s="1"/>
  <c r="S95" i="6"/>
  <c r="R95" i="6" s="1"/>
  <c r="S94" i="6"/>
  <c r="R94" i="6" s="1"/>
  <c r="S92" i="6"/>
  <c r="R92" i="6" s="1"/>
  <c r="S79" i="6"/>
  <c r="R79" i="6" s="1"/>
  <c r="S78" i="6"/>
  <c r="R78" i="6" s="1"/>
  <c r="S105" i="6"/>
  <c r="R105" i="6" s="1"/>
  <c r="S161" i="6"/>
  <c r="R161" i="6" s="1"/>
  <c r="S75" i="6"/>
  <c r="R75" i="6" s="1"/>
  <c r="S76" i="6"/>
  <c r="R76" i="6" s="1"/>
  <c r="S77" i="6"/>
  <c r="R77" i="6" s="1"/>
  <c r="S104" i="6" l="1"/>
  <c r="R104" i="6" s="1"/>
  <c r="S160" i="6"/>
  <c r="R160" i="6" s="1"/>
  <c r="S91" i="6"/>
  <c r="R91" i="6" s="1"/>
  <c r="S11" i="6"/>
  <c r="R11" i="6" s="1"/>
  <c r="S74" i="6"/>
  <c r="R74" i="6" s="1"/>
  <c r="S15" i="6"/>
  <c r="R15" i="6" s="1"/>
  <c r="S136" i="6"/>
  <c r="R136" i="6" s="1"/>
  <c r="S43" i="6"/>
  <c r="R43" i="6" s="1"/>
  <c r="S158" i="6"/>
  <c r="R158" i="6" s="1"/>
  <c r="S90" i="6"/>
  <c r="R90" i="6" s="1"/>
  <c r="S12" i="6"/>
  <c r="R12" i="6" s="1"/>
  <c r="S135" i="6"/>
  <c r="R135" i="6" s="1"/>
  <c r="S24" i="6"/>
  <c r="R24" i="6" s="1"/>
  <c r="S47" i="6"/>
  <c r="R47" i="6" s="1"/>
  <c r="S106" i="6"/>
  <c r="R106" i="6" s="1"/>
  <c r="S159" i="6"/>
  <c r="R159" i="6" s="1"/>
  <c r="S10" i="6"/>
  <c r="R10" i="6" s="1"/>
  <c r="S20" i="6"/>
  <c r="R20" i="6" s="1"/>
  <c r="S165" i="6"/>
  <c r="R165" i="6" s="1"/>
  <c r="S25" i="6"/>
  <c r="R25" i="6" s="1"/>
  <c r="S46" i="6"/>
  <c r="R46" i="6" s="1"/>
  <c r="S19" i="6"/>
  <c r="R19" i="6" s="1"/>
  <c r="S114" i="6"/>
  <c r="R114" i="6" s="1"/>
  <c r="S26" i="6"/>
  <c r="R26" i="6" s="1"/>
  <c r="S149" i="6"/>
  <c r="R149" i="6" s="1"/>
  <c r="S45" i="6"/>
  <c r="R45" i="6" s="1"/>
  <c r="S98" i="6"/>
  <c r="R98" i="6" s="1"/>
  <c r="S99" i="6"/>
  <c r="R99" i="6" s="1"/>
  <c r="S18" i="6"/>
  <c r="R18" i="6" s="1"/>
  <c r="S134" i="6"/>
  <c r="R134" i="6" s="1"/>
  <c r="S148" i="6"/>
  <c r="R148" i="6" s="1"/>
  <c r="S86" i="6"/>
  <c r="R86" i="6" s="1"/>
  <c r="S44" i="6"/>
  <c r="R44" i="6" s="1"/>
  <c r="S97" i="6"/>
  <c r="R97" i="6" s="1"/>
  <c r="S27" i="6"/>
  <c r="R27" i="6" s="1"/>
  <c r="S133" i="6"/>
  <c r="R133" i="6" s="1"/>
  <c r="S147" i="6"/>
  <c r="R147" i="6" s="1"/>
  <c r="S96" i="6"/>
  <c r="R96" i="6" s="1"/>
  <c r="S72" i="6"/>
  <c r="R72" i="6" s="1"/>
  <c r="S17" i="6"/>
  <c r="R17" i="6" s="1"/>
  <c r="S138" i="6"/>
  <c r="R138" i="6" s="1"/>
  <c r="S146" i="6"/>
  <c r="R146" i="6" s="1"/>
  <c r="S157" i="6"/>
  <c r="R157" i="6" s="1"/>
  <c r="S13" i="6"/>
  <c r="R13" i="6" s="1"/>
  <c r="S73" i="6"/>
  <c r="R73" i="6" s="1"/>
  <c r="S16" i="6"/>
  <c r="R16" i="6" s="1"/>
  <c r="S137" i="6"/>
  <c r="R137" i="6" s="1"/>
  <c r="O41" i="6"/>
  <c r="AB41" i="6" s="1"/>
  <c r="O48" i="6"/>
  <c r="AB48" i="6" s="1"/>
  <c r="S119" i="6"/>
  <c r="R119" i="6" s="1"/>
  <c r="S120" i="6"/>
  <c r="R120" i="6" s="1"/>
  <c r="S118" i="6"/>
  <c r="R118" i="6" s="1"/>
  <c r="O42" i="6"/>
  <c r="AB42" i="6" s="1"/>
  <c r="O39" i="6"/>
  <c r="AB39" i="6" s="1"/>
  <c r="O40" i="6"/>
  <c r="AB40" i="6" s="1"/>
  <c r="S111" i="6"/>
  <c r="R111" i="6" s="1"/>
  <c r="S113" i="6"/>
  <c r="R113" i="6" s="1"/>
  <c r="S110" i="6"/>
  <c r="R110" i="6" s="1"/>
  <c r="O108" i="6"/>
  <c r="AB108" i="6" s="1"/>
  <c r="O109" i="6"/>
  <c r="AB109" i="6" s="1"/>
  <c r="O162" i="6"/>
  <c r="AB162" i="6" s="1"/>
  <c r="O21" i="6"/>
  <c r="AB21" i="6" s="1"/>
  <c r="S103" i="6"/>
  <c r="R103" i="6" s="1"/>
  <c r="S100" i="6"/>
  <c r="R100" i="6" s="1"/>
  <c r="S101" i="6"/>
  <c r="R101" i="6" s="1"/>
  <c r="O107" i="6"/>
  <c r="AB107" i="6" s="1"/>
  <c r="O164" i="6"/>
  <c r="AB164" i="6" s="1"/>
  <c r="O28" i="6"/>
  <c r="AB28" i="6" s="1"/>
  <c r="S156" i="6"/>
  <c r="R156" i="6" s="1"/>
  <c r="O163" i="6"/>
  <c r="AB163" i="6" s="1"/>
  <c r="O49" i="6"/>
  <c r="AB49" i="6" s="1"/>
  <c r="S162" i="6" l="1"/>
  <c r="R162" i="6" s="1"/>
  <c r="S163" i="6"/>
  <c r="R163" i="6" s="1"/>
  <c r="S164" i="6"/>
  <c r="R164" i="6" s="1"/>
  <c r="S154" i="6"/>
  <c r="R154" i="6" s="1"/>
  <c r="S155" i="6"/>
  <c r="R155" i="6" s="1"/>
  <c r="S128" i="6"/>
  <c r="R128" i="6" s="1"/>
  <c r="S51" i="6"/>
  <c r="R51" i="6" s="1"/>
  <c r="S22" i="6"/>
  <c r="R22" i="6" s="1"/>
  <c r="S7" i="6"/>
  <c r="R7" i="6" s="1"/>
  <c r="S36" i="6"/>
  <c r="R36" i="6" s="1"/>
  <c r="O11" i="6"/>
  <c r="AB11" i="6" s="1"/>
  <c r="S50" i="6"/>
  <c r="R50" i="6" s="1"/>
  <c r="S125" i="6"/>
  <c r="R125" i="6" s="1"/>
  <c r="S141" i="6"/>
  <c r="R141" i="6" s="1"/>
  <c r="S117" i="6"/>
  <c r="R117" i="6" s="1"/>
  <c r="S23" i="6"/>
  <c r="R23" i="6" s="1"/>
  <c r="S59" i="6"/>
  <c r="R59" i="6" s="1"/>
  <c r="S108" i="6"/>
  <c r="R108" i="6" s="1"/>
  <c r="S8" i="6"/>
  <c r="R8" i="6" s="1"/>
  <c r="S150" i="6"/>
  <c r="R150" i="6" s="1"/>
  <c r="S122" i="6"/>
  <c r="R122" i="6" s="1"/>
  <c r="S30" i="6"/>
  <c r="R30" i="6" s="1"/>
  <c r="S153" i="6"/>
  <c r="R153" i="6" s="1"/>
  <c r="S142" i="6"/>
  <c r="R142" i="6" s="1"/>
  <c r="S14" i="6"/>
  <c r="R14" i="6" s="1"/>
  <c r="S35" i="6"/>
  <c r="R35" i="6" s="1"/>
  <c r="S55" i="6"/>
  <c r="R55" i="6" s="1"/>
  <c r="S124" i="6"/>
  <c r="R124" i="6" s="1"/>
  <c r="S42" i="6"/>
  <c r="R42" i="6" s="1"/>
  <c r="S140" i="6"/>
  <c r="R140" i="6" s="1"/>
  <c r="S116" i="6"/>
  <c r="R116" i="6" s="1"/>
  <c r="S58" i="6"/>
  <c r="R58" i="6" s="1"/>
  <c r="S107" i="6"/>
  <c r="R107" i="6" s="1"/>
  <c r="S9" i="6"/>
  <c r="R9" i="6" s="1"/>
  <c r="S151" i="6"/>
  <c r="R151" i="6" s="1"/>
  <c r="S121" i="6"/>
  <c r="R121" i="6" s="1"/>
  <c r="S29" i="6"/>
  <c r="R29" i="6" s="1"/>
  <c r="S38" i="6"/>
  <c r="R38" i="6" s="1"/>
  <c r="S60" i="6"/>
  <c r="R60" i="6" s="1"/>
  <c r="S63" i="6"/>
  <c r="R63" i="6" s="1"/>
  <c r="S81" i="6"/>
  <c r="R81" i="6" s="1"/>
  <c r="O20" i="6"/>
  <c r="AB20" i="6" s="1"/>
  <c r="S34" i="6"/>
  <c r="R34" i="6" s="1"/>
  <c r="S54" i="6"/>
  <c r="R54" i="6" s="1"/>
  <c r="S102" i="6"/>
  <c r="R102" i="6" s="1"/>
  <c r="S123" i="6"/>
  <c r="R123" i="6" s="1"/>
  <c r="S41" i="6"/>
  <c r="R41" i="6" s="1"/>
  <c r="S139" i="6"/>
  <c r="R139" i="6" s="1"/>
  <c r="S115" i="6"/>
  <c r="R115" i="6" s="1"/>
  <c r="S112" i="6"/>
  <c r="R112" i="6" s="1"/>
  <c r="S57" i="6"/>
  <c r="R57" i="6" s="1"/>
  <c r="S66" i="6"/>
  <c r="R66" i="6" s="1"/>
  <c r="S132" i="6"/>
  <c r="R132" i="6" s="1"/>
  <c r="S33" i="6"/>
  <c r="R33" i="6" s="1"/>
  <c r="S87" i="6"/>
  <c r="R87" i="6" s="1"/>
  <c r="S53" i="6"/>
  <c r="R53" i="6" s="1"/>
  <c r="S127" i="6"/>
  <c r="R127" i="6" s="1"/>
  <c r="S40" i="6"/>
  <c r="R40" i="6" s="1"/>
  <c r="S143" i="6"/>
  <c r="R143" i="6" s="1"/>
  <c r="S67" i="6"/>
  <c r="R67" i="6" s="1"/>
  <c r="S131" i="6"/>
  <c r="R131" i="6" s="1"/>
  <c r="S32" i="6"/>
  <c r="R32" i="6" s="1"/>
  <c r="S88" i="6"/>
  <c r="R88" i="6" s="1"/>
  <c r="S126" i="6"/>
  <c r="R126" i="6" s="1"/>
  <c r="S109" i="6"/>
  <c r="R109" i="6" s="1"/>
  <c r="S28" i="6"/>
  <c r="R28" i="6" s="1"/>
  <c r="S52" i="6"/>
  <c r="R52" i="6" s="1"/>
  <c r="S21" i="6"/>
  <c r="R21" i="6" s="1"/>
  <c r="S39" i="6"/>
  <c r="R39" i="6" s="1"/>
  <c r="S145" i="6"/>
  <c r="R145" i="6" s="1"/>
  <c r="S62" i="6"/>
  <c r="R62" i="6" s="1"/>
  <c r="S68" i="6"/>
  <c r="R68" i="6" s="1"/>
  <c r="S49" i="6"/>
  <c r="R49" i="6" s="1"/>
  <c r="S130" i="6"/>
  <c r="R130" i="6" s="1"/>
  <c r="S31" i="6"/>
  <c r="R31" i="6" s="1"/>
  <c r="S89" i="6"/>
  <c r="R89" i="6" s="1"/>
  <c r="S61" i="6"/>
  <c r="R61" i="6" s="1"/>
  <c r="S70" i="6"/>
  <c r="R70" i="6" s="1"/>
  <c r="S37" i="6"/>
  <c r="R37" i="6" s="1"/>
  <c r="S71" i="6"/>
  <c r="R71" i="6" s="1"/>
  <c r="S152" i="6"/>
  <c r="R152" i="6" s="1"/>
  <c r="S65" i="6"/>
  <c r="R65" i="6" s="1"/>
  <c r="S69" i="6"/>
  <c r="R69" i="6" s="1"/>
  <c r="S144" i="6"/>
  <c r="R144" i="6" s="1"/>
  <c r="S64" i="6"/>
  <c r="R64" i="6" s="1"/>
  <c r="S48" i="6"/>
  <c r="R48" i="6" s="1"/>
  <c r="S129" i="6"/>
  <c r="R129" i="6" s="1"/>
  <c r="S82" i="6"/>
  <c r="R82" i="6" s="1"/>
  <c r="S80" i="6"/>
  <c r="R80" i="6" s="1"/>
  <c r="AC19" i="3"/>
  <c r="O85" i="6"/>
  <c r="AB85" i="6" s="1"/>
  <c r="O114" i="6"/>
  <c r="AB114" i="6" s="1"/>
  <c r="O18" i="6"/>
  <c r="AB18" i="6" s="1"/>
  <c r="O19" i="6"/>
  <c r="AB19" i="6" s="1"/>
  <c r="O13" i="6"/>
  <c r="AB13" i="6" s="1"/>
  <c r="O12" i="6"/>
  <c r="AB12" i="6" s="1"/>
  <c r="O10" i="6"/>
  <c r="AB10" i="6" s="1"/>
  <c r="O69" i="6"/>
  <c r="AB69" i="6" s="1"/>
  <c r="O60" i="6"/>
  <c r="AB60" i="6" s="1"/>
  <c r="O57" i="6"/>
  <c r="AB57" i="6" s="1"/>
  <c r="O58" i="6"/>
  <c r="AB58" i="6" s="1"/>
  <c r="O59" i="6"/>
  <c r="AB59" i="6" s="1"/>
  <c r="O61" i="6"/>
  <c r="AB61" i="6" s="1"/>
  <c r="O64" i="6"/>
  <c r="AB64" i="6" s="1"/>
  <c r="O62" i="6"/>
  <c r="AB62" i="6" s="1"/>
  <c r="O56" i="6"/>
  <c r="AB56" i="6" s="1"/>
  <c r="O29" i="6"/>
  <c r="AB29" i="6" s="1"/>
  <c r="O30" i="6"/>
  <c r="AB30" i="6" s="1"/>
  <c r="O31" i="6"/>
  <c r="AB31" i="6" s="1"/>
  <c r="O32" i="6"/>
  <c r="AB32" i="6" s="1"/>
  <c r="O33" i="6"/>
  <c r="AB33" i="6" s="1"/>
  <c r="O14" i="6"/>
  <c r="AB14" i="6" s="1"/>
  <c r="AC162" i="3"/>
  <c r="O154" i="6"/>
  <c r="AB154" i="6" s="1"/>
  <c r="O156" i="6"/>
  <c r="AB156" i="6" s="1"/>
  <c r="O155" i="6"/>
  <c r="AB155" i="6" s="1"/>
  <c r="O67" i="6"/>
  <c r="AB67" i="6" s="1"/>
  <c r="O66" i="6"/>
  <c r="AB66" i="6" s="1"/>
  <c r="O68" i="6"/>
  <c r="AB68" i="6" s="1"/>
  <c r="O132" i="6"/>
  <c r="AB132" i="6" s="1"/>
  <c r="O128" i="6"/>
  <c r="AB128" i="6" s="1"/>
  <c r="O129" i="6"/>
  <c r="AB129" i="6" s="1"/>
  <c r="O130" i="6"/>
  <c r="AB130" i="6" s="1"/>
  <c r="O131" i="6"/>
  <c r="AB131" i="6" s="1"/>
  <c r="O106" i="6"/>
  <c r="AB106" i="6" s="1"/>
  <c r="O105" i="6"/>
  <c r="AB105" i="6" s="1"/>
  <c r="O104" i="6"/>
  <c r="AB104" i="6" s="1"/>
  <c r="O79" i="6"/>
  <c r="AB79" i="6" s="1"/>
  <c r="O77" i="6"/>
  <c r="AB77" i="6" s="1"/>
  <c r="O78" i="6"/>
  <c r="AB78" i="6" s="1"/>
  <c r="O159" i="6"/>
  <c r="AB159" i="6" s="1"/>
  <c r="O160" i="6"/>
  <c r="AB160" i="6" s="1"/>
  <c r="O158" i="6"/>
  <c r="AB158" i="6" s="1"/>
  <c r="O38" i="6"/>
  <c r="AB38" i="6" s="1"/>
  <c r="O34" i="6"/>
  <c r="AB34" i="6" s="1"/>
  <c r="O35" i="6"/>
  <c r="AB35" i="6" s="1"/>
  <c r="O36" i="6"/>
  <c r="AB36" i="6" s="1"/>
  <c r="O37" i="6"/>
  <c r="AB37" i="6" s="1"/>
  <c r="O50" i="6"/>
  <c r="AB50" i="6" s="1"/>
  <c r="O51" i="6"/>
  <c r="AB51" i="6" s="1"/>
  <c r="O53" i="6"/>
  <c r="AB53" i="6" s="1"/>
  <c r="O52" i="6"/>
  <c r="AB52" i="6" s="1"/>
  <c r="O54" i="6"/>
  <c r="AB54" i="6" s="1"/>
  <c r="O55" i="6"/>
  <c r="AB55" i="6" s="1"/>
  <c r="O133" i="6"/>
  <c r="AB133" i="6" s="1"/>
  <c r="O134" i="6"/>
  <c r="AB134" i="6" s="1"/>
  <c r="O136" i="6"/>
  <c r="AB136" i="6" s="1"/>
  <c r="O135" i="6"/>
  <c r="AB135" i="6" s="1"/>
  <c r="O137" i="6"/>
  <c r="AB137" i="6" s="1"/>
  <c r="O138" i="6"/>
  <c r="AB138" i="6" s="1"/>
  <c r="O100" i="6"/>
  <c r="AB100" i="6" s="1"/>
  <c r="O101" i="6"/>
  <c r="AB101" i="6" s="1"/>
  <c r="O102" i="6"/>
  <c r="AB102" i="6" s="1"/>
  <c r="O103" i="6"/>
  <c r="AB103" i="6" s="1"/>
  <c r="O96" i="6"/>
  <c r="AB96" i="6" s="1"/>
  <c r="O97" i="6"/>
  <c r="AB97" i="6" s="1"/>
  <c r="O98" i="6"/>
  <c r="AB98" i="6" s="1"/>
  <c r="O80" i="6"/>
  <c r="AB80" i="6" s="1"/>
  <c r="O81" i="6"/>
  <c r="AB81" i="6" s="1"/>
  <c r="O148" i="6"/>
  <c r="AB148" i="6" s="1"/>
  <c r="O149" i="6"/>
  <c r="AB149" i="6" s="1"/>
  <c r="O146" i="6"/>
  <c r="AB146" i="6" s="1"/>
  <c r="O147" i="6"/>
  <c r="AB147" i="6" s="1"/>
  <c r="O116" i="6"/>
  <c r="AB116" i="6" s="1"/>
  <c r="O117" i="6"/>
  <c r="AB117" i="6" s="1"/>
  <c r="O115" i="6"/>
  <c r="AB115" i="6" s="1"/>
  <c r="O153" i="6"/>
  <c r="AB153" i="6" s="1"/>
  <c r="O22" i="6"/>
  <c r="AB22" i="6" s="1"/>
  <c r="O23" i="6"/>
  <c r="AB23" i="6" s="1"/>
  <c r="O65" i="6"/>
  <c r="AB65" i="6" s="1"/>
  <c r="O43" i="6"/>
  <c r="AB43" i="6" s="1"/>
  <c r="O45" i="6"/>
  <c r="AB45" i="6" s="1"/>
  <c r="O46" i="6"/>
  <c r="AB46" i="6" s="1"/>
  <c r="O44" i="6"/>
  <c r="AB44" i="6" s="1"/>
  <c r="O47" i="6"/>
  <c r="AB47" i="6" s="1"/>
  <c r="O95" i="6"/>
  <c r="AB95" i="6" s="1"/>
  <c r="O94" i="6"/>
  <c r="AB94" i="6" s="1"/>
  <c r="O93" i="6"/>
  <c r="AB93" i="6" s="1"/>
  <c r="O82" i="6"/>
  <c r="AB82" i="6" s="1"/>
  <c r="O83" i="6"/>
  <c r="AB83" i="6" s="1"/>
  <c r="O84" i="6"/>
  <c r="AB84" i="6" s="1"/>
  <c r="O92" i="6"/>
  <c r="AB92" i="6" s="1"/>
  <c r="O90" i="6"/>
  <c r="AB90" i="6" s="1"/>
  <c r="O91" i="6"/>
  <c r="AB91" i="6" s="1"/>
  <c r="S56" i="6"/>
  <c r="R56" i="6" s="1"/>
  <c r="O86" i="6"/>
  <c r="AB86" i="6" s="1"/>
  <c r="O127" i="6"/>
  <c r="AB127" i="6" s="1"/>
  <c r="O124" i="6"/>
  <c r="AB124" i="6" s="1"/>
  <c r="O125" i="6"/>
  <c r="AB125" i="6" s="1"/>
  <c r="O126" i="6"/>
  <c r="AB126" i="6" s="1"/>
  <c r="O123" i="6"/>
  <c r="AB123" i="6" s="1"/>
  <c r="O27" i="6"/>
  <c r="AB27" i="6" s="1"/>
  <c r="O144" i="6"/>
  <c r="AB144" i="6" s="1"/>
  <c r="O145" i="6"/>
  <c r="AB145" i="6" s="1"/>
  <c r="O152" i="6"/>
  <c r="AB152" i="6" s="1"/>
  <c r="O150" i="6"/>
  <c r="AB150" i="6" s="1"/>
  <c r="O151" i="6"/>
  <c r="AB151" i="6" s="1"/>
  <c r="O15" i="6"/>
  <c r="AB15" i="6" s="1"/>
  <c r="O16" i="6"/>
  <c r="AB16" i="6" s="1"/>
  <c r="O17" i="6"/>
  <c r="AB17" i="6" s="1"/>
  <c r="O24" i="6"/>
  <c r="AB24" i="6" s="1"/>
  <c r="O25" i="6"/>
  <c r="AB25" i="6" s="1"/>
  <c r="O26" i="6"/>
  <c r="AB26" i="6" s="1"/>
  <c r="O161" i="6"/>
  <c r="AB161" i="6" s="1"/>
  <c r="O118" i="6"/>
  <c r="AB118" i="6" s="1"/>
  <c r="O120" i="6"/>
  <c r="AB120" i="6" s="1"/>
  <c r="O121" i="6"/>
  <c r="AB121" i="6" s="1"/>
  <c r="O119" i="6"/>
  <c r="AB119" i="6" s="1"/>
  <c r="O122" i="6"/>
  <c r="AB122" i="6" s="1"/>
  <c r="O99" i="6"/>
  <c r="AB99" i="6" s="1"/>
  <c r="O140" i="6"/>
  <c r="AB140" i="6" s="1"/>
  <c r="O141" i="6"/>
  <c r="AB141" i="6" s="1"/>
  <c r="O142" i="6"/>
  <c r="AB142" i="6" s="1"/>
  <c r="O143" i="6"/>
  <c r="AB143" i="6" s="1"/>
  <c r="O139" i="6"/>
  <c r="AB139" i="6" s="1"/>
  <c r="O165" i="6"/>
  <c r="AB165" i="6" s="1"/>
  <c r="O7" i="6"/>
  <c r="AB7" i="6" s="1"/>
  <c r="O8" i="6"/>
  <c r="AB8" i="6" s="1"/>
  <c r="O9" i="6"/>
  <c r="AB9" i="6" s="1"/>
  <c r="O74" i="6"/>
  <c r="AB74" i="6" s="1"/>
  <c r="O73" i="6"/>
  <c r="AB73" i="6" s="1"/>
  <c r="O72" i="6"/>
  <c r="AB72" i="6" s="1"/>
  <c r="O88" i="6"/>
  <c r="AB88" i="6" s="1"/>
  <c r="O87" i="6"/>
  <c r="AB87" i="6" s="1"/>
  <c r="O89" i="6"/>
  <c r="AB89" i="6" s="1"/>
  <c r="O157" i="6"/>
  <c r="AB157" i="6" s="1"/>
  <c r="O75" i="6"/>
  <c r="AB75" i="6" s="1"/>
  <c r="O76" i="6"/>
  <c r="AB76" i="6" s="1"/>
  <c r="O111" i="6"/>
  <c r="AB111" i="6" s="1"/>
  <c r="O110" i="6"/>
  <c r="AB110" i="6" s="1"/>
  <c r="O112" i="6"/>
  <c r="AB112" i="6" s="1"/>
  <c r="O113" i="6"/>
  <c r="AB113" i="6" s="1"/>
  <c r="O70" i="6"/>
  <c r="AB70" i="6" s="1"/>
  <c r="O71" i="6"/>
  <c r="AB71" i="6" s="1"/>
  <c r="AC137" i="3"/>
  <c r="O63" i="6"/>
  <c r="AB63" i="6" s="1"/>
  <c r="T61" i="4" l="1"/>
  <c r="AJ19" i="3"/>
  <c r="AL19" i="3" s="1"/>
  <c r="W61" i="4" l="1"/>
  <c r="G37" i="4" l="1"/>
  <c r="D136" i="1" l="1"/>
  <c r="Q129" i="3"/>
  <c r="Q125" i="3"/>
  <c r="Q93" i="3" l="1"/>
  <c r="Q83" i="3"/>
  <c r="Q63" i="3"/>
  <c r="AP63" i="3" s="1"/>
  <c r="Q161" i="3"/>
  <c r="Q138" i="3"/>
  <c r="Q100" i="3"/>
  <c r="Q117" i="3"/>
  <c r="AP117" i="3" s="1"/>
  <c r="Q109" i="3"/>
  <c r="Q73" i="3"/>
  <c r="Q48" i="3"/>
  <c r="AP125" i="3"/>
  <c r="P125" i="3"/>
  <c r="Q54" i="3"/>
  <c r="Q91" i="3"/>
  <c r="Q59" i="3"/>
  <c r="Q95" i="3"/>
  <c r="Q53" i="3"/>
  <c r="Q143" i="3"/>
  <c r="Q70" i="3"/>
  <c r="Q114" i="3"/>
  <c r="Q141" i="3"/>
  <c r="Q142" i="3"/>
  <c r="Q111" i="3"/>
  <c r="Q28" i="3"/>
  <c r="Q64" i="3"/>
  <c r="Q122" i="3"/>
  <c r="Q110" i="3"/>
  <c r="Q112" i="3"/>
  <c r="Q103" i="3"/>
  <c r="AP109" i="3"/>
  <c r="P109" i="3"/>
  <c r="Q20" i="3"/>
  <c r="Q46" i="3"/>
  <c r="Q159" i="3"/>
  <c r="Q66" i="3"/>
  <c r="Q11" i="3"/>
  <c r="Q41" i="3"/>
  <c r="Q50" i="3"/>
  <c r="Q6" i="3"/>
  <c r="Q151" i="3"/>
  <c r="Q24" i="3"/>
  <c r="Q36" i="3"/>
  <c r="Q126" i="3"/>
  <c r="Q51" i="3"/>
  <c r="Q85" i="3"/>
  <c r="Q77" i="3"/>
  <c r="Q5" i="3"/>
  <c r="Q84" i="3"/>
  <c r="Q75" i="3"/>
  <c r="Q76" i="3"/>
  <c r="Q157" i="3"/>
  <c r="Q123" i="3"/>
  <c r="H66" i="4"/>
  <c r="AP100" i="3"/>
  <c r="P100" i="3"/>
  <c r="P73" i="3"/>
  <c r="AP73" i="3"/>
  <c r="Q8" i="3"/>
  <c r="Q69" i="3"/>
  <c r="Q52" i="3"/>
  <c r="Q108" i="3"/>
  <c r="Q58" i="3"/>
  <c r="Q45" i="3"/>
  <c r="Q34" i="3"/>
  <c r="Q155" i="3"/>
  <c r="Q44" i="3"/>
  <c r="Q147" i="3"/>
  <c r="Q140" i="3"/>
  <c r="Q121" i="3"/>
  <c r="Q89" i="3"/>
  <c r="Q43" i="3"/>
  <c r="Q131" i="3"/>
  <c r="Q62" i="3"/>
  <c r="Q130" i="3"/>
  <c r="Q158" i="3"/>
  <c r="Q105" i="3"/>
  <c r="Q101" i="3"/>
  <c r="AP138" i="3"/>
  <c r="P138" i="3"/>
  <c r="Q104" i="3"/>
  <c r="Q152" i="3"/>
  <c r="Q156" i="3"/>
  <c r="Q37" i="3"/>
  <c r="Q97" i="3"/>
  <c r="Q149" i="3"/>
  <c r="Q115" i="3"/>
  <c r="Q90" i="3"/>
  <c r="Q124" i="3"/>
  <c r="Q33" i="3"/>
  <c r="Q80" i="3"/>
  <c r="Q56" i="3"/>
  <c r="Q81" i="3"/>
  <c r="Q74" i="3"/>
  <c r="Q116" i="3"/>
  <c r="Q21" i="3"/>
  <c r="Q55" i="3"/>
  <c r="Q67" i="3"/>
  <c r="P83" i="3"/>
  <c r="AP83" i="3"/>
  <c r="Q42" i="3"/>
  <c r="Q96" i="3"/>
  <c r="Q148" i="3"/>
  <c r="Q72" i="3"/>
  <c r="Q40" i="3"/>
  <c r="Q31" i="3"/>
  <c r="Q32" i="3"/>
  <c r="Q82" i="3"/>
  <c r="Q27" i="3"/>
  <c r="Q35" i="3"/>
  <c r="Q22" i="3"/>
  <c r="Q26" i="3"/>
  <c r="Q60" i="3"/>
  <c r="Q25" i="3"/>
  <c r="Q153" i="3"/>
  <c r="Q16" i="3"/>
  <c r="AP129" i="3"/>
  <c r="P129" i="3"/>
  <c r="P48" i="3"/>
  <c r="AP48" i="3"/>
  <c r="Q98" i="3"/>
  <c r="Q113" i="3"/>
  <c r="Q134" i="3"/>
  <c r="Q102" i="3"/>
  <c r="Q9" i="3"/>
  <c r="Q18" i="3"/>
  <c r="Q88" i="3"/>
  <c r="Q145" i="3"/>
  <c r="Q139" i="3"/>
  <c r="Q94" i="3"/>
  <c r="Q128" i="3"/>
  <c r="Q132" i="3"/>
  <c r="Q79" i="3"/>
  <c r="Q135" i="3"/>
  <c r="Q118" i="3"/>
  <c r="Q127" i="3"/>
  <c r="Q17" i="3"/>
  <c r="Q106" i="3"/>
  <c r="Q10" i="3"/>
  <c r="Q119" i="3"/>
  <c r="P93" i="3"/>
  <c r="AP93" i="3"/>
  <c r="Q61" i="3"/>
  <c r="Q49" i="3"/>
  <c r="Q144" i="3"/>
  <c r="Q38" i="3"/>
  <c r="Q29" i="3"/>
  <c r="Q150" i="3"/>
  <c r="Q120" i="3"/>
  <c r="Q78" i="3"/>
  <c r="Q65" i="3"/>
  <c r="Q30" i="3"/>
  <c r="Q154" i="3"/>
  <c r="Q47" i="3"/>
  <c r="Q14" i="3"/>
  <c r="Q71" i="3"/>
  <c r="Q57" i="3"/>
  <c r="Q68" i="3"/>
  <c r="P63" i="3"/>
  <c r="Q160" i="3"/>
  <c r="Q39" i="3"/>
  <c r="Q107" i="3"/>
  <c r="Q87" i="3"/>
  <c r="Q15" i="3"/>
  <c r="Q92" i="3"/>
  <c r="Q146" i="3"/>
  <c r="Q86" i="3"/>
  <c r="Q23" i="3"/>
  <c r="Q133" i="3"/>
  <c r="Q7" i="3"/>
  <c r="Q99" i="3"/>
  <c r="Q12" i="3"/>
  <c r="Q13" i="3"/>
  <c r="Q136" i="3"/>
  <c r="E136" i="1"/>
  <c r="P117" i="3" l="1"/>
  <c r="AC117" i="3" s="1"/>
  <c r="H12" i="4"/>
  <c r="P161" i="3"/>
  <c r="G12" i="4" s="1"/>
  <c r="AP161" i="3"/>
  <c r="P86" i="3"/>
  <c r="AP86" i="3"/>
  <c r="AP15" i="3"/>
  <c r="P15" i="3"/>
  <c r="H60" i="4"/>
  <c r="O60" i="4" s="1"/>
  <c r="AC63" i="3"/>
  <c r="AT129" i="6"/>
  <c r="AP99" i="3"/>
  <c r="P99" i="3"/>
  <c r="H64" i="4"/>
  <c r="AP87" i="3"/>
  <c r="P87" i="3"/>
  <c r="P68" i="3"/>
  <c r="AP68" i="3"/>
  <c r="AP78" i="3"/>
  <c r="P78" i="3"/>
  <c r="AP118" i="3"/>
  <c r="P118" i="3"/>
  <c r="AP88" i="3"/>
  <c r="P88" i="3"/>
  <c r="AT114" i="6"/>
  <c r="AC48" i="3"/>
  <c r="P60" i="3"/>
  <c r="AP60" i="3"/>
  <c r="P40" i="3"/>
  <c r="AP40" i="3"/>
  <c r="H56" i="4"/>
  <c r="O56" i="4" s="1"/>
  <c r="AP55" i="3"/>
  <c r="P55" i="3"/>
  <c r="AP124" i="3"/>
  <c r="P124" i="3"/>
  <c r="P104" i="3"/>
  <c r="AP104" i="3"/>
  <c r="P62" i="3"/>
  <c r="AP62" i="3"/>
  <c r="P155" i="3"/>
  <c r="AP155" i="3"/>
  <c r="H10" i="4"/>
  <c r="P77" i="3"/>
  <c r="AP77" i="3"/>
  <c r="P50" i="3"/>
  <c r="AP50" i="3"/>
  <c r="H33" i="4"/>
  <c r="P142" i="3"/>
  <c r="Q205" i="3"/>
  <c r="AP142" i="3"/>
  <c r="Q197" i="3"/>
  <c r="AP91" i="3"/>
  <c r="P91" i="3"/>
  <c r="AP136" i="3"/>
  <c r="P136" i="3"/>
  <c r="H59" i="4"/>
  <c r="AP7" i="3"/>
  <c r="P7" i="3"/>
  <c r="H50" i="4"/>
  <c r="O50" i="4" s="1"/>
  <c r="P107" i="3"/>
  <c r="AP107" i="3"/>
  <c r="AP57" i="3"/>
  <c r="P57" i="3"/>
  <c r="AP120" i="3"/>
  <c r="P120" i="3"/>
  <c r="AT159" i="6"/>
  <c r="AC93" i="3"/>
  <c r="P135" i="3"/>
  <c r="AP135" i="3"/>
  <c r="AP18" i="3"/>
  <c r="H62" i="4"/>
  <c r="O62" i="4" s="1"/>
  <c r="P18" i="3"/>
  <c r="AT56" i="6"/>
  <c r="AC129" i="3"/>
  <c r="P26" i="3"/>
  <c r="AP26" i="3"/>
  <c r="P72" i="3"/>
  <c r="AP72" i="3"/>
  <c r="P21" i="3"/>
  <c r="AP21" i="3"/>
  <c r="AP90" i="3"/>
  <c r="P90" i="3"/>
  <c r="AT68" i="6"/>
  <c r="AC138" i="3"/>
  <c r="AP131" i="3"/>
  <c r="P131" i="3"/>
  <c r="P34" i="3"/>
  <c r="AP34" i="3"/>
  <c r="H87" i="4"/>
  <c r="O66" i="4"/>
  <c r="O87" i="4" s="1"/>
  <c r="AP85" i="3"/>
  <c r="P85" i="3"/>
  <c r="AP41" i="3"/>
  <c r="P41" i="3"/>
  <c r="AP103" i="3"/>
  <c r="P103" i="3"/>
  <c r="AP141" i="3"/>
  <c r="H51" i="4"/>
  <c r="P141" i="3"/>
  <c r="P54" i="3"/>
  <c r="AP54" i="3"/>
  <c r="P133" i="3"/>
  <c r="AP133" i="3"/>
  <c r="P39" i="3"/>
  <c r="AP39" i="3"/>
  <c r="P71" i="3"/>
  <c r="AP71" i="3"/>
  <c r="AP150" i="3"/>
  <c r="P150" i="3"/>
  <c r="H36" i="4"/>
  <c r="AP119" i="3"/>
  <c r="P119" i="3"/>
  <c r="P79" i="3"/>
  <c r="AP79" i="3"/>
  <c r="AP9" i="3"/>
  <c r="P9" i="3"/>
  <c r="AP22" i="3"/>
  <c r="P22" i="3"/>
  <c r="P148" i="3"/>
  <c r="AP148" i="3"/>
  <c r="P116" i="3"/>
  <c r="AP116" i="3"/>
  <c r="AP115" i="3"/>
  <c r="P115" i="3"/>
  <c r="AP43" i="3"/>
  <c r="P43" i="3"/>
  <c r="P45" i="3"/>
  <c r="AP45" i="3"/>
  <c r="AT139" i="6"/>
  <c r="AC73" i="3"/>
  <c r="AP123" i="3"/>
  <c r="P123" i="3"/>
  <c r="AP51" i="3"/>
  <c r="P51" i="3"/>
  <c r="AP11" i="3"/>
  <c r="P11" i="3"/>
  <c r="AP112" i="3"/>
  <c r="P112" i="3"/>
  <c r="AP114" i="3"/>
  <c r="P114" i="3"/>
  <c r="O12" i="4"/>
  <c r="AP13" i="3"/>
  <c r="P13" i="3"/>
  <c r="P23" i="3"/>
  <c r="AP23" i="3"/>
  <c r="P160" i="3"/>
  <c r="AP160" i="3"/>
  <c r="H15" i="4"/>
  <c r="H58" i="4"/>
  <c r="AP14" i="3"/>
  <c r="P14" i="3"/>
  <c r="AP29" i="3"/>
  <c r="P29" i="3"/>
  <c r="AP132" i="3"/>
  <c r="P132" i="3"/>
  <c r="AP102" i="3"/>
  <c r="P102" i="3"/>
  <c r="AP35" i="3"/>
  <c r="P35" i="3"/>
  <c r="AP96" i="3"/>
  <c r="P96" i="3"/>
  <c r="P74" i="3"/>
  <c r="AP74" i="3"/>
  <c r="AP149" i="3"/>
  <c r="P149" i="3"/>
  <c r="AP89" i="3"/>
  <c r="P89" i="3"/>
  <c r="AP58" i="3"/>
  <c r="P58" i="3"/>
  <c r="AP157" i="3"/>
  <c r="P157" i="3"/>
  <c r="P126" i="3"/>
  <c r="AP126" i="3"/>
  <c r="P66" i="3"/>
  <c r="AP66" i="3"/>
  <c r="P110" i="3"/>
  <c r="AP110" i="3"/>
  <c r="AP70" i="3"/>
  <c r="P70" i="3"/>
  <c r="AC161" i="3"/>
  <c r="T12" i="4" s="1"/>
  <c r="P47" i="3"/>
  <c r="AP47" i="3"/>
  <c r="AP38" i="3"/>
  <c r="P38" i="3"/>
  <c r="AP10" i="3"/>
  <c r="P10" i="3"/>
  <c r="AP128" i="3"/>
  <c r="P128" i="3"/>
  <c r="AP134" i="3"/>
  <c r="P134" i="3"/>
  <c r="AP16" i="3"/>
  <c r="P16" i="3"/>
  <c r="AP27" i="3"/>
  <c r="P27" i="3"/>
  <c r="P42" i="3"/>
  <c r="AP42" i="3"/>
  <c r="AP81" i="3"/>
  <c r="P81" i="3"/>
  <c r="AP97" i="3"/>
  <c r="P97" i="3"/>
  <c r="H65" i="4"/>
  <c r="P101" i="3"/>
  <c r="AP101" i="3"/>
  <c r="AP121" i="3"/>
  <c r="P121" i="3"/>
  <c r="H63" i="4"/>
  <c r="P108" i="3"/>
  <c r="AP108" i="3"/>
  <c r="AC100" i="3"/>
  <c r="G66" i="4"/>
  <c r="G87" i="4" s="1"/>
  <c r="AT27" i="6"/>
  <c r="AU27" i="6" s="1"/>
  <c r="AP76" i="3"/>
  <c r="H57" i="4"/>
  <c r="P76" i="3"/>
  <c r="H55" i="4"/>
  <c r="O55" i="4" s="1"/>
  <c r="AP36" i="3"/>
  <c r="P36" i="3"/>
  <c r="AP159" i="3"/>
  <c r="H14" i="4"/>
  <c r="P159" i="3"/>
  <c r="AP122" i="3"/>
  <c r="P122" i="3"/>
  <c r="AP143" i="3"/>
  <c r="H35" i="4"/>
  <c r="P143" i="3"/>
  <c r="H34" i="4"/>
  <c r="AP146" i="3"/>
  <c r="P146" i="3"/>
  <c r="Q208" i="3"/>
  <c r="Q200" i="3"/>
  <c r="AP154" i="3"/>
  <c r="H8" i="4"/>
  <c r="P154" i="3"/>
  <c r="AP144" i="3"/>
  <c r="H32" i="4"/>
  <c r="P144" i="3"/>
  <c r="AP106" i="3"/>
  <c r="P106" i="3"/>
  <c r="P94" i="3"/>
  <c r="AP94" i="3"/>
  <c r="P113" i="3"/>
  <c r="AP113" i="3"/>
  <c r="P153" i="3"/>
  <c r="AP153" i="3"/>
  <c r="H29" i="4"/>
  <c r="P82" i="3"/>
  <c r="AP82" i="3"/>
  <c r="AP56" i="3"/>
  <c r="P56" i="3"/>
  <c r="P37" i="3"/>
  <c r="AP37" i="3"/>
  <c r="AP105" i="3"/>
  <c r="P105" i="3"/>
  <c r="AP140" i="3"/>
  <c r="P140" i="3"/>
  <c r="AP52" i="3"/>
  <c r="P52" i="3"/>
  <c r="P75" i="3"/>
  <c r="AP75" i="3"/>
  <c r="AP24" i="3"/>
  <c r="P24" i="3"/>
  <c r="AP46" i="3"/>
  <c r="P46" i="3"/>
  <c r="AP64" i="3"/>
  <c r="P64" i="3"/>
  <c r="P53" i="3"/>
  <c r="AP53" i="3"/>
  <c r="AP92" i="3"/>
  <c r="P92" i="3"/>
  <c r="AP30" i="3"/>
  <c r="P30" i="3"/>
  <c r="P49" i="3"/>
  <c r="AP49" i="3"/>
  <c r="AP17" i="3"/>
  <c r="P17" i="3"/>
  <c r="P139" i="3"/>
  <c r="AP139" i="3"/>
  <c r="AP98" i="3"/>
  <c r="P98" i="3"/>
  <c r="P25" i="3"/>
  <c r="H54" i="4"/>
  <c r="O54" i="4" s="1"/>
  <c r="AP25" i="3"/>
  <c r="AP32" i="3"/>
  <c r="P32" i="3"/>
  <c r="AT149" i="6"/>
  <c r="AC83" i="3"/>
  <c r="P80" i="3"/>
  <c r="AP80" i="3"/>
  <c r="AP156" i="3"/>
  <c r="H9" i="4"/>
  <c r="P156" i="3"/>
  <c r="H13" i="4"/>
  <c r="P158" i="3"/>
  <c r="AP158" i="3"/>
  <c r="P147" i="3"/>
  <c r="AP147" i="3"/>
  <c r="P69" i="3"/>
  <c r="AP69" i="3"/>
  <c r="Q206" i="3"/>
  <c r="AP84" i="3"/>
  <c r="P84" i="3"/>
  <c r="H28" i="4"/>
  <c r="P151" i="3"/>
  <c r="AP151" i="3"/>
  <c r="AP20" i="3"/>
  <c r="P20" i="3"/>
  <c r="P28" i="3"/>
  <c r="AP28" i="3"/>
  <c r="AP95" i="3"/>
  <c r="P95" i="3"/>
  <c r="AT52" i="6"/>
  <c r="AC125" i="3"/>
  <c r="P12" i="3"/>
  <c r="AP12" i="3"/>
  <c r="P65" i="3"/>
  <c r="AP65" i="3"/>
  <c r="P61" i="3"/>
  <c r="AP61" i="3"/>
  <c r="AP127" i="3"/>
  <c r="P127" i="3"/>
  <c r="P145" i="3"/>
  <c r="AP145" i="3"/>
  <c r="Q4" i="3"/>
  <c r="R163" i="3"/>
  <c r="P31" i="3"/>
  <c r="AP31" i="3"/>
  <c r="AP67" i="3"/>
  <c r="P67" i="3"/>
  <c r="AP33" i="3"/>
  <c r="P33" i="3"/>
  <c r="H30" i="4"/>
  <c r="AP152" i="3"/>
  <c r="P152" i="3"/>
  <c r="AP130" i="3"/>
  <c r="P130" i="3"/>
  <c r="P44" i="3"/>
  <c r="AP44" i="3"/>
  <c r="AP8" i="3"/>
  <c r="H49" i="4"/>
  <c r="O49" i="4" s="1"/>
  <c r="P8" i="3"/>
  <c r="Q198" i="3"/>
  <c r="P5" i="3"/>
  <c r="H52" i="4"/>
  <c r="O52" i="4" s="1"/>
  <c r="AP5" i="3"/>
  <c r="P6" i="3"/>
  <c r="H48" i="4"/>
  <c r="AP6" i="3"/>
  <c r="AC109" i="3"/>
  <c r="AT31" i="6"/>
  <c r="AP111" i="3"/>
  <c r="P111" i="3"/>
  <c r="AP59" i="3"/>
  <c r="P59" i="3"/>
  <c r="AT44" i="6" l="1"/>
  <c r="AT13" i="6"/>
  <c r="AU13" i="6" s="1"/>
  <c r="O34" i="4"/>
  <c r="O29" i="4"/>
  <c r="O35" i="4"/>
  <c r="O33" i="4"/>
  <c r="O32" i="4"/>
  <c r="O76" i="4" s="1"/>
  <c r="O30" i="4"/>
  <c r="P206" i="3"/>
  <c r="AP198" i="3"/>
  <c r="AP206" i="3"/>
  <c r="P198" i="3"/>
  <c r="O48" i="4"/>
  <c r="AT161" i="6"/>
  <c r="AC95" i="3"/>
  <c r="AT135" i="6"/>
  <c r="AC69" i="3"/>
  <c r="AC156" i="3"/>
  <c r="T9" i="4" s="1"/>
  <c r="G9" i="4"/>
  <c r="AT7" i="6"/>
  <c r="AT98" i="6"/>
  <c r="AC32" i="3"/>
  <c r="AC121" i="3"/>
  <c r="G63" i="4"/>
  <c r="G84" i="4" s="1"/>
  <c r="AT48" i="6"/>
  <c r="AU48" i="6" s="1"/>
  <c r="AT163" i="6"/>
  <c r="AC97" i="3"/>
  <c r="AT125" i="6"/>
  <c r="AC59" i="3"/>
  <c r="AC6" i="3"/>
  <c r="G48" i="4"/>
  <c r="AT74" i="6"/>
  <c r="AT99" i="6"/>
  <c r="AC33" i="3"/>
  <c r="P4" i="3"/>
  <c r="Q199" i="3"/>
  <c r="Q201" i="3" s="1"/>
  <c r="AP4" i="3"/>
  <c r="H53" i="4"/>
  <c r="O53" i="4" s="1"/>
  <c r="Q207" i="3"/>
  <c r="Q209" i="3" s="1"/>
  <c r="Q163" i="3"/>
  <c r="AT127" i="6"/>
  <c r="AC61" i="3"/>
  <c r="AC151" i="3"/>
  <c r="T28" i="4" s="1"/>
  <c r="G28" i="4"/>
  <c r="AT26" i="6"/>
  <c r="AU26" i="6" s="1"/>
  <c r="O9" i="4"/>
  <c r="H73" i="4"/>
  <c r="AT67" i="6"/>
  <c r="AC139" i="3"/>
  <c r="AT96" i="6"/>
  <c r="AC30" i="3"/>
  <c r="AT122" i="6"/>
  <c r="AC56" i="3"/>
  <c r="AT40" i="6"/>
  <c r="AC113" i="3"/>
  <c r="AT49" i="6"/>
  <c r="AC122" i="3"/>
  <c r="AT82" i="6"/>
  <c r="AC16" i="3"/>
  <c r="AT136" i="6"/>
  <c r="AC70" i="3"/>
  <c r="AT22" i="6"/>
  <c r="AC149" i="3"/>
  <c r="AT41" i="6"/>
  <c r="AC114" i="3"/>
  <c r="AT109" i="6"/>
  <c r="AC43" i="3"/>
  <c r="AT21" i="6"/>
  <c r="AC148" i="3"/>
  <c r="AT46" i="6"/>
  <c r="AC119" i="3"/>
  <c r="AC72" i="3"/>
  <c r="AT138" i="6"/>
  <c r="AC136" i="3"/>
  <c r="T59" i="4" s="1"/>
  <c r="G59" i="4"/>
  <c r="AT62" i="6"/>
  <c r="AT153" i="6"/>
  <c r="AC87" i="3"/>
  <c r="AT141" i="6"/>
  <c r="AC75" i="3"/>
  <c r="H44" i="4"/>
  <c r="O28" i="4"/>
  <c r="AT20" i="6"/>
  <c r="AC147" i="3"/>
  <c r="AT83" i="6"/>
  <c r="AC17" i="3"/>
  <c r="AT66" i="6"/>
  <c r="AC140" i="3"/>
  <c r="AC160" i="3"/>
  <c r="AT12" i="6"/>
  <c r="AU12" i="6" s="1"/>
  <c r="G15" i="4"/>
  <c r="AT50" i="6"/>
  <c r="AC123" i="3"/>
  <c r="AT105" i="6"/>
  <c r="AC39" i="3"/>
  <c r="AC142" i="3"/>
  <c r="G33" i="4"/>
  <c r="P197" i="3"/>
  <c r="AT15" i="6"/>
  <c r="P205" i="3"/>
  <c r="AT33" i="6"/>
  <c r="AC111" i="3"/>
  <c r="AT110" i="6"/>
  <c r="AC44" i="3"/>
  <c r="AT133" i="6"/>
  <c r="AC67" i="3"/>
  <c r="AT131" i="6"/>
  <c r="AC65" i="3"/>
  <c r="AT94" i="6"/>
  <c r="AC28" i="3"/>
  <c r="AT152" i="6"/>
  <c r="AC84" i="3"/>
  <c r="AT160" i="6"/>
  <c r="AC92" i="3"/>
  <c r="AT158" i="6"/>
  <c r="AC94" i="3"/>
  <c r="AC154" i="3"/>
  <c r="G8" i="4"/>
  <c r="P200" i="3"/>
  <c r="P208" i="3"/>
  <c r="AT9" i="6"/>
  <c r="AU9" i="6" s="1"/>
  <c r="AT11" i="6"/>
  <c r="AC159" i="3"/>
  <c r="T14" i="4" s="1"/>
  <c r="G14" i="4"/>
  <c r="AC76" i="3"/>
  <c r="AT142" i="6"/>
  <c r="G57" i="4"/>
  <c r="G81" i="4" s="1"/>
  <c r="T66" i="4"/>
  <c r="T87" i="4" s="1"/>
  <c r="AT61" i="6"/>
  <c r="AC134" i="3"/>
  <c r="AC102" i="3"/>
  <c r="AT34" i="6"/>
  <c r="AC14" i="3"/>
  <c r="G58" i="4"/>
  <c r="G82" i="4" s="1"/>
  <c r="AT80" i="6"/>
  <c r="AT39" i="6"/>
  <c r="AC112" i="3"/>
  <c r="AT42" i="6"/>
  <c r="AC115" i="3"/>
  <c r="AT88" i="6"/>
  <c r="AC22" i="3"/>
  <c r="H80" i="4"/>
  <c r="O36" i="4"/>
  <c r="O80" i="4" s="1"/>
  <c r="AT92" i="6"/>
  <c r="AC26" i="3"/>
  <c r="H74" i="4"/>
  <c r="O10" i="4"/>
  <c r="O74" i="4" s="1"/>
  <c r="AT36" i="6"/>
  <c r="AC104" i="3"/>
  <c r="AT104" i="6"/>
  <c r="AC40" i="3"/>
  <c r="AC15" i="3"/>
  <c r="G60" i="4"/>
  <c r="AT81" i="6"/>
  <c r="AT115" i="6"/>
  <c r="AC49" i="3"/>
  <c r="AC153" i="3"/>
  <c r="T29" i="4" s="1"/>
  <c r="AT24" i="6"/>
  <c r="AU24" i="6" s="1"/>
  <c r="G29" i="4"/>
  <c r="AT112" i="6"/>
  <c r="AC46" i="3"/>
  <c r="AC146" i="3"/>
  <c r="G34" i="4"/>
  <c r="AT19" i="6"/>
  <c r="AU19" i="6" s="1"/>
  <c r="O51" i="4"/>
  <c r="O75" i="4" s="1"/>
  <c r="H75" i="4"/>
  <c r="AT151" i="6"/>
  <c r="AC85" i="3"/>
  <c r="AC135" i="3"/>
  <c r="AT64" i="6"/>
  <c r="AT45" i="6"/>
  <c r="AC118" i="3"/>
  <c r="AT57" i="6"/>
  <c r="AC130" i="3"/>
  <c r="AT18" i="6"/>
  <c r="AC145" i="3"/>
  <c r="AT86" i="6"/>
  <c r="AC20" i="3"/>
  <c r="AC158" i="3"/>
  <c r="AT10" i="6"/>
  <c r="AU10" i="6" s="1"/>
  <c r="G13" i="4"/>
  <c r="AT90" i="6"/>
  <c r="AC24" i="3"/>
  <c r="AT148" i="6"/>
  <c r="AC82" i="3"/>
  <c r="AT38" i="6"/>
  <c r="AC106" i="3"/>
  <c r="O8" i="4"/>
  <c r="H72" i="4"/>
  <c r="H24" i="4"/>
  <c r="O14" i="4"/>
  <c r="H78" i="4"/>
  <c r="O57" i="4"/>
  <c r="O81" i="4" s="1"/>
  <c r="H81" i="4"/>
  <c r="AC101" i="3"/>
  <c r="G65" i="4"/>
  <c r="G86" i="4" s="1"/>
  <c r="AT28" i="6"/>
  <c r="AU28" i="6" s="1"/>
  <c r="AT32" i="6"/>
  <c r="AC110" i="3"/>
  <c r="AT87" i="6"/>
  <c r="AC23" i="3"/>
  <c r="AC150" i="3"/>
  <c r="G36" i="4"/>
  <c r="AT23" i="6"/>
  <c r="AU23" i="6" s="1"/>
  <c r="AT60" i="6"/>
  <c r="AC133" i="3"/>
  <c r="AT35" i="6"/>
  <c r="AC103" i="3"/>
  <c r="AT154" i="6"/>
  <c r="AC90" i="3"/>
  <c r="AT29" i="6"/>
  <c r="AC107" i="3"/>
  <c r="AT157" i="6"/>
  <c r="AC91" i="3"/>
  <c r="AT51" i="6"/>
  <c r="AC124" i="3"/>
  <c r="AT144" i="6"/>
  <c r="AC78" i="3"/>
  <c r="AT119" i="6"/>
  <c r="AC53" i="3"/>
  <c r="AC127" i="3"/>
  <c r="AT54" i="6"/>
  <c r="AT78" i="6"/>
  <c r="AC12" i="3"/>
  <c r="O13" i="4"/>
  <c r="AT146" i="6"/>
  <c r="AC80" i="3"/>
  <c r="AC25" i="3"/>
  <c r="G54" i="4"/>
  <c r="AT91" i="6"/>
  <c r="AT37" i="6"/>
  <c r="AC105" i="3"/>
  <c r="AP208" i="3"/>
  <c r="AP200" i="3"/>
  <c r="AC108" i="3"/>
  <c r="AT30" i="6"/>
  <c r="AT108" i="6"/>
  <c r="AC42" i="3"/>
  <c r="AC47" i="3"/>
  <c r="AT113" i="6"/>
  <c r="AT124" i="6"/>
  <c r="AC58" i="3"/>
  <c r="AT140" i="6"/>
  <c r="AC74" i="3"/>
  <c r="H82" i="4"/>
  <c r="O58" i="4"/>
  <c r="O82" i="4" s="1"/>
  <c r="AC13" i="3"/>
  <c r="AT77" i="6"/>
  <c r="AT75" i="6"/>
  <c r="AC9" i="3"/>
  <c r="AC120" i="3"/>
  <c r="AT47" i="6"/>
  <c r="AC155" i="3"/>
  <c r="T10" i="4" s="1"/>
  <c r="G10" i="4"/>
  <c r="AT8" i="6"/>
  <c r="AU8" i="6" s="1"/>
  <c r="AT126" i="6"/>
  <c r="AC60" i="3"/>
  <c r="H85" i="4"/>
  <c r="O64" i="4"/>
  <c r="O85" i="4" s="1"/>
  <c r="AC8" i="3"/>
  <c r="G49" i="4"/>
  <c r="AT72" i="6"/>
  <c r="AT97" i="6"/>
  <c r="AC31" i="3"/>
  <c r="AT147" i="6"/>
  <c r="AC81" i="3"/>
  <c r="AT106" i="6"/>
  <c r="AC38" i="3"/>
  <c r="AT65" i="6"/>
  <c r="AC157" i="3"/>
  <c r="AC5" i="3"/>
  <c r="AT71" i="6"/>
  <c r="G52" i="4"/>
  <c r="AC152" i="3"/>
  <c r="T30" i="4" s="1"/>
  <c r="G30" i="4"/>
  <c r="AT25" i="6"/>
  <c r="AU25" i="6" s="1"/>
  <c r="AT162" i="6"/>
  <c r="AC98" i="3"/>
  <c r="AC143" i="3"/>
  <c r="AT16" i="6"/>
  <c r="G35" i="4"/>
  <c r="O63" i="4"/>
  <c r="O84" i="4" s="1"/>
  <c r="H84" i="4"/>
  <c r="AT95" i="6"/>
  <c r="AC27" i="3"/>
  <c r="AT55" i="6"/>
  <c r="AC128" i="3"/>
  <c r="AT132" i="6"/>
  <c r="AC66" i="3"/>
  <c r="AT164" i="6"/>
  <c r="AC96" i="3"/>
  <c r="AT59" i="6"/>
  <c r="AC132" i="3"/>
  <c r="AT79" i="6"/>
  <c r="AC11" i="3"/>
  <c r="AC54" i="3"/>
  <c r="AT120" i="6"/>
  <c r="AC18" i="3"/>
  <c r="T62" i="4" s="1"/>
  <c r="G62" i="4"/>
  <c r="AT84" i="6"/>
  <c r="AC7" i="3"/>
  <c r="G50" i="4"/>
  <c r="AT73" i="6"/>
  <c r="AT116" i="6"/>
  <c r="AC50" i="3"/>
  <c r="AC55" i="3"/>
  <c r="G56" i="4"/>
  <c r="AT121" i="6"/>
  <c r="AC99" i="3"/>
  <c r="G64" i="4"/>
  <c r="G85" i="4" s="1"/>
  <c r="AT165" i="6"/>
  <c r="AC36" i="3"/>
  <c r="G55" i="4"/>
  <c r="AT102" i="6"/>
  <c r="H86" i="4"/>
  <c r="O65" i="4"/>
  <c r="O86" i="4" s="1"/>
  <c r="AT155" i="6"/>
  <c r="AC89" i="3"/>
  <c r="H76" i="4"/>
  <c r="AT43" i="6"/>
  <c r="AC116" i="3"/>
  <c r="AT107" i="6"/>
  <c r="AC41" i="3"/>
  <c r="AT100" i="6"/>
  <c r="AC34" i="3"/>
  <c r="AT89" i="6"/>
  <c r="AC21" i="3"/>
  <c r="AT123" i="6"/>
  <c r="AC57" i="3"/>
  <c r="AP197" i="3"/>
  <c r="AP205" i="3"/>
  <c r="AT130" i="6"/>
  <c r="AC64" i="3"/>
  <c r="AT118" i="6"/>
  <c r="AC52" i="3"/>
  <c r="AT103" i="6"/>
  <c r="AC37" i="3"/>
  <c r="AC144" i="3"/>
  <c r="G32" i="4"/>
  <c r="AT17" i="6"/>
  <c r="AT76" i="6"/>
  <c r="AC10" i="3"/>
  <c r="AT53" i="6"/>
  <c r="AC126" i="3"/>
  <c r="AT101" i="6"/>
  <c r="AC35" i="3"/>
  <c r="AT93" i="6"/>
  <c r="AC29" i="3"/>
  <c r="H79" i="4"/>
  <c r="O15" i="4"/>
  <c r="AT117" i="6"/>
  <c r="AC51" i="3"/>
  <c r="AT111" i="6"/>
  <c r="AC45" i="3"/>
  <c r="AT145" i="6"/>
  <c r="AC79" i="3"/>
  <c r="AT137" i="6"/>
  <c r="AC71" i="3"/>
  <c r="AC141" i="3"/>
  <c r="G51" i="4"/>
  <c r="G75" i="4" s="1"/>
  <c r="AT69" i="6"/>
  <c r="AU69" i="6" s="1"/>
  <c r="AT58" i="6"/>
  <c r="AC131" i="3"/>
  <c r="O59" i="4"/>
  <c r="O83" i="4" s="1"/>
  <c r="H83" i="4"/>
  <c r="AT143" i="6"/>
  <c r="AC77" i="3"/>
  <c r="AT128" i="6"/>
  <c r="AC62" i="3"/>
  <c r="AT156" i="6"/>
  <c r="AC88" i="3"/>
  <c r="AT134" i="6"/>
  <c r="AC68" i="3"/>
  <c r="AT150" i="6"/>
  <c r="AC86" i="3"/>
  <c r="O78" i="4" l="1"/>
  <c r="O79" i="4"/>
  <c r="O73" i="4"/>
  <c r="Q193" i="3"/>
  <c r="G73" i="4"/>
  <c r="G74" i="4"/>
  <c r="T60" i="4"/>
  <c r="T83" i="4" s="1"/>
  <c r="AU143" i="6"/>
  <c r="AU155" i="6"/>
  <c r="AU17" i="6"/>
  <c r="AU18" i="6"/>
  <c r="AU156" i="6"/>
  <c r="AU44" i="6"/>
  <c r="AU147" i="6"/>
  <c r="AU114" i="6"/>
  <c r="AU139" i="6"/>
  <c r="AU132" i="6"/>
  <c r="AU16" i="6"/>
  <c r="AU71" i="6"/>
  <c r="AC198" i="3"/>
  <c r="AU145" i="6"/>
  <c r="AU130" i="6"/>
  <c r="T50" i="4"/>
  <c r="T74" i="4" s="1"/>
  <c r="H77" i="4"/>
  <c r="AU52" i="6"/>
  <c r="G76" i="4"/>
  <c r="G80" i="4"/>
  <c r="AU84" i="6"/>
  <c r="AU65" i="6"/>
  <c r="O77" i="4"/>
  <c r="AU154" i="6"/>
  <c r="AU108" i="6"/>
  <c r="AU91" i="6"/>
  <c r="T57" i="4"/>
  <c r="T81" i="4" s="1"/>
  <c r="T8" i="4"/>
  <c r="AC200" i="3"/>
  <c r="AC208" i="3"/>
  <c r="AU22" i="6"/>
  <c r="T51" i="4"/>
  <c r="T75" i="4" s="1"/>
  <c r="AU103" i="6"/>
  <c r="AU59" i="6"/>
  <c r="AU126" i="6"/>
  <c r="AU137" i="6"/>
  <c r="AU76" i="6"/>
  <c r="AU89" i="6"/>
  <c r="AU165" i="6"/>
  <c r="T49" i="4"/>
  <c r="T73" i="4" s="1"/>
  <c r="AU37" i="6"/>
  <c r="AU144" i="6"/>
  <c r="T36" i="4"/>
  <c r="AU38" i="6"/>
  <c r="AU64" i="6"/>
  <c r="T34" i="4"/>
  <c r="AU81" i="6"/>
  <c r="AU142" i="6"/>
  <c r="G24" i="4"/>
  <c r="G72" i="4"/>
  <c r="AU66" i="6"/>
  <c r="AU141" i="6"/>
  <c r="AU163" i="6"/>
  <c r="AU46" i="6"/>
  <c r="AU58" i="6"/>
  <c r="AU93" i="6"/>
  <c r="T64" i="4"/>
  <c r="T85" i="4" s="1"/>
  <c r="T35" i="4"/>
  <c r="T52" i="4"/>
  <c r="AU30" i="6"/>
  <c r="AU54" i="6"/>
  <c r="AU51" i="6"/>
  <c r="AU87" i="6"/>
  <c r="AU148" i="6"/>
  <c r="AU112" i="6"/>
  <c r="AU92" i="6"/>
  <c r="AU61" i="6"/>
  <c r="G78" i="4"/>
  <c r="AU83" i="6"/>
  <c r="AU153" i="6"/>
  <c r="AU74" i="6"/>
  <c r="AU135" i="6"/>
  <c r="AU42" i="6"/>
  <c r="AU111" i="6"/>
  <c r="T32" i="4"/>
  <c r="AU79" i="6"/>
  <c r="AU55" i="6"/>
  <c r="AU31" i="6"/>
  <c r="AU140" i="6"/>
  <c r="T54" i="4"/>
  <c r="AU35" i="6"/>
  <c r="AU151" i="6"/>
  <c r="AU68" i="6"/>
  <c r="AU158" i="6"/>
  <c r="AU131" i="6"/>
  <c r="AU85" i="6"/>
  <c r="AU62" i="6"/>
  <c r="AU63" i="6"/>
  <c r="AU21" i="6"/>
  <c r="AU136" i="6"/>
  <c r="AU122" i="6"/>
  <c r="G44" i="4"/>
  <c r="T63" i="4"/>
  <c r="T84" i="4" s="1"/>
  <c r="AU40" i="6"/>
  <c r="AU121" i="6"/>
  <c r="AU150" i="6"/>
  <c r="AU101" i="6"/>
  <c r="AU102" i="6"/>
  <c r="AU162" i="6"/>
  <c r="AU157" i="6"/>
  <c r="AU32" i="6"/>
  <c r="AU104" i="6"/>
  <c r="AU80" i="6"/>
  <c r="AC206" i="3"/>
  <c r="AU14" i="6"/>
  <c r="AU11" i="6"/>
  <c r="AU15" i="6"/>
  <c r="G79" i="4"/>
  <c r="AU20" i="6"/>
  <c r="G83" i="4"/>
  <c r="AP207" i="3"/>
  <c r="AP209" i="3" s="1"/>
  <c r="AP163" i="3"/>
  <c r="AP193" i="3" s="1"/>
  <c r="AP199" i="3"/>
  <c r="AP201" i="3" s="1"/>
  <c r="T48" i="4"/>
  <c r="AU161" i="6"/>
  <c r="AU86" i="6"/>
  <c r="AU33" i="6"/>
  <c r="AU99" i="6"/>
  <c r="AU124" i="6"/>
  <c r="AU146" i="6"/>
  <c r="AU119" i="6"/>
  <c r="AU60" i="6"/>
  <c r="AU57" i="6"/>
  <c r="AU160" i="6"/>
  <c r="O44" i="4"/>
  <c r="AU109" i="6"/>
  <c r="AU82" i="6"/>
  <c r="AU98" i="6"/>
  <c r="H67" i="4"/>
  <c r="AU73" i="6"/>
  <c r="AU78" i="6"/>
  <c r="AU94" i="6"/>
  <c r="T56" i="4"/>
  <c r="AU53" i="6"/>
  <c r="T55" i="4"/>
  <c r="AU72" i="6"/>
  <c r="AU77" i="6"/>
  <c r="AU113" i="6"/>
  <c r="AU149" i="6"/>
  <c r="O72" i="4"/>
  <c r="O24" i="4"/>
  <c r="AU36" i="6"/>
  <c r="T58" i="4"/>
  <c r="T82" i="4" s="1"/>
  <c r="T15" i="4"/>
  <c r="AU138" i="6"/>
  <c r="AU127" i="6"/>
  <c r="AU125" i="6"/>
  <c r="AU7" i="6"/>
  <c r="O67" i="4"/>
  <c r="AU47" i="6"/>
  <c r="AU105" i="6"/>
  <c r="AU129" i="6"/>
  <c r="AU117" i="6"/>
  <c r="AU95" i="6"/>
  <c r="AU97" i="6"/>
  <c r="AU134" i="6"/>
  <c r="AU116" i="6"/>
  <c r="AU120" i="6"/>
  <c r="AU164" i="6"/>
  <c r="AU106" i="6"/>
  <c r="AU159" i="6"/>
  <c r="T65" i="4"/>
  <c r="T86" i="4" s="1"/>
  <c r="T13" i="4"/>
  <c r="AU45" i="6"/>
  <c r="AU88" i="6"/>
  <c r="AU152" i="6"/>
  <c r="AC197" i="3"/>
  <c r="T33" i="4"/>
  <c r="AC205" i="3"/>
  <c r="AU41" i="6"/>
  <c r="AU49" i="6"/>
  <c r="AU67" i="6"/>
  <c r="AC4" i="3"/>
  <c r="G53" i="4"/>
  <c r="G67" i="4" s="1"/>
  <c r="AT70" i="6"/>
  <c r="AU70" i="6" s="1"/>
  <c r="P163" i="3"/>
  <c r="P193" i="3" s="1"/>
  <c r="P199" i="3"/>
  <c r="P201" i="3" s="1"/>
  <c r="P207" i="3"/>
  <c r="P209" i="3" s="1"/>
  <c r="O88" i="4" l="1"/>
  <c r="T80" i="4"/>
  <c r="H88" i="4"/>
  <c r="T79" i="4"/>
  <c r="T44" i="4"/>
  <c r="T78" i="4"/>
  <c r="AU118" i="6"/>
  <c r="AU75" i="6"/>
  <c r="AU115" i="6"/>
  <c r="AU123" i="6"/>
  <c r="AU29" i="6"/>
  <c r="T53" i="4"/>
  <c r="T77" i="4" s="1"/>
  <c r="AC163" i="3"/>
  <c r="AC193" i="3" s="1"/>
  <c r="AC207" i="3"/>
  <c r="AC209" i="3" s="1"/>
  <c r="AC199" i="3"/>
  <c r="AC201" i="3" s="1"/>
  <c r="AU110" i="6"/>
  <c r="AU43" i="6"/>
  <c r="T76" i="4"/>
  <c r="AU34" i="6"/>
  <c r="AU96" i="6"/>
  <c r="AU107" i="6"/>
  <c r="T24" i="4"/>
  <c r="T72" i="4"/>
  <c r="G77" i="4"/>
  <c r="AU50" i="6"/>
  <c r="AT166" i="6"/>
  <c r="AU90" i="6"/>
  <c r="AU100" i="6"/>
  <c r="AU133" i="6"/>
  <c r="AU39" i="6"/>
  <c r="AU128" i="6"/>
  <c r="AU56" i="6"/>
  <c r="G88" i="4" l="1"/>
  <c r="T67" i="4"/>
  <c r="T88" i="4"/>
  <c r="N85" i="6" l="1"/>
  <c r="AG85" i="6" l="1"/>
  <c r="AF85" i="6"/>
  <c r="AN85" i="6"/>
  <c r="AO85" i="6"/>
  <c r="AE85" i="6"/>
  <c r="AM85" i="6"/>
  <c r="AC85" i="6"/>
  <c r="AD85" i="6"/>
  <c r="AH85" i="6" l="1"/>
  <c r="AE152" i="3" l="1"/>
  <c r="V30" i="4" s="1"/>
  <c r="AG152" i="3"/>
  <c r="O152" i="3"/>
  <c r="AI152" i="3"/>
  <c r="AQ152" i="3"/>
  <c r="AH152" i="3"/>
  <c r="AR152" i="3"/>
  <c r="I30" i="4"/>
  <c r="AD152" i="3"/>
  <c r="AG127" i="3"/>
  <c r="AE127" i="3"/>
  <c r="O127" i="3"/>
  <c r="AH127" i="3"/>
  <c r="AI127" i="3"/>
  <c r="AD127" i="3"/>
  <c r="AE44" i="3"/>
  <c r="AI44" i="3"/>
  <c r="AG44" i="3"/>
  <c r="AH44" i="3"/>
  <c r="AD44" i="3"/>
  <c r="O44" i="3"/>
  <c r="AE36" i="3"/>
  <c r="AG36" i="3"/>
  <c r="O36" i="3"/>
  <c r="AD36" i="3"/>
  <c r="AH36" i="3"/>
  <c r="AI36" i="3"/>
  <c r="I55" i="4"/>
  <c r="AD12" i="3"/>
  <c r="AI12" i="3"/>
  <c r="AE12" i="3"/>
  <c r="AG12" i="3"/>
  <c r="AH12" i="3"/>
  <c r="O12" i="3"/>
  <c r="AE160" i="3"/>
  <c r="AH160" i="3"/>
  <c r="AQ160" i="3"/>
  <c r="AI160" i="3"/>
  <c r="AG160" i="3"/>
  <c r="AR160" i="3"/>
  <c r="AD160" i="3"/>
  <c r="I15" i="4"/>
  <c r="O160" i="3"/>
  <c r="AG94" i="3"/>
  <c r="AE94" i="3"/>
  <c r="AD94" i="3"/>
  <c r="AI94" i="3"/>
  <c r="AH94" i="3"/>
  <c r="O94" i="3"/>
  <c r="AG33" i="3"/>
  <c r="AI33" i="3"/>
  <c r="AH33" i="3"/>
  <c r="AE33" i="3"/>
  <c r="AD33" i="3"/>
  <c r="O33" i="3"/>
  <c r="AQ132" i="3"/>
  <c r="AD132" i="3"/>
  <c r="AH132" i="3"/>
  <c r="AR132" i="3"/>
  <c r="AI132" i="3"/>
  <c r="AG132" i="3"/>
  <c r="AE132" i="3"/>
  <c r="O132" i="3"/>
  <c r="AD41" i="3"/>
  <c r="AH41" i="3"/>
  <c r="AI41" i="3"/>
  <c r="AE41" i="3"/>
  <c r="AG41" i="3"/>
  <c r="O41" i="3"/>
  <c r="O27" i="3"/>
  <c r="AG27" i="3"/>
  <c r="AI27" i="3"/>
  <c r="AH27" i="3"/>
  <c r="AD27" i="3"/>
  <c r="AE27" i="3"/>
  <c r="AE101" i="3"/>
  <c r="AG101" i="3"/>
  <c r="AH101" i="3"/>
  <c r="AI101" i="3"/>
  <c r="I65" i="4"/>
  <c r="AD101" i="3"/>
  <c r="O101" i="3"/>
  <c r="AD120" i="3"/>
  <c r="AG120" i="3"/>
  <c r="AH120" i="3"/>
  <c r="AI120" i="3"/>
  <c r="AE120" i="3"/>
  <c r="O120" i="3"/>
  <c r="AH93" i="3"/>
  <c r="AG93" i="3"/>
  <c r="AI93" i="3"/>
  <c r="AE93" i="3"/>
  <c r="AD93" i="3"/>
  <c r="O93" i="3"/>
  <c r="AH77" i="3"/>
  <c r="AG77" i="3"/>
  <c r="AD77" i="3"/>
  <c r="AE77" i="3"/>
  <c r="AI77" i="3"/>
  <c r="O77" i="3"/>
  <c r="AD50" i="3"/>
  <c r="AE50" i="3"/>
  <c r="AH50" i="3"/>
  <c r="AG50" i="3"/>
  <c r="AI50" i="3"/>
  <c r="O50" i="3"/>
  <c r="AH37" i="3"/>
  <c r="AG37" i="3"/>
  <c r="AD37" i="3"/>
  <c r="AI37" i="3"/>
  <c r="AE37" i="3"/>
  <c r="O37" i="3"/>
  <c r="AD79" i="3"/>
  <c r="AH79" i="3"/>
  <c r="AG79" i="3"/>
  <c r="AI79" i="3"/>
  <c r="AE79" i="3"/>
  <c r="O79" i="3"/>
  <c r="AG90" i="3"/>
  <c r="AD90" i="3"/>
  <c r="AI90" i="3"/>
  <c r="AE90" i="3"/>
  <c r="AH90" i="3"/>
  <c r="O90" i="3"/>
  <c r="AG55" i="3"/>
  <c r="O55" i="3"/>
  <c r="AE55" i="3"/>
  <c r="AH55" i="3"/>
  <c r="AR55" i="3"/>
  <c r="AQ55" i="3"/>
  <c r="AI55" i="3"/>
  <c r="I56" i="4"/>
  <c r="AD55" i="3"/>
  <c r="AE104" i="3"/>
  <c r="AG104" i="3"/>
  <c r="AI104" i="3"/>
  <c r="AH104" i="3"/>
  <c r="AD104" i="3"/>
  <c r="O104" i="3"/>
  <c r="AD112" i="3"/>
  <c r="AH112" i="3"/>
  <c r="AG112" i="3"/>
  <c r="AI112" i="3"/>
  <c r="AE112" i="3"/>
  <c r="O112" i="3"/>
  <c r="AD11" i="3"/>
  <c r="AG11" i="3"/>
  <c r="AH11" i="3"/>
  <c r="AI11" i="3"/>
  <c r="AE11" i="3"/>
  <c r="O11" i="3"/>
  <c r="AD8" i="3"/>
  <c r="AG8" i="3"/>
  <c r="AE8" i="3"/>
  <c r="AH8" i="3"/>
  <c r="AI8" i="3"/>
  <c r="O8" i="3"/>
  <c r="I49" i="4"/>
  <c r="AD67" i="3"/>
  <c r="AE67" i="3"/>
  <c r="AI67" i="3"/>
  <c r="AH67" i="3"/>
  <c r="AG67" i="3"/>
  <c r="O67" i="3"/>
  <c r="AG124" i="3"/>
  <c r="AE124" i="3"/>
  <c r="AD124" i="3"/>
  <c r="AH124" i="3"/>
  <c r="AI124" i="3"/>
  <c r="O124" i="3"/>
  <c r="AG135" i="3"/>
  <c r="AE135" i="3"/>
  <c r="AI135" i="3"/>
  <c r="AD135" i="3"/>
  <c r="AH135" i="3"/>
  <c r="O135" i="3"/>
  <c r="AI108" i="3"/>
  <c r="AH108" i="3"/>
  <c r="AE108" i="3"/>
  <c r="AD108" i="3"/>
  <c r="AG108" i="3"/>
  <c r="O108" i="3"/>
  <c r="AG78" i="3"/>
  <c r="AD78" i="3"/>
  <c r="AH78" i="3"/>
  <c r="AQ78" i="3"/>
  <c r="AR78" i="3"/>
  <c r="AI78" i="3"/>
  <c r="AE78" i="3"/>
  <c r="O78" i="3"/>
  <c r="O56" i="3"/>
  <c r="AD56" i="3"/>
  <c r="AI56" i="3"/>
  <c r="AH56" i="3"/>
  <c r="AG56" i="3"/>
  <c r="AE56" i="3"/>
  <c r="AD51" i="3"/>
  <c r="O51" i="3"/>
  <c r="AE51" i="3"/>
  <c r="AH51" i="3"/>
  <c r="AI51" i="3"/>
  <c r="AG51" i="3"/>
  <c r="AH155" i="3"/>
  <c r="AE155" i="3"/>
  <c r="V10" i="4" s="1"/>
  <c r="AI155" i="3"/>
  <c r="AR155" i="3"/>
  <c r="AQ155" i="3"/>
  <c r="AG155" i="3"/>
  <c r="AD155" i="3"/>
  <c r="O155" i="3"/>
  <c r="I10" i="4"/>
  <c r="AG96" i="3"/>
  <c r="AE96" i="3"/>
  <c r="AH96" i="3"/>
  <c r="AI96" i="3"/>
  <c r="AD96" i="3"/>
  <c r="O96" i="3"/>
  <c r="AD98" i="3"/>
  <c r="AI98" i="3"/>
  <c r="AH98" i="3"/>
  <c r="AG98" i="3"/>
  <c r="AE98" i="3"/>
  <c r="O98" i="3"/>
  <c r="AH97" i="3"/>
  <c r="AI97" i="3"/>
  <c r="AE97" i="3"/>
  <c r="AD97" i="3"/>
  <c r="AG97" i="3"/>
  <c r="O97" i="3"/>
  <c r="AG49" i="3"/>
  <c r="AE49" i="3"/>
  <c r="AH49" i="3"/>
  <c r="AI49" i="3"/>
  <c r="AD49" i="3"/>
  <c r="O49" i="3"/>
  <c r="AE74" i="3"/>
  <c r="AI74" i="3"/>
  <c r="AG74" i="3"/>
  <c r="AD74" i="3"/>
  <c r="AH74" i="3"/>
  <c r="O74" i="3"/>
  <c r="AD162" i="3"/>
  <c r="AH162" i="3"/>
  <c r="AE162" i="3"/>
  <c r="AI162" i="3"/>
  <c r="AQ162" i="3"/>
  <c r="AG162" i="3"/>
  <c r="AR162" i="3"/>
  <c r="O162" i="3"/>
  <c r="AG123" i="3"/>
  <c r="AD123" i="3"/>
  <c r="AE123" i="3"/>
  <c r="AI123" i="3"/>
  <c r="AH123" i="3"/>
  <c r="O123" i="3"/>
  <c r="AI75" i="3"/>
  <c r="AQ75" i="3"/>
  <c r="AE75" i="3"/>
  <c r="AD75" i="3"/>
  <c r="AG75" i="3"/>
  <c r="AH75" i="3"/>
  <c r="AR75" i="3"/>
  <c r="O75" i="3"/>
  <c r="AG143" i="3"/>
  <c r="O143" i="3"/>
  <c r="AR143" i="3"/>
  <c r="AE143" i="3"/>
  <c r="AQ143" i="3"/>
  <c r="AH143" i="3"/>
  <c r="AI143" i="3"/>
  <c r="I35" i="4"/>
  <c r="AD143" i="3"/>
  <c r="AG10" i="3"/>
  <c r="AD10" i="3"/>
  <c r="AE10" i="3"/>
  <c r="AI10" i="3"/>
  <c r="AH10" i="3"/>
  <c r="O10" i="3"/>
  <c r="AE105" i="3"/>
  <c r="AG105" i="3"/>
  <c r="O105" i="3"/>
  <c r="AH105" i="3"/>
  <c r="AI105" i="3"/>
  <c r="AQ105" i="3"/>
  <c r="AR105" i="3"/>
  <c r="AD105" i="3"/>
  <c r="AD87" i="3"/>
  <c r="AG87" i="3"/>
  <c r="AE87" i="3"/>
  <c r="AI87" i="3"/>
  <c r="AH87" i="3"/>
  <c r="O87" i="3"/>
  <c r="AD9" i="3"/>
  <c r="AH9" i="3"/>
  <c r="AE9" i="3"/>
  <c r="AG9" i="3"/>
  <c r="AI9" i="3"/>
  <c r="O9" i="3"/>
  <c r="AD89" i="3"/>
  <c r="AG89" i="3"/>
  <c r="AI89" i="3"/>
  <c r="AH89" i="3"/>
  <c r="AE89" i="3"/>
  <c r="O89" i="3"/>
  <c r="AE14" i="3"/>
  <c r="I58" i="4"/>
  <c r="AH14" i="3"/>
  <c r="AI14" i="3"/>
  <c r="AG14" i="3"/>
  <c r="O14" i="3"/>
  <c r="AD14" i="3"/>
  <c r="AD148" i="3"/>
  <c r="AI148" i="3"/>
  <c r="AQ148" i="3"/>
  <c r="AH148" i="3"/>
  <c r="AE148" i="3"/>
  <c r="AR148" i="3"/>
  <c r="AG148" i="3"/>
  <c r="O148" i="3"/>
  <c r="AD88" i="3"/>
  <c r="AE88" i="3"/>
  <c r="AH88" i="3"/>
  <c r="AG88" i="3"/>
  <c r="AI88" i="3"/>
  <c r="O88" i="3"/>
  <c r="AG32" i="3"/>
  <c r="AE32" i="3"/>
  <c r="AI32" i="3"/>
  <c r="AD32" i="3"/>
  <c r="AH32" i="3"/>
  <c r="O32" i="3"/>
  <c r="AD29" i="3"/>
  <c r="O29" i="3"/>
  <c r="AH29" i="3"/>
  <c r="AE29" i="3"/>
  <c r="AG29" i="3"/>
  <c r="AI29" i="3"/>
  <c r="I62" i="4"/>
  <c r="AG18" i="3"/>
  <c r="AI18" i="3"/>
  <c r="AH18" i="3"/>
  <c r="AE18" i="3"/>
  <c r="V62" i="4" s="1"/>
  <c r="AD18" i="3"/>
  <c r="O18" i="3"/>
  <c r="AG43" i="3"/>
  <c r="AD43" i="3"/>
  <c r="AI43" i="3"/>
  <c r="AE43" i="3"/>
  <c r="AH43" i="3"/>
  <c r="O43" i="3"/>
  <c r="AE158" i="3"/>
  <c r="AD158" i="3"/>
  <c r="AI158" i="3"/>
  <c r="I13" i="4"/>
  <c r="AH158" i="3"/>
  <c r="AQ158" i="3"/>
  <c r="AR158" i="3"/>
  <c r="AG158" i="3"/>
  <c r="O158" i="3"/>
  <c r="AD116" i="3"/>
  <c r="AH116" i="3"/>
  <c r="AE116" i="3"/>
  <c r="AI116" i="3"/>
  <c r="AG116" i="3"/>
  <c r="O116" i="3"/>
  <c r="AD114" i="3"/>
  <c r="AE114" i="3"/>
  <c r="AH114" i="3"/>
  <c r="AI114" i="3"/>
  <c r="AG114" i="3"/>
  <c r="O114" i="3"/>
  <c r="AI111" i="3"/>
  <c r="AG111" i="3"/>
  <c r="AH111" i="3"/>
  <c r="AE111" i="3"/>
  <c r="AD111" i="3"/>
  <c r="O111" i="3"/>
  <c r="AH83" i="3"/>
  <c r="AE83" i="3"/>
  <c r="AD83" i="3"/>
  <c r="AI83" i="3"/>
  <c r="AG83" i="3"/>
  <c r="O83" i="3"/>
  <c r="AG24" i="3"/>
  <c r="AD24" i="3"/>
  <c r="AH24" i="3"/>
  <c r="AE24" i="3"/>
  <c r="AI24" i="3"/>
  <c r="O24" i="3"/>
  <c r="AE146" i="3"/>
  <c r="AG146" i="3"/>
  <c r="O146" i="3"/>
  <c r="AI146" i="3"/>
  <c r="AH146" i="3"/>
  <c r="AQ146" i="3"/>
  <c r="AR146" i="3"/>
  <c r="I34" i="4"/>
  <c r="AD146" i="3"/>
  <c r="O157" i="3"/>
  <c r="AE157" i="3"/>
  <c r="AG157" i="3"/>
  <c r="AH157" i="3"/>
  <c r="AI157" i="3"/>
  <c r="AD157" i="3"/>
  <c r="AD153" i="3"/>
  <c r="AE153" i="3"/>
  <c r="V29" i="4" s="1"/>
  <c r="AI153" i="3"/>
  <c r="AG153" i="3"/>
  <c r="AH153" i="3"/>
  <c r="AR153" i="3"/>
  <c r="AQ153" i="3"/>
  <c r="I29" i="4"/>
  <c r="O153" i="3"/>
  <c r="AG92" i="3"/>
  <c r="AH92" i="3"/>
  <c r="AE92" i="3"/>
  <c r="AI92" i="3"/>
  <c r="AD92" i="3"/>
  <c r="O92" i="3"/>
  <c r="AI130" i="3"/>
  <c r="AG130" i="3"/>
  <c r="AH130" i="3"/>
  <c r="AD130" i="3"/>
  <c r="AE130" i="3"/>
  <c r="O130" i="3"/>
  <c r="AD31" i="3"/>
  <c r="AE31" i="3"/>
  <c r="AG31" i="3"/>
  <c r="AH31" i="3"/>
  <c r="AI31" i="3"/>
  <c r="O31" i="3"/>
  <c r="AH118" i="3"/>
  <c r="AI118" i="3"/>
  <c r="AE118" i="3"/>
  <c r="AD118" i="3"/>
  <c r="AG118" i="3"/>
  <c r="O118" i="3"/>
  <c r="AE57" i="3"/>
  <c r="AD57" i="3"/>
  <c r="AH57" i="3"/>
  <c r="AI57" i="3"/>
  <c r="AG57" i="3"/>
  <c r="O57" i="3"/>
  <c r="AG137" i="3"/>
  <c r="AH137" i="3"/>
  <c r="AI137" i="3"/>
  <c r="AE137" i="3"/>
  <c r="AD137" i="3"/>
  <c r="O137" i="3"/>
  <c r="AD35" i="3"/>
  <c r="AG35" i="3"/>
  <c r="AI35" i="3"/>
  <c r="AE35" i="3"/>
  <c r="AH35" i="3"/>
  <c r="O35" i="3"/>
  <c r="AD113" i="3"/>
  <c r="AI113" i="3"/>
  <c r="AE113" i="3"/>
  <c r="AG113" i="3"/>
  <c r="AH113" i="3"/>
  <c r="O113" i="3"/>
  <c r="O70" i="3"/>
  <c r="AG70" i="3"/>
  <c r="AD70" i="3"/>
  <c r="AI70" i="3"/>
  <c r="AR70" i="3"/>
  <c r="AQ70" i="3"/>
  <c r="AH70" i="3"/>
  <c r="AE70" i="3"/>
  <c r="AG23" i="3"/>
  <c r="AH23" i="3"/>
  <c r="AE23" i="3"/>
  <c r="AD23" i="3"/>
  <c r="AI23" i="3"/>
  <c r="O23" i="3"/>
  <c r="AG84" i="3"/>
  <c r="AI84" i="3"/>
  <c r="AH84" i="3"/>
  <c r="AD84" i="3"/>
  <c r="AE84" i="3"/>
  <c r="O84" i="3"/>
  <c r="AG60" i="3"/>
  <c r="AD60" i="3"/>
  <c r="AE60" i="3"/>
  <c r="AQ60" i="3"/>
  <c r="AH60" i="3"/>
  <c r="AR60" i="3"/>
  <c r="AI60" i="3"/>
  <c r="O60" i="3"/>
  <c r="AG138" i="3"/>
  <c r="AE138" i="3"/>
  <c r="AI138" i="3"/>
  <c r="AD138" i="3"/>
  <c r="AH138" i="3"/>
  <c r="O138" i="3"/>
  <c r="AG68" i="3"/>
  <c r="AD68" i="3"/>
  <c r="AH68" i="3"/>
  <c r="AE68" i="3"/>
  <c r="AI68" i="3"/>
  <c r="O68" i="3"/>
  <c r="AD110" i="3"/>
  <c r="AQ110" i="3"/>
  <c r="AH110" i="3"/>
  <c r="AG110" i="3"/>
  <c r="AE110" i="3"/>
  <c r="AI110" i="3"/>
  <c r="AR110" i="3"/>
  <c r="O110" i="3"/>
  <c r="AG58" i="3"/>
  <c r="AE58" i="3"/>
  <c r="AI58" i="3"/>
  <c r="AH58" i="3"/>
  <c r="AD58" i="3"/>
  <c r="O58" i="3"/>
  <c r="AG4" i="3"/>
  <c r="O4" i="3"/>
  <c r="AI4" i="3"/>
  <c r="AE4" i="3"/>
  <c r="U199" i="3"/>
  <c r="U207" i="3"/>
  <c r="U163" i="3"/>
  <c r="AH4" i="3"/>
  <c r="I53" i="4"/>
  <c r="AD4" i="3"/>
  <c r="AG42" i="3"/>
  <c r="AD42" i="3"/>
  <c r="AE42" i="3"/>
  <c r="AH42" i="3"/>
  <c r="AI42" i="3"/>
  <c r="O42" i="3"/>
  <c r="AG66" i="3"/>
  <c r="AD66" i="3"/>
  <c r="AI66" i="3"/>
  <c r="AH66" i="3"/>
  <c r="AE66" i="3"/>
  <c r="O66" i="3"/>
  <c r="AE100" i="3"/>
  <c r="AG100" i="3"/>
  <c r="O100" i="3"/>
  <c r="I66" i="4"/>
  <c r="AD100" i="3"/>
  <c r="AI100" i="3"/>
  <c r="U206" i="3"/>
  <c r="U198" i="3"/>
  <c r="AH100" i="3"/>
  <c r="AG102" i="3"/>
  <c r="AE102" i="3"/>
  <c r="O102" i="3"/>
  <c r="AI102" i="3"/>
  <c r="AH102" i="3"/>
  <c r="AD102" i="3"/>
  <c r="AE76" i="3"/>
  <c r="AD76" i="3"/>
  <c r="AI76" i="3"/>
  <c r="AH76" i="3"/>
  <c r="AG76" i="3"/>
  <c r="I57" i="4"/>
  <c r="O76" i="3"/>
  <c r="AE150" i="3"/>
  <c r="I36" i="4"/>
  <c r="AG150" i="3"/>
  <c r="AH150" i="3"/>
  <c r="AD150" i="3"/>
  <c r="AI150" i="3"/>
  <c r="AQ150" i="3"/>
  <c r="AR150" i="3"/>
  <c r="O150" i="3"/>
  <c r="AD72" i="3"/>
  <c r="AG72" i="3"/>
  <c r="AE72" i="3"/>
  <c r="AH72" i="3"/>
  <c r="AI72" i="3"/>
  <c r="O72" i="3"/>
  <c r="AD39" i="3"/>
  <c r="AE39" i="3"/>
  <c r="AG39" i="3"/>
  <c r="AH39" i="3"/>
  <c r="AI39" i="3"/>
  <c r="O39" i="3"/>
  <c r="AD62" i="3"/>
  <c r="AG62" i="3"/>
  <c r="AE62" i="3"/>
  <c r="AI62" i="3"/>
  <c r="AH62" i="3"/>
  <c r="O62" i="3"/>
  <c r="AG131" i="3"/>
  <c r="AH131" i="3"/>
  <c r="AE131" i="3"/>
  <c r="AD131" i="3"/>
  <c r="AI131" i="3"/>
  <c r="O131" i="3"/>
  <c r="AE147" i="3"/>
  <c r="AQ147" i="3"/>
  <c r="AH147" i="3"/>
  <c r="AR147" i="3"/>
  <c r="AI147" i="3"/>
  <c r="AG147" i="3"/>
  <c r="AD147" i="3"/>
  <c r="O147" i="3"/>
  <c r="AQ119" i="3"/>
  <c r="AH119" i="3"/>
  <c r="AR119" i="3"/>
  <c r="AG119" i="3"/>
  <c r="AE119" i="3"/>
  <c r="AI119" i="3"/>
  <c r="AD119" i="3"/>
  <c r="O119" i="3"/>
  <c r="AE48" i="3"/>
  <c r="AI48" i="3"/>
  <c r="AG48" i="3"/>
  <c r="AH48" i="3"/>
  <c r="AD48" i="3"/>
  <c r="O48" i="3"/>
  <c r="AG16" i="3"/>
  <c r="AE16" i="3"/>
  <c r="AD16" i="3"/>
  <c r="AI16" i="3"/>
  <c r="AH16" i="3"/>
  <c r="O16" i="3"/>
  <c r="AI65" i="3"/>
  <c r="AG65" i="3"/>
  <c r="AE65" i="3"/>
  <c r="AD65" i="3"/>
  <c r="AR65" i="3"/>
  <c r="AH65" i="3"/>
  <c r="AQ65" i="3"/>
  <c r="O65" i="3"/>
  <c r="AE54" i="3"/>
  <c r="AG54" i="3"/>
  <c r="AI54" i="3"/>
  <c r="AD54" i="3"/>
  <c r="AH54" i="3"/>
  <c r="O54" i="3"/>
  <c r="AI117" i="3"/>
  <c r="AG117" i="3"/>
  <c r="AD117" i="3"/>
  <c r="AH117" i="3"/>
  <c r="AE117" i="3"/>
  <c r="O117" i="3"/>
  <c r="AG13" i="3"/>
  <c r="AE13" i="3"/>
  <c r="AI13" i="3"/>
  <c r="AH13" i="3"/>
  <c r="AD13" i="3"/>
  <c r="O13" i="3"/>
  <c r="AE34" i="3"/>
  <c r="AI34" i="3"/>
  <c r="AD34" i="3"/>
  <c r="AH34" i="3"/>
  <c r="AG34" i="3"/>
  <c r="O34" i="3"/>
  <c r="AG91" i="3"/>
  <c r="AD91" i="3"/>
  <c r="AH91" i="3"/>
  <c r="AE91" i="3"/>
  <c r="AI91" i="3"/>
  <c r="O91" i="3"/>
  <c r="AG133" i="3"/>
  <c r="AE133" i="3"/>
  <c r="AD133" i="3"/>
  <c r="AH133" i="3"/>
  <c r="AI133" i="3"/>
  <c r="O133" i="3"/>
  <c r="AD7" i="3"/>
  <c r="AE7" i="3"/>
  <c r="AG7" i="3"/>
  <c r="AI7" i="3"/>
  <c r="AH7" i="3"/>
  <c r="I50" i="4"/>
  <c r="O7" i="3"/>
  <c r="AE140" i="3"/>
  <c r="AH140" i="3"/>
  <c r="AD140" i="3"/>
  <c r="AG140" i="3"/>
  <c r="AI140" i="3"/>
  <c r="O140" i="3"/>
  <c r="AE144" i="3"/>
  <c r="AD144" i="3"/>
  <c r="AG144" i="3"/>
  <c r="O144" i="3"/>
  <c r="AH144" i="3"/>
  <c r="AQ144" i="3"/>
  <c r="AR144" i="3"/>
  <c r="AI144" i="3"/>
  <c r="I32" i="4"/>
  <c r="AD109" i="3"/>
  <c r="AH109" i="3"/>
  <c r="AE109" i="3"/>
  <c r="AG109" i="3"/>
  <c r="AI109" i="3"/>
  <c r="O109" i="3"/>
  <c r="AR149" i="3"/>
  <c r="AG149" i="3"/>
  <c r="AE149" i="3"/>
  <c r="AD149" i="3"/>
  <c r="AI149" i="3"/>
  <c r="AQ149" i="3"/>
  <c r="AH149" i="3"/>
  <c r="O149" i="3"/>
  <c r="AG21" i="3"/>
  <c r="AD21" i="3"/>
  <c r="AE21" i="3"/>
  <c r="AI21" i="3"/>
  <c r="AH21" i="3"/>
  <c r="O21" i="3"/>
  <c r="AG80" i="3"/>
  <c r="AH80" i="3"/>
  <c r="AE80" i="3"/>
  <c r="AI80" i="3"/>
  <c r="AD80" i="3"/>
  <c r="O80" i="3"/>
  <c r="AG82" i="3"/>
  <c r="AH82" i="3"/>
  <c r="AI82" i="3"/>
  <c r="AD82" i="3"/>
  <c r="AE82" i="3"/>
  <c r="O82" i="3"/>
  <c r="AD46" i="3"/>
  <c r="AI46" i="3"/>
  <c r="AE46" i="3"/>
  <c r="AH46" i="3"/>
  <c r="AG46" i="3"/>
  <c r="O46" i="3"/>
  <c r="AE141" i="3"/>
  <c r="AG141" i="3"/>
  <c r="AH141" i="3"/>
  <c r="I51" i="4"/>
  <c r="AI141" i="3"/>
  <c r="O141" i="3"/>
  <c r="AD141" i="3"/>
  <c r="AG73" i="3"/>
  <c r="AD73" i="3"/>
  <c r="AI73" i="3"/>
  <c r="AE73" i="3"/>
  <c r="AH73" i="3"/>
  <c r="O73" i="3"/>
  <c r="AR145" i="3"/>
  <c r="AI145" i="3"/>
  <c r="AQ145" i="3"/>
  <c r="AG145" i="3"/>
  <c r="AH145" i="3"/>
  <c r="AD145" i="3"/>
  <c r="AE145" i="3"/>
  <c r="O145" i="3"/>
  <c r="AG28" i="3"/>
  <c r="AD28" i="3"/>
  <c r="AI28" i="3"/>
  <c r="AH28" i="3"/>
  <c r="AE28" i="3"/>
  <c r="O28" i="3"/>
  <c r="AG64" i="3"/>
  <c r="AH64" i="3"/>
  <c r="AE64" i="3"/>
  <c r="AI64" i="3"/>
  <c r="AD64" i="3"/>
  <c r="O64" i="3"/>
  <c r="AE151" i="3"/>
  <c r="V28" i="4" s="1"/>
  <c r="AI151" i="3"/>
  <c r="AD151" i="3"/>
  <c r="AH151" i="3"/>
  <c r="AG151" i="3"/>
  <c r="AR151" i="3"/>
  <c r="AQ151" i="3"/>
  <c r="O151" i="3"/>
  <c r="I28" i="4"/>
  <c r="AG22" i="3"/>
  <c r="AD22" i="3"/>
  <c r="AE22" i="3"/>
  <c r="AH22" i="3"/>
  <c r="AI22" i="3"/>
  <c r="O22" i="3"/>
  <c r="AH30" i="3"/>
  <c r="AG30" i="3"/>
  <c r="AD30" i="3"/>
  <c r="AE30" i="3"/>
  <c r="AI30" i="3"/>
  <c r="O30" i="3"/>
  <c r="AG38" i="3"/>
  <c r="AE38" i="3"/>
  <c r="AI38" i="3"/>
  <c r="AH38" i="3"/>
  <c r="AD38" i="3"/>
  <c r="O38" i="3"/>
  <c r="AG71" i="3"/>
  <c r="AD71" i="3"/>
  <c r="AH71" i="3"/>
  <c r="AE71" i="3"/>
  <c r="AI71" i="3"/>
  <c r="O71" i="3"/>
  <c r="AI154" i="3"/>
  <c r="AQ154" i="3"/>
  <c r="AR154" i="3"/>
  <c r="AG154" i="3"/>
  <c r="I8" i="4"/>
  <c r="O154" i="3"/>
  <c r="AH154" i="3"/>
  <c r="U208" i="3"/>
  <c r="U200" i="3"/>
  <c r="AE154" i="3"/>
  <c r="AD154" i="3"/>
  <c r="AG52" i="3"/>
  <c r="AD52" i="3"/>
  <c r="AI52" i="3"/>
  <c r="AE52" i="3"/>
  <c r="AH52" i="3"/>
  <c r="O52" i="3"/>
  <c r="AE159" i="3"/>
  <c r="I14" i="4"/>
  <c r="AI159" i="3"/>
  <c r="AG159" i="3"/>
  <c r="AH159" i="3"/>
  <c r="AR159" i="3"/>
  <c r="AQ159" i="3"/>
  <c r="AD159" i="3"/>
  <c r="O159" i="3"/>
  <c r="AE5" i="3"/>
  <c r="AG5" i="3"/>
  <c r="O5" i="3"/>
  <c r="AD5" i="3"/>
  <c r="AH5" i="3"/>
  <c r="AI5" i="3"/>
  <c r="I52" i="4"/>
  <c r="AG40" i="3"/>
  <c r="AI40" i="3"/>
  <c r="AE40" i="3"/>
  <c r="AD40" i="3"/>
  <c r="AH40" i="3"/>
  <c r="O40" i="3"/>
  <c r="AI142" i="3"/>
  <c r="AQ142" i="3"/>
  <c r="AR142" i="3"/>
  <c r="AH142" i="3"/>
  <c r="AE142" i="3"/>
  <c r="U205" i="3"/>
  <c r="AG142" i="3"/>
  <c r="U197" i="3"/>
  <c r="O142" i="3"/>
  <c r="I33" i="4"/>
  <c r="AD142" i="3"/>
  <c r="AE115" i="3"/>
  <c r="AD115" i="3"/>
  <c r="AI115" i="3"/>
  <c r="AG115" i="3"/>
  <c r="AH115" i="3"/>
  <c r="O115" i="3"/>
  <c r="AI85" i="3"/>
  <c r="AE85" i="3"/>
  <c r="AD85" i="3"/>
  <c r="AH85" i="3"/>
  <c r="AG85" i="3"/>
  <c r="O85" i="3"/>
  <c r="AD86" i="3"/>
  <c r="AG86" i="3"/>
  <c r="AI86" i="3"/>
  <c r="AH86" i="3"/>
  <c r="AE86" i="3"/>
  <c r="O86" i="3"/>
  <c r="AD61" i="3"/>
  <c r="O61" i="3"/>
  <c r="AG61" i="3"/>
  <c r="AI61" i="3"/>
  <c r="AE61" i="3"/>
  <c r="AH61" i="3"/>
  <c r="AG69" i="3"/>
  <c r="AD69" i="3"/>
  <c r="AE69" i="3"/>
  <c r="AI69" i="3"/>
  <c r="AH69" i="3"/>
  <c r="O69" i="3"/>
  <c r="O128" i="3"/>
  <c r="AD128" i="3"/>
  <c r="AH128" i="3"/>
  <c r="AG128" i="3"/>
  <c r="AI128" i="3"/>
  <c r="AE128" i="3"/>
  <c r="AE47" i="3"/>
  <c r="AH47" i="3"/>
  <c r="AI47" i="3"/>
  <c r="AD47" i="3"/>
  <c r="AG47" i="3"/>
  <c r="O47" i="3"/>
  <c r="AD139" i="3"/>
  <c r="AG139" i="3"/>
  <c r="AH139" i="3"/>
  <c r="AE139" i="3"/>
  <c r="AI139" i="3"/>
  <c r="O139" i="3"/>
  <c r="AH107" i="3"/>
  <c r="AE107" i="3"/>
  <c r="AG107" i="3"/>
  <c r="AI107" i="3"/>
  <c r="AD107" i="3"/>
  <c r="O107" i="3"/>
  <c r="AI95" i="3"/>
  <c r="AH95" i="3"/>
  <c r="AD95" i="3"/>
  <c r="AE95" i="3"/>
  <c r="AG95" i="3"/>
  <c r="O95" i="3"/>
  <c r="AG81" i="3"/>
  <c r="AH81" i="3"/>
  <c r="AQ81" i="3"/>
  <c r="AI81" i="3"/>
  <c r="AD81" i="3"/>
  <c r="AE81" i="3"/>
  <c r="AR81" i="3"/>
  <c r="O81" i="3"/>
  <c r="AG59" i="3"/>
  <c r="AI59" i="3"/>
  <c r="AE59" i="3"/>
  <c r="AH59" i="3"/>
  <c r="AD59" i="3"/>
  <c r="O59" i="3"/>
  <c r="AD20" i="3"/>
  <c r="AI20" i="3"/>
  <c r="AE20" i="3"/>
  <c r="AG20" i="3"/>
  <c r="AH20" i="3"/>
  <c r="O20" i="3"/>
  <c r="AE134" i="3"/>
  <c r="AG134" i="3"/>
  <c r="AI134" i="3"/>
  <c r="AH134" i="3"/>
  <c r="AD134" i="3"/>
  <c r="O134" i="3"/>
  <c r="AG99" i="3"/>
  <c r="AD99" i="3"/>
  <c r="AI99" i="3"/>
  <c r="AH99" i="3"/>
  <c r="AE99" i="3"/>
  <c r="O99" i="3"/>
  <c r="I64" i="4"/>
  <c r="AE25" i="3"/>
  <c r="AG25" i="3"/>
  <c r="O25" i="3"/>
  <c r="AD25" i="3"/>
  <c r="AH25" i="3"/>
  <c r="AI25" i="3"/>
  <c r="I54" i="4"/>
  <c r="AE106" i="3"/>
  <c r="AG106" i="3"/>
  <c r="O106" i="3"/>
  <c r="AH106" i="3"/>
  <c r="AI106" i="3"/>
  <c r="AD106" i="3"/>
  <c r="AG103" i="3"/>
  <c r="AE103" i="3"/>
  <c r="O103" i="3"/>
  <c r="AH103" i="3"/>
  <c r="AI103" i="3"/>
  <c r="AD103" i="3"/>
  <c r="AI125" i="3"/>
  <c r="AD125" i="3"/>
  <c r="AH125" i="3"/>
  <c r="AG125" i="3"/>
  <c r="AE125" i="3"/>
  <c r="O125" i="3"/>
  <c r="AG121" i="3"/>
  <c r="I63" i="4"/>
  <c r="O121" i="3"/>
  <c r="AD121" i="3"/>
  <c r="AH121" i="3"/>
  <c r="AE121" i="3"/>
  <c r="AI121" i="3"/>
  <c r="AD17" i="3"/>
  <c r="AE17" i="3"/>
  <c r="AG17" i="3"/>
  <c r="AH17" i="3"/>
  <c r="AI17" i="3"/>
  <c r="O17" i="3"/>
  <c r="AD63" i="3"/>
  <c r="AG63" i="3"/>
  <c r="AH63" i="3"/>
  <c r="AI63" i="3"/>
  <c r="AE63" i="3"/>
  <c r="O63" i="3"/>
  <c r="AG122" i="3"/>
  <c r="AH122" i="3"/>
  <c r="AD122" i="3"/>
  <c r="AE122" i="3"/>
  <c r="AI122" i="3"/>
  <c r="O122" i="3"/>
  <c r="AE161" i="3"/>
  <c r="AI161" i="3"/>
  <c r="AG161" i="3"/>
  <c r="AQ161" i="3"/>
  <c r="AH161" i="3"/>
  <c r="AR161" i="3"/>
  <c r="I12" i="4"/>
  <c r="O161" i="3"/>
  <c r="AD161" i="3"/>
  <c r="O156" i="3"/>
  <c r="AD156" i="3"/>
  <c r="AG156" i="3"/>
  <c r="AE156" i="3"/>
  <c r="V9" i="4" s="1"/>
  <c r="AQ156" i="3"/>
  <c r="AR156" i="3"/>
  <c r="AH156" i="3"/>
  <c r="AI156" i="3"/>
  <c r="I9" i="4"/>
  <c r="O6" i="3"/>
  <c r="AD6" i="3"/>
  <c r="AG6" i="3"/>
  <c r="AH6" i="3"/>
  <c r="AI6" i="3"/>
  <c r="I48" i="4"/>
  <c r="AE6" i="3"/>
  <c r="AG136" i="3"/>
  <c r="AE136" i="3"/>
  <c r="V59" i="4" s="1"/>
  <c r="AI136" i="3"/>
  <c r="AH136" i="3"/>
  <c r="I59" i="4"/>
  <c r="O136" i="3"/>
  <c r="AD136" i="3"/>
  <c r="AE53" i="3"/>
  <c r="AI53" i="3"/>
  <c r="AG53" i="3"/>
  <c r="AH53" i="3"/>
  <c r="AD53" i="3"/>
  <c r="O53" i="3"/>
  <c r="AG26" i="3"/>
  <c r="AE26" i="3"/>
  <c r="AH26" i="3"/>
  <c r="AD26" i="3"/>
  <c r="AI26" i="3"/>
  <c r="O26" i="3"/>
  <c r="I60" i="4"/>
  <c r="AE15" i="3"/>
  <c r="AI15" i="3"/>
  <c r="AH15" i="3"/>
  <c r="AG15" i="3"/>
  <c r="O15" i="3"/>
  <c r="AD15" i="3"/>
  <c r="AG129" i="3"/>
  <c r="AH129" i="3"/>
  <c r="AE129" i="3"/>
  <c r="AI129" i="3"/>
  <c r="AD129" i="3"/>
  <c r="O129" i="3"/>
  <c r="AE45" i="3"/>
  <c r="AD45" i="3"/>
  <c r="AG45" i="3"/>
  <c r="AH45" i="3"/>
  <c r="AI45" i="3"/>
  <c r="O45" i="3"/>
  <c r="AR126" i="3"/>
  <c r="AE126" i="3"/>
  <c r="AD126" i="3"/>
  <c r="AH126" i="3"/>
  <c r="AI126" i="3"/>
  <c r="AQ126" i="3"/>
  <c r="AG126" i="3"/>
  <c r="O126" i="3"/>
  <c r="N100" i="6" l="1"/>
  <c r="N105" i="6"/>
  <c r="N76" i="6"/>
  <c r="N162" i="6"/>
  <c r="N79" i="6"/>
  <c r="N103" i="6"/>
  <c r="AM103" i="6" s="1"/>
  <c r="N78" i="6"/>
  <c r="N111" i="6"/>
  <c r="AG111" i="6" s="1"/>
  <c r="N120" i="6"/>
  <c r="N101" i="6"/>
  <c r="N163" i="6"/>
  <c r="N161" i="6"/>
  <c r="N118" i="6"/>
  <c r="AG118" i="6" s="1"/>
  <c r="N94" i="6"/>
  <c r="AD94" i="6" s="1"/>
  <c r="N75" i="6"/>
  <c r="N119" i="6"/>
  <c r="AN119" i="6" s="1"/>
  <c r="N95" i="6"/>
  <c r="N92" i="6"/>
  <c r="N113" i="6"/>
  <c r="AC113" i="6" s="1"/>
  <c r="N155" i="6"/>
  <c r="N154" i="6"/>
  <c r="N77" i="6"/>
  <c r="AD77" i="6" s="1"/>
  <c r="N164" i="6"/>
  <c r="N93" i="6"/>
  <c r="AO93" i="6" s="1"/>
  <c r="N156" i="6"/>
  <c r="AO156" i="6" s="1"/>
  <c r="N110" i="6"/>
  <c r="AK36" i="3"/>
  <c r="AK15" i="3"/>
  <c r="AK66" i="3"/>
  <c r="N137" i="6"/>
  <c r="AC137" i="6" s="1"/>
  <c r="N20" i="6"/>
  <c r="AF20" i="6" s="1"/>
  <c r="N32" i="6"/>
  <c r="AO32" i="6" s="1"/>
  <c r="N45" i="6"/>
  <c r="AO45" i="6" s="1"/>
  <c r="N115" i="6"/>
  <c r="N130" i="6"/>
  <c r="N148" i="6"/>
  <c r="AM148" i="6" s="1"/>
  <c r="N108" i="6"/>
  <c r="AN108" i="6" s="1"/>
  <c r="AK132" i="3"/>
  <c r="N125" i="6"/>
  <c r="AC125" i="6" s="1"/>
  <c r="N150" i="6"/>
  <c r="N71" i="6"/>
  <c r="AO71" i="6" s="1"/>
  <c r="N26" i="6"/>
  <c r="AM26" i="6" s="1"/>
  <c r="N73" i="6"/>
  <c r="AO73" i="6" s="1"/>
  <c r="N37" i="6"/>
  <c r="AO37" i="6" s="1"/>
  <c r="N8" i="6"/>
  <c r="N74" i="6"/>
  <c r="AM74" i="6" s="1"/>
  <c r="N83" i="6"/>
  <c r="AD83" i="6" s="1"/>
  <c r="N9" i="6"/>
  <c r="N88" i="6"/>
  <c r="AK73" i="3"/>
  <c r="N114" i="6"/>
  <c r="N138" i="6"/>
  <c r="AC138" i="6" s="1"/>
  <c r="N142" i="6"/>
  <c r="AD142" i="6" s="1"/>
  <c r="N124" i="6"/>
  <c r="AD124" i="6" s="1"/>
  <c r="N87" i="6"/>
  <c r="N123" i="6"/>
  <c r="AO123" i="6" s="1"/>
  <c r="N160" i="6"/>
  <c r="N90" i="6"/>
  <c r="N43" i="6"/>
  <c r="AE43" i="6" s="1"/>
  <c r="N109" i="6"/>
  <c r="N80" i="6"/>
  <c r="AN80" i="6" s="1"/>
  <c r="N16" i="6"/>
  <c r="AG16" i="6" s="1"/>
  <c r="N14" i="6"/>
  <c r="AK14" i="6" s="1"/>
  <c r="N140" i="6"/>
  <c r="AE140" i="6" s="1"/>
  <c r="N39" i="6"/>
  <c r="N36" i="6"/>
  <c r="AM36" i="6" s="1"/>
  <c r="N21" i="6"/>
  <c r="AC21" i="6" s="1"/>
  <c r="N51" i="6"/>
  <c r="N143" i="6"/>
  <c r="N107" i="6"/>
  <c r="AF107" i="6" s="1"/>
  <c r="N35" i="6"/>
  <c r="N81" i="6"/>
  <c r="AN81" i="6" s="1"/>
  <c r="N7" i="6"/>
  <c r="AD7" i="6" s="1"/>
  <c r="AK99" i="3"/>
  <c r="N86" i="6"/>
  <c r="N67" i="6"/>
  <c r="AO67" i="6" s="1"/>
  <c r="N112" i="6"/>
  <c r="AF112" i="6" s="1"/>
  <c r="N22" i="6"/>
  <c r="AM22" i="6" s="1"/>
  <c r="N31" i="6"/>
  <c r="N66" i="6"/>
  <c r="N132" i="6"/>
  <c r="AK155" i="3"/>
  <c r="N64" i="6"/>
  <c r="AG64" i="6" s="1"/>
  <c r="N116" i="6"/>
  <c r="AG116" i="6" s="1"/>
  <c r="N28" i="6"/>
  <c r="N12" i="6"/>
  <c r="AF12" i="6" s="1"/>
  <c r="N91" i="6"/>
  <c r="AN91" i="6" s="1"/>
  <c r="N56" i="6"/>
  <c r="N57" i="6"/>
  <c r="N50" i="6"/>
  <c r="AO50" i="6" s="1"/>
  <c r="N27" i="6"/>
  <c r="N70" i="6"/>
  <c r="AM70" i="6" s="1"/>
  <c r="N55" i="6"/>
  <c r="AG55" i="6" s="1"/>
  <c r="N131" i="6"/>
  <c r="AN131" i="6" s="1"/>
  <c r="N82" i="6"/>
  <c r="AE82" i="6" s="1"/>
  <c r="N152" i="6"/>
  <c r="N141" i="6"/>
  <c r="N122" i="6"/>
  <c r="AE122" i="6" s="1"/>
  <c r="N13" i="6"/>
  <c r="N48" i="6"/>
  <c r="AN48" i="6" s="1"/>
  <c r="N165" i="6"/>
  <c r="N29" i="6"/>
  <c r="AO29" i="6" s="1"/>
  <c r="N135" i="6"/>
  <c r="AO135" i="6" s="1"/>
  <c r="N42" i="6"/>
  <c r="AG42" i="6" s="1"/>
  <c r="N15" i="6"/>
  <c r="AO15" i="6" s="1"/>
  <c r="N11" i="6"/>
  <c r="N18" i="6"/>
  <c r="N139" i="6"/>
  <c r="N89" i="6"/>
  <c r="AF89" i="6" s="1"/>
  <c r="N98" i="6"/>
  <c r="AO98" i="6" s="1"/>
  <c r="N153" i="6"/>
  <c r="AF153" i="6" s="1"/>
  <c r="N117" i="6"/>
  <c r="AM117" i="6" s="1"/>
  <c r="N144" i="6"/>
  <c r="AC144" i="6" s="1"/>
  <c r="N30" i="6"/>
  <c r="AC30" i="6" s="1"/>
  <c r="AJ135" i="3"/>
  <c r="N47" i="6"/>
  <c r="N158" i="6"/>
  <c r="AN158" i="6" s="1"/>
  <c r="N54" i="6"/>
  <c r="AF54" i="6" s="1"/>
  <c r="N38" i="6"/>
  <c r="AG38" i="6" s="1"/>
  <c r="V48" i="4"/>
  <c r="N129" i="6"/>
  <c r="N96" i="6"/>
  <c r="AG96" i="6" s="1"/>
  <c r="N69" i="6"/>
  <c r="N126" i="6"/>
  <c r="AE126" i="6" s="1"/>
  <c r="N63" i="6"/>
  <c r="AE63" i="6" s="1"/>
  <c r="N41" i="6"/>
  <c r="N53" i="6"/>
  <c r="AN53" i="6" s="1"/>
  <c r="N62" i="6"/>
  <c r="N49" i="6"/>
  <c r="AE49" i="6" s="1"/>
  <c r="N106" i="6"/>
  <c r="AF106" i="6" s="1"/>
  <c r="N17" i="6"/>
  <c r="AC17" i="6" s="1"/>
  <c r="N157" i="6"/>
  <c r="N128" i="6"/>
  <c r="AM128" i="6" s="1"/>
  <c r="N34" i="6"/>
  <c r="AO34" i="6" s="1"/>
  <c r="N68" i="6"/>
  <c r="AG68" i="6" s="1"/>
  <c r="N97" i="6"/>
  <c r="N33" i="6"/>
  <c r="N72" i="6"/>
  <c r="AC72" i="6" s="1"/>
  <c r="N25" i="6"/>
  <c r="N52" i="6"/>
  <c r="AM52" i="6" s="1"/>
  <c r="N60" i="6"/>
  <c r="AE60" i="6" s="1"/>
  <c r="N44" i="6"/>
  <c r="N46" i="6"/>
  <c r="N58" i="6"/>
  <c r="AF58" i="6" s="1"/>
  <c r="N23" i="6"/>
  <c r="AK23" i="6" s="1"/>
  <c r="N134" i="6"/>
  <c r="AN134" i="6" s="1"/>
  <c r="N40" i="6"/>
  <c r="N24" i="6"/>
  <c r="AN24" i="6" s="1"/>
  <c r="N149" i="6"/>
  <c r="N10" i="6"/>
  <c r="N84" i="6"/>
  <c r="N102" i="6"/>
  <c r="N61" i="6"/>
  <c r="AC61" i="6" s="1"/>
  <c r="V60" i="4"/>
  <c r="V83" i="4" s="1"/>
  <c r="AJ17" i="3"/>
  <c r="N147" i="6"/>
  <c r="N127" i="6"/>
  <c r="N151" i="6"/>
  <c r="AM151" i="6" s="1"/>
  <c r="N104" i="6"/>
  <c r="N146" i="6"/>
  <c r="AM146" i="6" s="1"/>
  <c r="N136" i="6"/>
  <c r="AF136" i="6" s="1"/>
  <c r="N65" i="6"/>
  <c r="N19" i="6"/>
  <c r="AC19" i="6" s="1"/>
  <c r="N133" i="6"/>
  <c r="N121" i="6"/>
  <c r="AC121" i="6" s="1"/>
  <c r="N145" i="6"/>
  <c r="N159" i="6"/>
  <c r="AG159" i="6" s="1"/>
  <c r="N59" i="6"/>
  <c r="N99" i="6"/>
  <c r="AM99" i="6" s="1"/>
  <c r="AK161" i="3"/>
  <c r="AK159" i="3"/>
  <c r="AJ52" i="3"/>
  <c r="AK28" i="3"/>
  <c r="AJ43" i="3"/>
  <c r="AK108" i="3"/>
  <c r="AK139" i="3"/>
  <c r="AK56" i="3"/>
  <c r="U201" i="3"/>
  <c r="AJ81" i="3"/>
  <c r="AJ95" i="3"/>
  <c r="AK54" i="3"/>
  <c r="AK147" i="3"/>
  <c r="AJ131" i="3"/>
  <c r="AK31" i="3"/>
  <c r="AK10" i="3"/>
  <c r="AJ49" i="3"/>
  <c r="AK37" i="3"/>
  <c r="AK122" i="3"/>
  <c r="AK111" i="3"/>
  <c r="AK79" i="3"/>
  <c r="AK40" i="3"/>
  <c r="AK17" i="3"/>
  <c r="AK86" i="3"/>
  <c r="AK140" i="3"/>
  <c r="AK7" i="3"/>
  <c r="AK133" i="3"/>
  <c r="AK131" i="3"/>
  <c r="AK110" i="3"/>
  <c r="AJ23" i="3"/>
  <c r="AK162" i="3"/>
  <c r="AJ74" i="3"/>
  <c r="AK33" i="3"/>
  <c r="U193" i="3"/>
  <c r="AK112" i="3"/>
  <c r="AJ38" i="3"/>
  <c r="AJ145" i="3"/>
  <c r="AK150" i="3"/>
  <c r="AJ41" i="3"/>
  <c r="AJ54" i="3"/>
  <c r="AK97" i="3"/>
  <c r="AJ108" i="3"/>
  <c r="AK27" i="3"/>
  <c r="AK12" i="3"/>
  <c r="AK95" i="3"/>
  <c r="AK129" i="3"/>
  <c r="AK134" i="3"/>
  <c r="AJ69" i="3"/>
  <c r="AJ115" i="3"/>
  <c r="U209" i="3"/>
  <c r="AJ40" i="3"/>
  <c r="AK141" i="3"/>
  <c r="AJ21" i="3"/>
  <c r="AK149" i="3"/>
  <c r="AK146" i="3"/>
  <c r="AJ93" i="3"/>
  <c r="V12" i="4"/>
  <c r="AJ128" i="3"/>
  <c r="AJ85" i="3"/>
  <c r="AJ30" i="3"/>
  <c r="AJ101" i="3"/>
  <c r="U65" i="4"/>
  <c r="AH200" i="3"/>
  <c r="AH208" i="3"/>
  <c r="AJ158" i="3"/>
  <c r="U13" i="4"/>
  <c r="AK125" i="3"/>
  <c r="AK45" i="3"/>
  <c r="AJ20" i="3"/>
  <c r="AK26" i="3"/>
  <c r="AK5" i="3"/>
  <c r="I24" i="4"/>
  <c r="I72" i="4"/>
  <c r="P8" i="4"/>
  <c r="P32" i="4"/>
  <c r="Q32" i="4" s="1"/>
  <c r="U32" i="4"/>
  <c r="AJ144" i="3"/>
  <c r="U66" i="4"/>
  <c r="AD206" i="3"/>
  <c r="AD198" i="3"/>
  <c r="AJ100" i="3"/>
  <c r="AJ126" i="3"/>
  <c r="AJ156" i="3"/>
  <c r="U9" i="4"/>
  <c r="AK25" i="3"/>
  <c r="AK107" i="3"/>
  <c r="AG95" i="6"/>
  <c r="AD95" i="6"/>
  <c r="AE95" i="6"/>
  <c r="AN95" i="6"/>
  <c r="AM95" i="6"/>
  <c r="AC95" i="6"/>
  <c r="AO95" i="6"/>
  <c r="AF95" i="6"/>
  <c r="P14" i="4"/>
  <c r="I78" i="4"/>
  <c r="AJ76" i="3"/>
  <c r="U57" i="4"/>
  <c r="AJ104" i="3"/>
  <c r="I83" i="4"/>
  <c r="AJ15" i="3"/>
  <c r="AL15" i="3" s="1"/>
  <c r="U60" i="4"/>
  <c r="I73" i="4"/>
  <c r="P9" i="4"/>
  <c r="AJ63" i="3"/>
  <c r="V54" i="4"/>
  <c r="AJ53" i="3"/>
  <c r="I67" i="4"/>
  <c r="AK121" i="3"/>
  <c r="AK128" i="3"/>
  <c r="AI205" i="3"/>
  <c r="AI197" i="3"/>
  <c r="V65" i="4"/>
  <c r="V86" i="4" s="1"/>
  <c r="I76" i="4"/>
  <c r="P12" i="4"/>
  <c r="I84" i="4"/>
  <c r="AJ125" i="3"/>
  <c r="AK59" i="3"/>
  <c r="AK81" i="3"/>
  <c r="AJ139" i="3"/>
  <c r="AK69" i="3"/>
  <c r="AJ61" i="3"/>
  <c r="AJ86" i="3"/>
  <c r="AE205" i="3"/>
  <c r="AE197" i="3"/>
  <c r="V33" i="4"/>
  <c r="AJ159" i="3"/>
  <c r="U14" i="4"/>
  <c r="V14" i="4"/>
  <c r="AK52" i="3"/>
  <c r="AG208" i="3"/>
  <c r="AG200" i="3"/>
  <c r="AK154" i="3"/>
  <c r="AK30" i="3"/>
  <c r="AK151" i="3"/>
  <c r="AK46" i="3"/>
  <c r="AJ80" i="3"/>
  <c r="V32" i="4"/>
  <c r="V50" i="4"/>
  <c r="V74" i="4" s="1"/>
  <c r="AJ91" i="3"/>
  <c r="AJ34" i="3"/>
  <c r="AJ16" i="3"/>
  <c r="I81" i="4"/>
  <c r="V57" i="4"/>
  <c r="V81" i="4" s="1"/>
  <c r="I87" i="4"/>
  <c r="AH207" i="3"/>
  <c r="AH163" i="3"/>
  <c r="AH193" i="3" s="1"/>
  <c r="AH199" i="3"/>
  <c r="AJ70" i="3"/>
  <c r="AJ57" i="3"/>
  <c r="AK153" i="3"/>
  <c r="AK83" i="3"/>
  <c r="AJ111" i="3"/>
  <c r="AK114" i="3"/>
  <c r="AK116" i="3"/>
  <c r="AK158" i="3"/>
  <c r="V13" i="4"/>
  <c r="AK43" i="3"/>
  <c r="AK18" i="3"/>
  <c r="AK9" i="3"/>
  <c r="AK50" i="3"/>
  <c r="I86" i="4"/>
  <c r="AJ36" i="3"/>
  <c r="U55" i="4"/>
  <c r="V64" i="4"/>
  <c r="V85" i="4" s="1"/>
  <c r="AJ134" i="3"/>
  <c r="AG161" i="6"/>
  <c r="AE161" i="6"/>
  <c r="AC161" i="6"/>
  <c r="AD161" i="6"/>
  <c r="AF161" i="6"/>
  <c r="AO161" i="6"/>
  <c r="AM161" i="6"/>
  <c r="AN161" i="6"/>
  <c r="AG113" i="6"/>
  <c r="AN113" i="6"/>
  <c r="AF113" i="6"/>
  <c r="AE113" i="6"/>
  <c r="AO113" i="6"/>
  <c r="AM113" i="6"/>
  <c r="AD205" i="3"/>
  <c r="AD197" i="3"/>
  <c r="AJ142" i="3"/>
  <c r="U33" i="4"/>
  <c r="AH197" i="3"/>
  <c r="AH205" i="3"/>
  <c r="AC118" i="6"/>
  <c r="AO118" i="6"/>
  <c r="AF118" i="6"/>
  <c r="AE118" i="6"/>
  <c r="AM118" i="6"/>
  <c r="AJ154" i="3"/>
  <c r="AD200" i="3"/>
  <c r="AD208" i="3"/>
  <c r="U8" i="4"/>
  <c r="AR208" i="3"/>
  <c r="AR200" i="3"/>
  <c r="AK145" i="3"/>
  <c r="U50" i="4"/>
  <c r="AJ7" i="3"/>
  <c r="AK91" i="3"/>
  <c r="AJ65" i="3"/>
  <c r="AK119" i="3"/>
  <c r="AK39" i="3"/>
  <c r="AK76" i="3"/>
  <c r="AJ102" i="3"/>
  <c r="AK102" i="3"/>
  <c r="AI207" i="3"/>
  <c r="AI163" i="3"/>
  <c r="AI193" i="3" s="1"/>
  <c r="AI199" i="3"/>
  <c r="AJ68" i="3"/>
  <c r="AJ60" i="3"/>
  <c r="AK70" i="3"/>
  <c r="AK35" i="3"/>
  <c r="AK130" i="3"/>
  <c r="AJ24" i="3"/>
  <c r="AJ29" i="3"/>
  <c r="AK32" i="3"/>
  <c r="AJ88" i="3"/>
  <c r="AJ148" i="3"/>
  <c r="I82" i="4"/>
  <c r="AK74" i="3"/>
  <c r="AJ124" i="3"/>
  <c r="AJ37" i="3"/>
  <c r="AK41" i="3"/>
  <c r="I79" i="4"/>
  <c r="P15" i="4"/>
  <c r="V15" i="4"/>
  <c r="AJ12" i="3"/>
  <c r="AK44" i="3"/>
  <c r="AK6" i="3"/>
  <c r="AJ103" i="3"/>
  <c r="AK103" i="3"/>
  <c r="AK106" i="3"/>
  <c r="AJ25" i="3"/>
  <c r="U54" i="4"/>
  <c r="AJ59" i="3"/>
  <c r="AK47" i="3"/>
  <c r="AK85" i="3"/>
  <c r="P33" i="4"/>
  <c r="Q33" i="4" s="1"/>
  <c r="AR197" i="3"/>
  <c r="AR205" i="3"/>
  <c r="AJ5" i="3"/>
  <c r="U52" i="4"/>
  <c r="V8" i="4"/>
  <c r="AE200" i="3"/>
  <c r="AE208" i="3"/>
  <c r="AQ200" i="3"/>
  <c r="AQ208" i="3"/>
  <c r="AJ71" i="3"/>
  <c r="AJ22" i="3"/>
  <c r="AJ151" i="3"/>
  <c r="U28" i="4"/>
  <c r="AJ73" i="3"/>
  <c r="I75" i="4"/>
  <c r="AK109" i="3"/>
  <c r="AJ117" i="3"/>
  <c r="AK48" i="3"/>
  <c r="AJ150" i="3"/>
  <c r="U36" i="4"/>
  <c r="AH206" i="3"/>
  <c r="AH198" i="3"/>
  <c r="AG198" i="3"/>
  <c r="AG206" i="3"/>
  <c r="AK100" i="3"/>
  <c r="AK58" i="3"/>
  <c r="AJ110" i="3"/>
  <c r="AK68" i="3"/>
  <c r="AK138" i="3"/>
  <c r="AK60" i="3"/>
  <c r="AK84" i="3"/>
  <c r="AK23" i="3"/>
  <c r="AJ113" i="3"/>
  <c r="AJ35" i="3"/>
  <c r="AK137" i="3"/>
  <c r="AJ31" i="3"/>
  <c r="AK92" i="3"/>
  <c r="AK157" i="3"/>
  <c r="AK24" i="3"/>
  <c r="AJ18" i="3"/>
  <c r="U62" i="4"/>
  <c r="W62" i="4" s="1"/>
  <c r="U58" i="4"/>
  <c r="AJ14" i="3"/>
  <c r="AK89" i="3"/>
  <c r="AK87" i="3"/>
  <c r="AK75" i="3"/>
  <c r="AJ123" i="3"/>
  <c r="AJ98" i="3"/>
  <c r="V56" i="4"/>
  <c r="AJ160" i="3"/>
  <c r="U15" i="4"/>
  <c r="AC78" i="6"/>
  <c r="AE78" i="6"/>
  <c r="AO78" i="6"/>
  <c r="AN78" i="6"/>
  <c r="AF78" i="6"/>
  <c r="AG78" i="6"/>
  <c r="AD78" i="6"/>
  <c r="AM78" i="6"/>
  <c r="AK126" i="3"/>
  <c r="AJ129" i="3"/>
  <c r="AN92" i="6"/>
  <c r="AF92" i="6"/>
  <c r="AG92" i="6"/>
  <c r="AM92" i="6"/>
  <c r="AC92" i="6"/>
  <c r="AE92" i="6"/>
  <c r="AO92" i="6"/>
  <c r="AD92" i="6"/>
  <c r="AJ136" i="3"/>
  <c r="U59" i="4"/>
  <c r="AK136" i="3"/>
  <c r="AJ6" i="3"/>
  <c r="U48" i="4"/>
  <c r="AK156" i="3"/>
  <c r="AJ122" i="3"/>
  <c r="V63" i="4"/>
  <c r="V84" i="4" s="1"/>
  <c r="AJ106" i="3"/>
  <c r="AK20" i="3"/>
  <c r="AJ107" i="3"/>
  <c r="AJ47" i="3"/>
  <c r="AK115" i="3"/>
  <c r="AQ205" i="3"/>
  <c r="AQ197" i="3"/>
  <c r="AI208" i="3"/>
  <c r="AI200" i="3"/>
  <c r="AK71" i="3"/>
  <c r="AK38" i="3"/>
  <c r="AK22" i="3"/>
  <c r="AK64" i="3"/>
  <c r="AJ28" i="3"/>
  <c r="AJ82" i="3"/>
  <c r="AJ149" i="3"/>
  <c r="AK117" i="3"/>
  <c r="AK65" i="3"/>
  <c r="AK62" i="3"/>
  <c r="AK72" i="3"/>
  <c r="AG199" i="3"/>
  <c r="AG207" i="3"/>
  <c r="AK4" i="3"/>
  <c r="AG163" i="3"/>
  <c r="AG193" i="3" s="1"/>
  <c r="AC101" i="6"/>
  <c r="AO101" i="6"/>
  <c r="AN101" i="6"/>
  <c r="AE101" i="6"/>
  <c r="AG101" i="6"/>
  <c r="AF101" i="6"/>
  <c r="AM101" i="6"/>
  <c r="AD101" i="6"/>
  <c r="AD45" i="6"/>
  <c r="AJ153" i="3"/>
  <c r="U29" i="4"/>
  <c r="W29" i="4" s="1"/>
  <c r="AK29" i="3"/>
  <c r="AK148" i="3"/>
  <c r="V58" i="4"/>
  <c r="V82" i="4" s="1"/>
  <c r="AJ89" i="3"/>
  <c r="AJ9" i="3"/>
  <c r="AJ87" i="3"/>
  <c r="AK105" i="3"/>
  <c r="AJ10" i="3"/>
  <c r="V35" i="4"/>
  <c r="AJ75" i="3"/>
  <c r="AK123" i="3"/>
  <c r="AJ162" i="3"/>
  <c r="AK49" i="3"/>
  <c r="AK96" i="3"/>
  <c r="AJ56" i="3"/>
  <c r="AJ78" i="3"/>
  <c r="V49" i="4"/>
  <c r="V73" i="4" s="1"/>
  <c r="AJ55" i="3"/>
  <c r="U56" i="4"/>
  <c r="AJ50" i="3"/>
  <c r="AJ77" i="3"/>
  <c r="AJ27" i="3"/>
  <c r="AJ33" i="3"/>
  <c r="AJ94" i="3"/>
  <c r="V55" i="4"/>
  <c r="I44" i="4"/>
  <c r="P28" i="4"/>
  <c r="AK13" i="3"/>
  <c r="AK16" i="3"/>
  <c r="AJ62" i="3"/>
  <c r="AJ39" i="3"/>
  <c r="AJ72" i="3"/>
  <c r="AJ66" i="3"/>
  <c r="AJ42" i="3"/>
  <c r="AJ58" i="3"/>
  <c r="AJ137" i="3"/>
  <c r="AK118" i="3"/>
  <c r="AJ92" i="3"/>
  <c r="P29" i="4"/>
  <c r="Q29" i="4" s="1"/>
  <c r="AJ157" i="3"/>
  <c r="AJ83" i="3"/>
  <c r="I77" i="4"/>
  <c r="P13" i="4"/>
  <c r="AK88" i="3"/>
  <c r="AK14" i="3"/>
  <c r="AC155" i="6"/>
  <c r="AM155" i="6"/>
  <c r="AO75" i="6"/>
  <c r="AF75" i="6"/>
  <c r="AC75" i="6"/>
  <c r="AM75" i="6"/>
  <c r="AE75" i="6"/>
  <c r="AN75" i="6"/>
  <c r="AG75" i="6"/>
  <c r="AD75" i="6"/>
  <c r="AJ105" i="3"/>
  <c r="AO163" i="6"/>
  <c r="AM163" i="6"/>
  <c r="AF163" i="6"/>
  <c r="AG163" i="6"/>
  <c r="AE163" i="6"/>
  <c r="AN163" i="6"/>
  <c r="AC163" i="6"/>
  <c r="AD163" i="6"/>
  <c r="AF162" i="6"/>
  <c r="AD162" i="6"/>
  <c r="AG162" i="6"/>
  <c r="AM162" i="6"/>
  <c r="AE162" i="6"/>
  <c r="AO162" i="6"/>
  <c r="AC162" i="6"/>
  <c r="AN162" i="6"/>
  <c r="AC164" i="6"/>
  <c r="AG164" i="6"/>
  <c r="AO164" i="6"/>
  <c r="AF164" i="6"/>
  <c r="AN164" i="6"/>
  <c r="AE164" i="6"/>
  <c r="AM164" i="6"/>
  <c r="AD164" i="6"/>
  <c r="I74" i="4"/>
  <c r="P10" i="4"/>
  <c r="AJ51" i="3"/>
  <c r="AK78" i="3"/>
  <c r="AK135" i="3"/>
  <c r="AK124" i="3"/>
  <c r="AJ67" i="3"/>
  <c r="AK8" i="3"/>
  <c r="AK11" i="3"/>
  <c r="P56" i="4"/>
  <c r="Q56" i="4" s="1"/>
  <c r="AK55" i="3"/>
  <c r="AJ90" i="3"/>
  <c r="AJ79" i="3"/>
  <c r="AK77" i="3"/>
  <c r="AK93" i="3"/>
  <c r="AK120" i="3"/>
  <c r="AC110" i="6"/>
  <c r="AF110" i="6"/>
  <c r="AM110" i="6"/>
  <c r="AG110" i="6"/>
  <c r="AD110" i="6"/>
  <c r="AO110" i="6"/>
  <c r="AE110" i="6"/>
  <c r="AN110" i="6"/>
  <c r="AJ127" i="3"/>
  <c r="AK127" i="3"/>
  <c r="AK152" i="3"/>
  <c r="AF94" i="6"/>
  <c r="AJ133" i="3"/>
  <c r="AL133" i="3" s="1"/>
  <c r="AC105" i="6"/>
  <c r="AM105" i="6"/>
  <c r="AG105" i="6"/>
  <c r="AN105" i="6"/>
  <c r="AE105" i="6"/>
  <c r="AD105" i="6"/>
  <c r="AO105" i="6"/>
  <c r="AF105" i="6"/>
  <c r="AM138" i="6"/>
  <c r="I80" i="4"/>
  <c r="P36" i="4"/>
  <c r="AE206" i="3"/>
  <c r="AE198" i="3"/>
  <c r="V66" i="4"/>
  <c r="V87" i="4" s="1"/>
  <c r="AK42" i="3"/>
  <c r="AJ138" i="3"/>
  <c r="AK57" i="3"/>
  <c r="AJ118" i="3"/>
  <c r="AJ130" i="3"/>
  <c r="U34" i="4"/>
  <c r="AJ146" i="3"/>
  <c r="AC76" i="6"/>
  <c r="AE76" i="6"/>
  <c r="AF76" i="6"/>
  <c r="AG76" i="6"/>
  <c r="AN76" i="6"/>
  <c r="AD76" i="6"/>
  <c r="AM76" i="6"/>
  <c r="AO76" i="6"/>
  <c r="U35" i="4"/>
  <c r="AJ143" i="3"/>
  <c r="AM16" i="6"/>
  <c r="AJ96" i="3"/>
  <c r="AK51" i="3"/>
  <c r="AN51" i="6"/>
  <c r="U49" i="4"/>
  <c r="AJ8" i="3"/>
  <c r="AJ11" i="3"/>
  <c r="AJ112" i="3"/>
  <c r="AL112" i="3" s="1"/>
  <c r="AK104" i="3"/>
  <c r="AK90" i="3"/>
  <c r="AJ120" i="3"/>
  <c r="AK160" i="3"/>
  <c r="U30" i="4"/>
  <c r="W30" i="4" s="1"/>
  <c r="AJ152" i="3"/>
  <c r="U51" i="4"/>
  <c r="AJ141" i="3"/>
  <c r="AJ140" i="3"/>
  <c r="AE100" i="6"/>
  <c r="AF100" i="6"/>
  <c r="AO100" i="6"/>
  <c r="AG100" i="6"/>
  <c r="AN100" i="6"/>
  <c r="AC100" i="6"/>
  <c r="AM100" i="6"/>
  <c r="AD100" i="6"/>
  <c r="AC77" i="6"/>
  <c r="AN120" i="6"/>
  <c r="AM120" i="6"/>
  <c r="AG120" i="6"/>
  <c r="AD120" i="6"/>
  <c r="AF120" i="6"/>
  <c r="AC120" i="6"/>
  <c r="AE120" i="6"/>
  <c r="AO120" i="6"/>
  <c r="AJ45" i="3"/>
  <c r="AJ26" i="3"/>
  <c r="AK53" i="3"/>
  <c r="AJ161" i="3"/>
  <c r="U12" i="4"/>
  <c r="AK63" i="3"/>
  <c r="U63" i="4"/>
  <c r="AJ121" i="3"/>
  <c r="I85" i="4"/>
  <c r="AJ99" i="3"/>
  <c r="U64" i="4"/>
  <c r="AK61" i="3"/>
  <c r="AG205" i="3"/>
  <c r="AK142" i="3"/>
  <c r="AG197" i="3"/>
  <c r="V52" i="4"/>
  <c r="AJ64" i="3"/>
  <c r="V51" i="4"/>
  <c r="V75" i="4" s="1"/>
  <c r="AJ46" i="3"/>
  <c r="AK82" i="3"/>
  <c r="AK80" i="3"/>
  <c r="AK21" i="3"/>
  <c r="AJ109" i="3"/>
  <c r="AK144" i="3"/>
  <c r="AK34" i="3"/>
  <c r="AJ13" i="3"/>
  <c r="AJ48" i="3"/>
  <c r="AJ119" i="3"/>
  <c r="AJ147" i="3"/>
  <c r="V36" i="4"/>
  <c r="AI198" i="3"/>
  <c r="AI206" i="3"/>
  <c r="U53" i="4"/>
  <c r="AJ4" i="3"/>
  <c r="AD199" i="3"/>
  <c r="AD163" i="3"/>
  <c r="AD207" i="3"/>
  <c r="AE163" i="3"/>
  <c r="V53" i="4"/>
  <c r="AE199" i="3"/>
  <c r="AE207" i="3"/>
  <c r="AJ84" i="3"/>
  <c r="AK113" i="3"/>
  <c r="P34" i="4"/>
  <c r="Q34" i="4" s="1"/>
  <c r="V34" i="4"/>
  <c r="AJ114" i="3"/>
  <c r="AJ116" i="3"/>
  <c r="AJ32" i="3"/>
  <c r="P35" i="4"/>
  <c r="Q35" i="4" s="1"/>
  <c r="AK143" i="3"/>
  <c r="AJ97" i="3"/>
  <c r="AK98" i="3"/>
  <c r="AJ155" i="3"/>
  <c r="U10" i="4"/>
  <c r="AK67" i="3"/>
  <c r="AC79" i="6"/>
  <c r="AD79" i="6"/>
  <c r="AN79" i="6"/>
  <c r="AE79" i="6"/>
  <c r="AG79" i="6"/>
  <c r="AF79" i="6"/>
  <c r="AO79" i="6"/>
  <c r="AM79" i="6"/>
  <c r="AC39" i="6"/>
  <c r="AF154" i="6"/>
  <c r="AO154" i="6"/>
  <c r="AN154" i="6"/>
  <c r="AE154" i="6"/>
  <c r="AG154" i="6"/>
  <c r="AD154" i="6"/>
  <c r="AC154" i="6"/>
  <c r="AM154" i="6"/>
  <c r="AK101" i="3"/>
  <c r="AJ132" i="3"/>
  <c r="AK94" i="3"/>
  <c r="AJ44" i="3"/>
  <c r="P30" i="4"/>
  <c r="Q30" i="4" s="1"/>
  <c r="AO48" i="6" l="1"/>
  <c r="AK16" i="6"/>
  <c r="AE94" i="6"/>
  <c r="AO77" i="6"/>
  <c r="AO137" i="6"/>
  <c r="AF77" i="6"/>
  <c r="AC16" i="6"/>
  <c r="AC94" i="6"/>
  <c r="AH94" i="6" s="1"/>
  <c r="AG108" i="6"/>
  <c r="AG77" i="6"/>
  <c r="AF16" i="6"/>
  <c r="AN94" i="6"/>
  <c r="AM137" i="6"/>
  <c r="AN118" i="6"/>
  <c r="AM94" i="6"/>
  <c r="AE77" i="6"/>
  <c r="AE16" i="6"/>
  <c r="AG94" i="6"/>
  <c r="AE137" i="6"/>
  <c r="AM124" i="6"/>
  <c r="AD118" i="6"/>
  <c r="AD61" i="6"/>
  <c r="AN77" i="6"/>
  <c r="AD16" i="6"/>
  <c r="AF124" i="6"/>
  <c r="AM77" i="6"/>
  <c r="AO16" i="6"/>
  <c r="AO94" i="6"/>
  <c r="AF137" i="6"/>
  <c r="AE124" i="6"/>
  <c r="AN16" i="6"/>
  <c r="AP16" i="6" s="1"/>
  <c r="AD137" i="6"/>
  <c r="AH137" i="6" s="1"/>
  <c r="AN107" i="6"/>
  <c r="AD131" i="6"/>
  <c r="AG137" i="6"/>
  <c r="AD145" i="6"/>
  <c r="AC68" i="6"/>
  <c r="AD113" i="6"/>
  <c r="AK131" i="6"/>
  <c r="AE131" i="6"/>
  <c r="AD44" i="6"/>
  <c r="AM121" i="6"/>
  <c r="AC124" i="6"/>
  <c r="AE29" i="6"/>
  <c r="AM107" i="6"/>
  <c r="AF131" i="6"/>
  <c r="AM131" i="6"/>
  <c r="AO124" i="6"/>
  <c r="AG131" i="6"/>
  <c r="AE44" i="6"/>
  <c r="AN121" i="6"/>
  <c r="AN124" i="6"/>
  <c r="AF44" i="6"/>
  <c r="AM98" i="6"/>
  <c r="AO131" i="6"/>
  <c r="AG44" i="6"/>
  <c r="AM54" i="6"/>
  <c r="AG98" i="6"/>
  <c r="AK12" i="6"/>
  <c r="AC131" i="6"/>
  <c r="AD121" i="6"/>
  <c r="AG54" i="6"/>
  <c r="AD98" i="6"/>
  <c r="AC12" i="6"/>
  <c r="AC93" i="6"/>
  <c r="AE93" i="6"/>
  <c r="AG93" i="6"/>
  <c r="AD119" i="6"/>
  <c r="AC119" i="6"/>
  <c r="AF93" i="6"/>
  <c r="AL82" i="3"/>
  <c r="AF119" i="6"/>
  <c r="AM93" i="6"/>
  <c r="AE111" i="6"/>
  <c r="AE119" i="6"/>
  <c r="AD93" i="6"/>
  <c r="AG119" i="6"/>
  <c r="AO119" i="6"/>
  <c r="AN93" i="6"/>
  <c r="AM119" i="6"/>
  <c r="AG103" i="6"/>
  <c r="AF156" i="6"/>
  <c r="AD111" i="6"/>
  <c r="AF103" i="6"/>
  <c r="AE155" i="6"/>
  <c r="AO54" i="6"/>
  <c r="AD156" i="6"/>
  <c r="AM156" i="6"/>
  <c r="AC29" i="6"/>
  <c r="AF74" i="6"/>
  <c r="AD155" i="6"/>
  <c r="AO103" i="6"/>
  <c r="AN155" i="6"/>
  <c r="AL28" i="3"/>
  <c r="AE156" i="6"/>
  <c r="AC156" i="6"/>
  <c r="AN98" i="6"/>
  <c r="AM29" i="6"/>
  <c r="AG12" i="6"/>
  <c r="AC107" i="6"/>
  <c r="AL111" i="3"/>
  <c r="AE74" i="6"/>
  <c r="AF111" i="6"/>
  <c r="AD103" i="6"/>
  <c r="AH103" i="6" s="1"/>
  <c r="AE103" i="6"/>
  <c r="AN103" i="6"/>
  <c r="AL147" i="3"/>
  <c r="AN44" i="6"/>
  <c r="AG155" i="6"/>
  <c r="AO155" i="6"/>
  <c r="AF121" i="6"/>
  <c r="AF29" i="6"/>
  <c r="AE12" i="6"/>
  <c r="AM41" i="6"/>
  <c r="AN22" i="6"/>
  <c r="AC111" i="6"/>
  <c r="AC103" i="6"/>
  <c r="AF155" i="6"/>
  <c r="AG156" i="6"/>
  <c r="AE84" i="6"/>
  <c r="AM12" i="6"/>
  <c r="AO107" i="6"/>
  <c r="AE22" i="6"/>
  <c r="AM111" i="6"/>
  <c r="AO111" i="6"/>
  <c r="AN156" i="6"/>
  <c r="AN111" i="6"/>
  <c r="AO44" i="6"/>
  <c r="AK121" i="6"/>
  <c r="AE98" i="6"/>
  <c r="AC98" i="6"/>
  <c r="AG107" i="6"/>
  <c r="AF8" i="6"/>
  <c r="AC88" i="6"/>
  <c r="AO7" i="6"/>
  <c r="AC132" i="6"/>
  <c r="AM88" i="6"/>
  <c r="AC160" i="6"/>
  <c r="AM129" i="6"/>
  <c r="AN7" i="6"/>
  <c r="AD57" i="6"/>
  <c r="AG7" i="6"/>
  <c r="AM132" i="6"/>
  <c r="AD88" i="6"/>
  <c r="AF160" i="6"/>
  <c r="AE132" i="6"/>
  <c r="AM23" i="6"/>
  <c r="AO160" i="6"/>
  <c r="AG83" i="6"/>
  <c r="AG132" i="6"/>
  <c r="AK144" i="6"/>
  <c r="AN23" i="6"/>
  <c r="AC45" i="6"/>
  <c r="AC127" i="6"/>
  <c r="AD108" i="6"/>
  <c r="AE148" i="6"/>
  <c r="AF143" i="6"/>
  <c r="AD80" i="6"/>
  <c r="AD109" i="6"/>
  <c r="AG63" i="6"/>
  <c r="AO143" i="6"/>
  <c r="AL36" i="3"/>
  <c r="AD55" i="6"/>
  <c r="AE143" i="6"/>
  <c r="AK19" i="6"/>
  <c r="AG60" i="6"/>
  <c r="AN112" i="6"/>
  <c r="AG143" i="6"/>
  <c r="AL144" i="3"/>
  <c r="AO139" i="6"/>
  <c r="AD8" i="6"/>
  <c r="AL66" i="3"/>
  <c r="AC37" i="6"/>
  <c r="AE142" i="6"/>
  <c r="AG20" i="6"/>
  <c r="AO83" i="6"/>
  <c r="AN20" i="6"/>
  <c r="AG35" i="6"/>
  <c r="AN41" i="6"/>
  <c r="AD22" i="6"/>
  <c r="AC22" i="6"/>
  <c r="AC74" i="6"/>
  <c r="AE145" i="6"/>
  <c r="AC20" i="6"/>
  <c r="AO35" i="6"/>
  <c r="AN74" i="6"/>
  <c r="AG34" i="6"/>
  <c r="AF145" i="6"/>
  <c r="AO46" i="6"/>
  <c r="AN14" i="6"/>
  <c r="AG22" i="6"/>
  <c r="AF34" i="6"/>
  <c r="AC145" i="6"/>
  <c r="AM145" i="6"/>
  <c r="AG145" i="6"/>
  <c r="AM14" i="6"/>
  <c r="AD87" i="6"/>
  <c r="AF91" i="6"/>
  <c r="AL85" i="3"/>
  <c r="AC41" i="6"/>
  <c r="AN34" i="6"/>
  <c r="AF46" i="6"/>
  <c r="AC91" i="6"/>
  <c r="AF125" i="6"/>
  <c r="AG41" i="6"/>
  <c r="AF22" i="6"/>
  <c r="AC34" i="6"/>
  <c r="AE46" i="6"/>
  <c r="AE14" i="6"/>
  <c r="AC87" i="6"/>
  <c r="AD91" i="6"/>
  <c r="AG125" i="6"/>
  <c r="AO41" i="6"/>
  <c r="AN31" i="6"/>
  <c r="AO22" i="6"/>
  <c r="AG127" i="6"/>
  <c r="AO74" i="6"/>
  <c r="AD34" i="6"/>
  <c r="AE10" i="6"/>
  <c r="AK11" i="6"/>
  <c r="AC33" i="6"/>
  <c r="AF53" i="6"/>
  <c r="AD127" i="6"/>
  <c r="AF127" i="6"/>
  <c r="AM53" i="6"/>
  <c r="AD133" i="6"/>
  <c r="AD19" i="6"/>
  <c r="AF99" i="6"/>
  <c r="AE133" i="6"/>
  <c r="AC128" i="6"/>
  <c r="AN157" i="6"/>
  <c r="AM47" i="6"/>
  <c r="AN30" i="6"/>
  <c r="AD90" i="6"/>
  <c r="AE72" i="6"/>
  <c r="AF115" i="6"/>
  <c r="AM106" i="6"/>
  <c r="AM63" i="6"/>
  <c r="AM48" i="6"/>
  <c r="AF108" i="6"/>
  <c r="AN133" i="6"/>
  <c r="AM133" i="6"/>
  <c r="AE8" i="6"/>
  <c r="AF128" i="6"/>
  <c r="AE128" i="6"/>
  <c r="AM80" i="6"/>
  <c r="AO158" i="6"/>
  <c r="AM55" i="6"/>
  <c r="AC55" i="6"/>
  <c r="AM112" i="6"/>
  <c r="AG142" i="6"/>
  <c r="AC143" i="6"/>
  <c r="AM143" i="6"/>
  <c r="AO108" i="6"/>
  <c r="AC133" i="6"/>
  <c r="AK8" i="6"/>
  <c r="AM8" i="6"/>
  <c r="AD128" i="6"/>
  <c r="AF80" i="6"/>
  <c r="AO63" i="6"/>
  <c r="AD60" i="6"/>
  <c r="AN60" i="6"/>
  <c r="AN147" i="6"/>
  <c r="AM158" i="6"/>
  <c r="AL52" i="3"/>
  <c r="AN55" i="6"/>
  <c r="AD149" i="6"/>
  <c r="AM142" i="6"/>
  <c r="AD89" i="6"/>
  <c r="AC89" i="6"/>
  <c r="AD143" i="6"/>
  <c r="AO133" i="6"/>
  <c r="AG8" i="6"/>
  <c r="AG128" i="6"/>
  <c r="AO80" i="6"/>
  <c r="AD63" i="6"/>
  <c r="AL122" i="3"/>
  <c r="AO112" i="6"/>
  <c r="AM165" i="6"/>
  <c r="AO149" i="6"/>
  <c r="AN142" i="6"/>
  <c r="AE108" i="6"/>
  <c r="AC108" i="6"/>
  <c r="AG133" i="6"/>
  <c r="AN8" i="6"/>
  <c r="AC8" i="6"/>
  <c r="AC80" i="6"/>
  <c r="AO60" i="6"/>
  <c r="AD158" i="6"/>
  <c r="AC158" i="6"/>
  <c r="AD112" i="6"/>
  <c r="AC112" i="6"/>
  <c r="AN165" i="6"/>
  <c r="AO89" i="6"/>
  <c r="AE80" i="6"/>
  <c r="AN63" i="6"/>
  <c r="AC63" i="6"/>
  <c r="AF60" i="6"/>
  <c r="AC60" i="6"/>
  <c r="AE55" i="6"/>
  <c r="AG112" i="6"/>
  <c r="AG165" i="6"/>
  <c r="AO165" i="6"/>
  <c r="AN89" i="6"/>
  <c r="AN128" i="6"/>
  <c r="AN143" i="6"/>
  <c r="AM108" i="6"/>
  <c r="AF133" i="6"/>
  <c r="AO8" i="6"/>
  <c r="AO128" i="6"/>
  <c r="AG80" i="6"/>
  <c r="AF63" i="6"/>
  <c r="AM60" i="6"/>
  <c r="AF158" i="6"/>
  <c r="AE112" i="6"/>
  <c r="AE165" i="6"/>
  <c r="AO142" i="6"/>
  <c r="AF142" i="6"/>
  <c r="AG89" i="6"/>
  <c r="AL7" i="3"/>
  <c r="AO55" i="6"/>
  <c r="AD165" i="6"/>
  <c r="AM89" i="6"/>
  <c r="AL63" i="3"/>
  <c r="AN58" i="6"/>
  <c r="AL67" i="3"/>
  <c r="AL29" i="3"/>
  <c r="AN127" i="6"/>
  <c r="AG10" i="6"/>
  <c r="AC149" i="6"/>
  <c r="AE89" i="6"/>
  <c r="AO127" i="6"/>
  <c r="AF10" i="6"/>
  <c r="AN10" i="6"/>
  <c r="AG149" i="6"/>
  <c r="AL124" i="3"/>
  <c r="AN149" i="6"/>
  <c r="AL95" i="3"/>
  <c r="AL40" i="3"/>
  <c r="AL108" i="3"/>
  <c r="AM10" i="6"/>
  <c r="AM149" i="6"/>
  <c r="AM141" i="6"/>
  <c r="AC141" i="6"/>
  <c r="AL54" i="3"/>
  <c r="AL78" i="3"/>
  <c r="AD115" i="6"/>
  <c r="AL101" i="3"/>
  <c r="AM39" i="6"/>
  <c r="AG115" i="6"/>
  <c r="AG136" i="6"/>
  <c r="AN59" i="6"/>
  <c r="AG129" i="6"/>
  <c r="AD39" i="6"/>
  <c r="AN144" i="6"/>
  <c r="AD23" i="6"/>
  <c r="AF88" i="6"/>
  <c r="AD134" i="6"/>
  <c r="AN71" i="6"/>
  <c r="AL20" i="3"/>
  <c r="AO59" i="6"/>
  <c r="AG61" i="6"/>
  <c r="AE129" i="6"/>
  <c r="AO49" i="6"/>
  <c r="AF141" i="6"/>
  <c r="AN33" i="6"/>
  <c r="AG33" i="6"/>
  <c r="AO39" i="6"/>
  <c r="AL155" i="3"/>
  <c r="AD132" i="6"/>
  <c r="AO144" i="6"/>
  <c r="AE23" i="6"/>
  <c r="AD122" i="6"/>
  <c r="AE88" i="6"/>
  <c r="AE57" i="6"/>
  <c r="AO134" i="6"/>
  <c r="AF71" i="6"/>
  <c r="AF15" i="6"/>
  <c r="AF129" i="6"/>
  <c r="AF49" i="6"/>
  <c r="AG141" i="6"/>
  <c r="AO33" i="6"/>
  <c r="AF149" i="6"/>
  <c r="AM136" i="6"/>
  <c r="AO90" i="6"/>
  <c r="AE45" i="6"/>
  <c r="AK26" i="6"/>
  <c r="AE141" i="6"/>
  <c r="AF144" i="6"/>
  <c r="AO88" i="6"/>
  <c r="AD106" i="6"/>
  <c r="AN160" i="6"/>
  <c r="AO57" i="6"/>
  <c r="AF45" i="6"/>
  <c r="AG15" i="6"/>
  <c r="AE81" i="6"/>
  <c r="AC49" i="6"/>
  <c r="AN141" i="6"/>
  <c r="AF33" i="6"/>
  <c r="AC99" i="6"/>
  <c r="AL57" i="3"/>
  <c r="AC23" i="6"/>
  <c r="AG122" i="6"/>
  <c r="AC50" i="6"/>
  <c r="AN88" i="6"/>
  <c r="AM71" i="6"/>
  <c r="AC15" i="6"/>
  <c r="AD49" i="6"/>
  <c r="AF7" i="6"/>
  <c r="AO132" i="6"/>
  <c r="AG144" i="6"/>
  <c r="AF23" i="6"/>
  <c r="AC106" i="6"/>
  <c r="AD32" i="6"/>
  <c r="AL71" i="3"/>
  <c r="AG71" i="6"/>
  <c r="AE15" i="6"/>
  <c r="AN61" i="6"/>
  <c r="AO129" i="6"/>
  <c r="AM7" i="6"/>
  <c r="AE33" i="6"/>
  <c r="AL37" i="3"/>
  <c r="AG138" i="6"/>
  <c r="AE19" i="6"/>
  <c r="AE157" i="6"/>
  <c r="AE47" i="6"/>
  <c r="AD139" i="6"/>
  <c r="AF24" i="6"/>
  <c r="AN116" i="6"/>
  <c r="AC36" i="6"/>
  <c r="AO72" i="6"/>
  <c r="AG209" i="3"/>
  <c r="AO148" i="6"/>
  <c r="AO47" i="6"/>
  <c r="AM116" i="6"/>
  <c r="AG36" i="6"/>
  <c r="AF39" i="6"/>
  <c r="AF132" i="6"/>
  <c r="AL61" i="3"/>
  <c r="AM139" i="6"/>
  <c r="AN18" i="6"/>
  <c r="AL104" i="3"/>
  <c r="AF51" i="6"/>
  <c r="AM144" i="6"/>
  <c r="AO23" i="6"/>
  <c r="AF122" i="6"/>
  <c r="AN50" i="6"/>
  <c r="AG88" i="6"/>
  <c r="AD96" i="6"/>
  <c r="AM96" i="6"/>
  <c r="AM160" i="6"/>
  <c r="AN57" i="6"/>
  <c r="AF57" i="6"/>
  <c r="AO126" i="6"/>
  <c r="AF134" i="6"/>
  <c r="AC71" i="6"/>
  <c r="AD71" i="6"/>
  <c r="AN15" i="6"/>
  <c r="AM15" i="6"/>
  <c r="AF37" i="6"/>
  <c r="AD136" i="6"/>
  <c r="AO157" i="6"/>
  <c r="AE109" i="6"/>
  <c r="AM67" i="6"/>
  <c r="AG59" i="6"/>
  <c r="AL159" i="3"/>
  <c r="AE61" i="6"/>
  <c r="AN129" i="6"/>
  <c r="AC129" i="6"/>
  <c r="AC7" i="6"/>
  <c r="AM11" i="6"/>
  <c r="AF48" i="6"/>
  <c r="AC148" i="6"/>
  <c r="AO141" i="6"/>
  <c r="AC139" i="6"/>
  <c r="AF138" i="6"/>
  <c r="AN37" i="6"/>
  <c r="AG148" i="6"/>
  <c r="AC109" i="6"/>
  <c r="AN47" i="6"/>
  <c r="AD36" i="6"/>
  <c r="AN139" i="6"/>
  <c r="AO19" i="6"/>
  <c r="AC96" i="6"/>
  <c r="AE24" i="6"/>
  <c r="AG126" i="6"/>
  <c r="AE134" i="6"/>
  <c r="AN136" i="6"/>
  <c r="AE26" i="6"/>
  <c r="AL140" i="3"/>
  <c r="AF130" i="6"/>
  <c r="AO51" i="6"/>
  <c r="AE144" i="6"/>
  <c r="AG23" i="6"/>
  <c r="AN138" i="6"/>
  <c r="AM122" i="6"/>
  <c r="AE115" i="6"/>
  <c r="AF50" i="6"/>
  <c r="AO96" i="6"/>
  <c r="AM90" i="6"/>
  <c r="AG160" i="6"/>
  <c r="AG57" i="6"/>
  <c r="AC57" i="6"/>
  <c r="AG45" i="6"/>
  <c r="AD15" i="6"/>
  <c r="AM37" i="6"/>
  <c r="AG157" i="6"/>
  <c r="AD52" i="6"/>
  <c r="AN67" i="6"/>
  <c r="AG99" i="6"/>
  <c r="AO61" i="6"/>
  <c r="AF61" i="6"/>
  <c r="AG49" i="6"/>
  <c r="AE7" i="6"/>
  <c r="AG11" i="6"/>
  <c r="AG48" i="6"/>
  <c r="AN148" i="6"/>
  <c r="AN26" i="6"/>
  <c r="AD141" i="6"/>
  <c r="AM33" i="6"/>
  <c r="AL12" i="3"/>
  <c r="AD47" i="6"/>
  <c r="AF116" i="6"/>
  <c r="AF47" i="6"/>
  <c r="AC116" i="6"/>
  <c r="AF139" i="6"/>
  <c r="AG51" i="6"/>
  <c r="AD157" i="6"/>
  <c r="AN115" i="6"/>
  <c r="AM50" i="6"/>
  <c r="AL14" i="3"/>
  <c r="AF19" i="6"/>
  <c r="AO17" i="6"/>
  <c r="AO106" i="6"/>
  <c r="AF90" i="6"/>
  <c r="AG37" i="6"/>
  <c r="AM157" i="6"/>
  <c r="AC157" i="6"/>
  <c r="AL73" i="3"/>
  <c r="AG109" i="6"/>
  <c r="AG47" i="6"/>
  <c r="AE116" i="6"/>
  <c r="AG39" i="6"/>
  <c r="AN39" i="6"/>
  <c r="AN72" i="6"/>
  <c r="AD116" i="6"/>
  <c r="AE39" i="6"/>
  <c r="AF72" i="6"/>
  <c r="AN132" i="6"/>
  <c r="AE139" i="6"/>
  <c r="AE130" i="6"/>
  <c r="AD51" i="6"/>
  <c r="AM51" i="6"/>
  <c r="AD144" i="6"/>
  <c r="AN122" i="6"/>
  <c r="AE50" i="6"/>
  <c r="AN19" i="6"/>
  <c r="AE96" i="6"/>
  <c r="AF25" i="6"/>
  <c r="AN90" i="6"/>
  <c r="AD160" i="6"/>
  <c r="AM57" i="6"/>
  <c r="AM45" i="6"/>
  <c r="AE71" i="6"/>
  <c r="AK15" i="6"/>
  <c r="AD37" i="6"/>
  <c r="AM109" i="6"/>
  <c r="AE67" i="6"/>
  <c r="AF67" i="6"/>
  <c r="AD99" i="6"/>
  <c r="AD129" i="6"/>
  <c r="AN49" i="6"/>
  <c r="AN11" i="6"/>
  <c r="AC48" i="6"/>
  <c r="AD148" i="6"/>
  <c r="AK141" i="6"/>
  <c r="AD33" i="6"/>
  <c r="AN109" i="6"/>
  <c r="AD138" i="6"/>
  <c r="AG19" i="6"/>
  <c r="AC47" i="6"/>
  <c r="AO116" i="6"/>
  <c r="AG139" i="6"/>
  <c r="AC51" i="6"/>
  <c r="AE138" i="6"/>
  <c r="AM19" i="6"/>
  <c r="AM25" i="6"/>
  <c r="AE160" i="6"/>
  <c r="AN45" i="6"/>
  <c r="AL115" i="3"/>
  <c r="AE37" i="6"/>
  <c r="AO109" i="6"/>
  <c r="AL70" i="3"/>
  <c r="AD67" i="6"/>
  <c r="AM61" i="6"/>
  <c r="AM49" i="6"/>
  <c r="AK7" i="6"/>
  <c r="W60" i="4"/>
  <c r="AE48" i="6"/>
  <c r="AN146" i="6"/>
  <c r="AC104" i="6"/>
  <c r="AM104" i="6"/>
  <c r="AO104" i="6"/>
  <c r="AO97" i="6"/>
  <c r="AG97" i="6"/>
  <c r="AD97" i="6"/>
  <c r="AN97" i="6"/>
  <c r="AF117" i="6"/>
  <c r="AO117" i="6"/>
  <c r="AN117" i="6"/>
  <c r="AC117" i="6"/>
  <c r="AF152" i="6"/>
  <c r="AO152" i="6"/>
  <c r="AD152" i="6"/>
  <c r="AC152" i="6"/>
  <c r="AG66" i="6"/>
  <c r="AN66" i="6"/>
  <c r="AC66" i="6"/>
  <c r="AO66" i="6"/>
  <c r="AC140" i="6"/>
  <c r="AM140" i="6"/>
  <c r="AD140" i="6"/>
  <c r="AG9" i="6"/>
  <c r="AC9" i="6"/>
  <c r="AE9" i="6"/>
  <c r="AN159" i="6"/>
  <c r="AK9" i="6"/>
  <c r="AO9" i="6"/>
  <c r="AM152" i="6"/>
  <c r="AM32" i="6"/>
  <c r="AO81" i="6"/>
  <c r="AL110" i="3"/>
  <c r="AN9" i="6"/>
  <c r="AE159" i="6"/>
  <c r="AO20" i="6"/>
  <c r="AG123" i="6"/>
  <c r="AM68" i="6"/>
  <c r="AD66" i="6"/>
  <c r="AF151" i="6"/>
  <c r="AG53" i="6"/>
  <c r="AN99" i="6"/>
  <c r="AO99" i="6"/>
  <c r="AE99" i="6"/>
  <c r="AC136" i="6"/>
  <c r="AO136" i="6"/>
  <c r="AE136" i="6"/>
  <c r="AK136" i="6"/>
  <c r="AM134" i="6"/>
  <c r="AC134" i="6"/>
  <c r="AG134" i="6"/>
  <c r="AM72" i="6"/>
  <c r="AG72" i="6"/>
  <c r="AD72" i="6"/>
  <c r="AN106" i="6"/>
  <c r="AE106" i="6"/>
  <c r="AG106" i="6"/>
  <c r="AN96" i="6"/>
  <c r="AF96" i="6"/>
  <c r="AO11" i="6"/>
  <c r="AD11" i="6"/>
  <c r="AE11" i="6"/>
  <c r="AC11" i="6"/>
  <c r="AO122" i="6"/>
  <c r="AC122" i="6"/>
  <c r="AG50" i="6"/>
  <c r="AD50" i="6"/>
  <c r="AE36" i="6"/>
  <c r="AO36" i="6"/>
  <c r="AN36" i="6"/>
  <c r="AF36" i="6"/>
  <c r="AC90" i="6"/>
  <c r="AG90" i="6"/>
  <c r="AE90" i="6"/>
  <c r="AD26" i="6"/>
  <c r="AF26" i="6"/>
  <c r="AO26" i="6"/>
  <c r="AG26" i="6"/>
  <c r="AC26" i="6"/>
  <c r="AO115" i="6"/>
  <c r="AC115" i="6"/>
  <c r="AM115" i="6"/>
  <c r="AK32" i="6"/>
  <c r="AN32" i="6"/>
  <c r="AL21" i="3"/>
  <c r="AM159" i="6"/>
  <c r="AC159" i="6"/>
  <c r="AD46" i="6"/>
  <c r="AN140" i="6"/>
  <c r="AE153" i="6"/>
  <c r="AF97" i="6"/>
  <c r="AE123" i="6"/>
  <c r="AM87" i="6"/>
  <c r="AM91" i="6"/>
  <c r="AM84" i="6"/>
  <c r="AE66" i="6"/>
  <c r="AC151" i="6"/>
  <c r="AC150" i="6"/>
  <c r="AM125" i="6"/>
  <c r="AF35" i="6"/>
  <c r="AF31" i="6"/>
  <c r="AC53" i="6"/>
  <c r="AD9" i="6"/>
  <c r="AL141" i="3"/>
  <c r="AM46" i="6"/>
  <c r="W56" i="4"/>
  <c r="AE117" i="6"/>
  <c r="AE32" i="6"/>
  <c r="AD56" i="6"/>
  <c r="AF56" i="6"/>
  <c r="AC81" i="6"/>
  <c r="AG81" i="6"/>
  <c r="AD123" i="6"/>
  <c r="AN123" i="6"/>
  <c r="AD117" i="6"/>
  <c r="AE97" i="6"/>
  <c r="AC123" i="6"/>
  <c r="AN152" i="6"/>
  <c r="AF32" i="6"/>
  <c r="AM81" i="6"/>
  <c r="AF66" i="6"/>
  <c r="AC42" i="6"/>
  <c r="AG150" i="6"/>
  <c r="AL131" i="3"/>
  <c r="AO145" i="6"/>
  <c r="AE151" i="6"/>
  <c r="AG151" i="6"/>
  <c r="AO151" i="6"/>
  <c r="AD151" i="6"/>
  <c r="AF84" i="6"/>
  <c r="AD84" i="6"/>
  <c r="AO84" i="6"/>
  <c r="AN84" i="6"/>
  <c r="AG84" i="6"/>
  <c r="AG46" i="6"/>
  <c r="AK46" i="6"/>
  <c r="AC46" i="6"/>
  <c r="AF68" i="6"/>
  <c r="AN68" i="6"/>
  <c r="AE53" i="6"/>
  <c r="AD53" i="6"/>
  <c r="AD38" i="6"/>
  <c r="AN135" i="6"/>
  <c r="AF135" i="6"/>
  <c r="AC82" i="6"/>
  <c r="AO82" i="6"/>
  <c r="AD82" i="6"/>
  <c r="AM82" i="6"/>
  <c r="AG82" i="6"/>
  <c r="AN82" i="6"/>
  <c r="AO91" i="6"/>
  <c r="AG91" i="6"/>
  <c r="AE31" i="6"/>
  <c r="AC31" i="6"/>
  <c r="AG31" i="6"/>
  <c r="AD31" i="6"/>
  <c r="AO31" i="6"/>
  <c r="AD35" i="6"/>
  <c r="AN35" i="6"/>
  <c r="AC35" i="6"/>
  <c r="AM35" i="6"/>
  <c r="AO14" i="6"/>
  <c r="AF14" i="6"/>
  <c r="AD14" i="6"/>
  <c r="AG14" i="6"/>
  <c r="AF87" i="6"/>
  <c r="AG87" i="6"/>
  <c r="AE87" i="6"/>
  <c r="AE83" i="6"/>
  <c r="AM83" i="6"/>
  <c r="AC83" i="6"/>
  <c r="AO125" i="6"/>
  <c r="AN125" i="6"/>
  <c r="AE125" i="6"/>
  <c r="AK20" i="6"/>
  <c r="AD20" i="6"/>
  <c r="AE20" i="6"/>
  <c r="AM20" i="6"/>
  <c r="AD159" i="6"/>
  <c r="AN145" i="6"/>
  <c r="V80" i="4"/>
  <c r="AF82" i="6"/>
  <c r="AN46" i="6"/>
  <c r="AG140" i="6"/>
  <c r="AC14" i="6"/>
  <c r="AC97" i="6"/>
  <c r="AF123" i="6"/>
  <c r="AN87" i="6"/>
  <c r="AE152" i="6"/>
  <c r="AC32" i="6"/>
  <c r="AE91" i="6"/>
  <c r="AF81" i="6"/>
  <c r="AC84" i="6"/>
  <c r="AM66" i="6"/>
  <c r="AD125" i="6"/>
  <c r="AM38" i="6"/>
  <c r="AL30" i="3"/>
  <c r="AL69" i="3"/>
  <c r="AE35" i="6"/>
  <c r="AF83" i="6"/>
  <c r="AM31" i="6"/>
  <c r="AF11" i="6"/>
  <c r="AK53" i="6"/>
  <c r="AE193" i="3"/>
  <c r="AF159" i="6"/>
  <c r="AO159" i="6"/>
  <c r="AO150" i="6"/>
  <c r="AM150" i="6"/>
  <c r="AN150" i="6"/>
  <c r="AD150" i="6"/>
  <c r="AF150" i="6"/>
  <c r="AF9" i="6"/>
  <c r="AO140" i="6"/>
  <c r="AM9" i="6"/>
  <c r="AF140" i="6"/>
  <c r="AG117" i="6"/>
  <c r="AM97" i="6"/>
  <c r="AM123" i="6"/>
  <c r="AO87" i="6"/>
  <c r="AG152" i="6"/>
  <c r="AG32" i="6"/>
  <c r="AD81" i="6"/>
  <c r="AN151" i="6"/>
  <c r="AE150" i="6"/>
  <c r="AO38" i="6"/>
  <c r="AN83" i="6"/>
  <c r="AO53" i="6"/>
  <c r="AM40" i="6"/>
  <c r="AN69" i="6"/>
  <c r="AD69" i="6"/>
  <c r="AE27" i="6"/>
  <c r="AD27" i="6"/>
  <c r="AF86" i="6"/>
  <c r="AD43" i="6"/>
  <c r="AO43" i="6"/>
  <c r="AL94" i="3"/>
  <c r="AL97" i="3"/>
  <c r="AE51" i="6"/>
  <c r="AO138" i="6"/>
  <c r="AC44" i="6"/>
  <c r="AL16" i="3"/>
  <c r="AN137" i="6"/>
  <c r="AL33" i="3"/>
  <c r="AG121" i="6"/>
  <c r="AE121" i="6"/>
  <c r="AG124" i="6"/>
  <c r="AC54" i="6"/>
  <c r="AK37" i="6"/>
  <c r="AF98" i="6"/>
  <c r="AF157" i="6"/>
  <c r="AF109" i="6"/>
  <c r="AG67" i="6"/>
  <c r="AN29" i="6"/>
  <c r="AD107" i="6"/>
  <c r="AL81" i="3"/>
  <c r="AD48" i="6"/>
  <c r="AD74" i="6"/>
  <c r="AE149" i="6"/>
  <c r="AE158" i="6"/>
  <c r="AG158" i="6"/>
  <c r="AC165" i="6"/>
  <c r="AF165" i="6"/>
  <c r="AF55" i="6"/>
  <c r="AC142" i="6"/>
  <c r="AL43" i="3"/>
  <c r="AM127" i="6"/>
  <c r="AD10" i="6"/>
  <c r="AC10" i="6"/>
  <c r="AM34" i="6"/>
  <c r="AF41" i="6"/>
  <c r="AO12" i="6"/>
  <c r="AD12" i="6"/>
  <c r="AK22" i="6"/>
  <c r="AL132" i="3"/>
  <c r="AD193" i="3"/>
  <c r="AL99" i="3"/>
  <c r="AM44" i="6"/>
  <c r="AL79" i="3"/>
  <c r="AL27" i="3"/>
  <c r="AO121" i="6"/>
  <c r="AL148" i="3"/>
  <c r="AL38" i="3"/>
  <c r="AL68" i="3"/>
  <c r="AD29" i="6"/>
  <c r="AG29" i="6"/>
  <c r="AN12" i="6"/>
  <c r="AE107" i="6"/>
  <c r="AE41" i="6"/>
  <c r="AD41" i="6"/>
  <c r="AE127" i="6"/>
  <c r="AG74" i="6"/>
  <c r="AE34" i="6"/>
  <c r="AK10" i="6"/>
  <c r="AO10" i="6"/>
  <c r="AC67" i="6"/>
  <c r="AF148" i="6"/>
  <c r="AL17" i="3"/>
  <c r="AO69" i="6"/>
  <c r="AL161" i="3"/>
  <c r="AD18" i="6"/>
  <c r="AC130" i="6"/>
  <c r="AN64" i="6"/>
  <c r="AF114" i="6"/>
  <c r="AM65" i="6"/>
  <c r="AN17" i="6"/>
  <c r="AD25" i="6"/>
  <c r="AL49" i="3"/>
  <c r="AE40" i="6"/>
  <c r="AL156" i="3"/>
  <c r="AO27" i="6"/>
  <c r="AE73" i="6"/>
  <c r="AL145" i="3"/>
  <c r="AD86" i="6"/>
  <c r="AG56" i="6"/>
  <c r="AM56" i="6"/>
  <c r="AC43" i="6"/>
  <c r="AM43" i="6"/>
  <c r="AL162" i="3"/>
  <c r="AL10" i="3"/>
  <c r="AL56" i="3"/>
  <c r="AM69" i="6"/>
  <c r="AK18" i="6"/>
  <c r="AG18" i="6"/>
  <c r="AG130" i="6"/>
  <c r="AM130" i="6"/>
  <c r="AE64" i="6"/>
  <c r="AL42" i="3"/>
  <c r="AG114" i="6"/>
  <c r="AF65" i="6"/>
  <c r="AO65" i="6"/>
  <c r="AE17" i="6"/>
  <c r="AO40" i="6"/>
  <c r="AL117" i="3"/>
  <c r="AE21" i="6"/>
  <c r="AM21" i="6"/>
  <c r="AM27" i="6"/>
  <c r="AF27" i="6"/>
  <c r="AN73" i="6"/>
  <c r="AM42" i="6"/>
  <c r="AN86" i="6"/>
  <c r="AC86" i="6"/>
  <c r="AO56" i="6"/>
  <c r="AC56" i="6"/>
  <c r="AF43" i="6"/>
  <c r="AG43" i="6"/>
  <c r="AE104" i="6"/>
  <c r="AL149" i="3"/>
  <c r="AL150" i="3"/>
  <c r="AD17" i="6"/>
  <c r="AN25" i="6"/>
  <c r="AG25" i="6"/>
  <c r="AG21" i="6"/>
  <c r="AF21" i="6"/>
  <c r="AN27" i="6"/>
  <c r="AC27" i="6"/>
  <c r="AC73" i="6"/>
  <c r="AE86" i="6"/>
  <c r="AO86" i="6"/>
  <c r="AO64" i="6"/>
  <c r="AL34" i="3"/>
  <c r="AM18" i="6"/>
  <c r="AF64" i="6"/>
  <c r="AC114" i="6"/>
  <c r="AC65" i="6"/>
  <c r="AF17" i="6"/>
  <c r="AO25" i="6"/>
  <c r="AK25" i="6"/>
  <c r="AF40" i="6"/>
  <c r="AN40" i="6"/>
  <c r="AD21" i="6"/>
  <c r="AF73" i="6"/>
  <c r="AD42" i="6"/>
  <c r="AG86" i="6"/>
  <c r="AE56" i="6"/>
  <c r="AF104" i="6"/>
  <c r="AN104" i="6"/>
  <c r="AE18" i="6"/>
  <c r="AF18" i="6"/>
  <c r="AD64" i="6"/>
  <c r="AO114" i="6"/>
  <c r="AN130" i="6"/>
  <c r="AC64" i="6"/>
  <c r="AD114" i="6"/>
  <c r="AM114" i="6"/>
  <c r="AL93" i="3"/>
  <c r="AN65" i="6"/>
  <c r="AM17" i="6"/>
  <c r="AE25" i="6"/>
  <c r="AC25" i="6"/>
  <c r="AG40" i="6"/>
  <c r="AC40" i="6"/>
  <c r="AN21" i="6"/>
  <c r="AN102" i="6"/>
  <c r="AG27" i="6"/>
  <c r="AL102" i="3"/>
  <c r="AG73" i="6"/>
  <c r="AO42" i="6"/>
  <c r="AM86" i="6"/>
  <c r="AD62" i="6"/>
  <c r="AN43" i="6"/>
  <c r="AD104" i="6"/>
  <c r="AN13" i="6"/>
  <c r="AE65" i="6"/>
  <c r="AK17" i="6"/>
  <c r="AD40" i="6"/>
  <c r="AG69" i="6"/>
  <c r="AC69" i="6"/>
  <c r="AC18" i="6"/>
  <c r="AO130" i="6"/>
  <c r="AM64" i="6"/>
  <c r="AE114" i="6"/>
  <c r="AG65" i="6"/>
  <c r="AG17" i="6"/>
  <c r="AK21" i="6"/>
  <c r="AG102" i="6"/>
  <c r="AD73" i="6"/>
  <c r="AE42" i="6"/>
  <c r="AF42" i="6"/>
  <c r="AN56" i="6"/>
  <c r="AG104" i="6"/>
  <c r="AF146" i="6"/>
  <c r="AE13" i="6"/>
  <c r="AE69" i="6"/>
  <c r="AD130" i="6"/>
  <c r="AF69" i="6"/>
  <c r="AO18" i="6"/>
  <c r="AN114" i="6"/>
  <c r="AL135" i="3"/>
  <c r="AD65" i="6"/>
  <c r="AL22" i="3"/>
  <c r="AO21" i="6"/>
  <c r="AL74" i="3"/>
  <c r="AM73" i="6"/>
  <c r="AN42" i="6"/>
  <c r="AL158" i="3"/>
  <c r="AE28" i="6"/>
  <c r="AE52" i="6"/>
  <c r="AE102" i="6"/>
  <c r="AO62" i="6"/>
  <c r="AD58" i="6"/>
  <c r="AF70" i="6"/>
  <c r="AD30" i="6"/>
  <c r="AC153" i="6"/>
  <c r="AG24" i="6"/>
  <c r="AC24" i="6"/>
  <c r="AN126" i="6"/>
  <c r="AC126" i="6"/>
  <c r="AO70" i="6"/>
  <c r="AG52" i="6"/>
  <c r="AF52" i="6"/>
  <c r="AC102" i="6"/>
  <c r="AM102" i="6"/>
  <c r="AL41" i="3"/>
  <c r="AL91" i="3"/>
  <c r="AD135" i="6"/>
  <c r="AK147" i="6"/>
  <c r="AO147" i="6"/>
  <c r="AL134" i="3"/>
  <c r="AC38" i="6"/>
  <c r="AF59" i="6"/>
  <c r="AF62" i="6"/>
  <c r="AE146" i="6"/>
  <c r="AG146" i="6"/>
  <c r="AG13" i="6"/>
  <c r="AF28" i="6"/>
  <c r="AO28" i="6"/>
  <c r="W49" i="4"/>
  <c r="AG30" i="6"/>
  <c r="AO58" i="6"/>
  <c r="AE58" i="6"/>
  <c r="AD153" i="6"/>
  <c r="AM126" i="6"/>
  <c r="AD68" i="6"/>
  <c r="AN54" i="6"/>
  <c r="AL31" i="3"/>
  <c r="AN70" i="6"/>
  <c r="AD102" i="6"/>
  <c r="AE135" i="6"/>
  <c r="AD147" i="6"/>
  <c r="AF147" i="6"/>
  <c r="AF38" i="6"/>
  <c r="AE59" i="6"/>
  <c r="AK59" i="6"/>
  <c r="AD146" i="6"/>
  <c r="AD13" i="6"/>
  <c r="AG28" i="6"/>
  <c r="AF30" i="6"/>
  <c r="AO153" i="6"/>
  <c r="AD24" i="6"/>
  <c r="AD126" i="6"/>
  <c r="AE70" i="6"/>
  <c r="AF102" i="6"/>
  <c r="W50" i="4"/>
  <c r="AC135" i="6"/>
  <c r="AM135" i="6"/>
  <c r="AG147" i="6"/>
  <c r="AN38" i="6"/>
  <c r="AD59" i="6"/>
  <c r="AC59" i="6"/>
  <c r="AG62" i="6"/>
  <c r="AC62" i="6"/>
  <c r="AO146" i="6"/>
  <c r="AF13" i="6"/>
  <c r="AM13" i="6"/>
  <c r="AC58" i="6"/>
  <c r="AD28" i="6"/>
  <c r="AL98" i="3"/>
  <c r="AL53" i="3"/>
  <c r="AE30" i="6"/>
  <c r="AL146" i="3"/>
  <c r="AN153" i="6"/>
  <c r="AL123" i="3"/>
  <c r="AO24" i="6"/>
  <c r="AE68" i="6"/>
  <c r="AL129" i="3"/>
  <c r="AD54" i="6"/>
  <c r="AL23" i="3"/>
  <c r="AD70" i="6"/>
  <c r="AG70" i="6"/>
  <c r="AO52" i="6"/>
  <c r="AC52" i="6"/>
  <c r="AO102" i="6"/>
  <c r="AM147" i="6"/>
  <c r="AE38" i="6"/>
  <c r="AL86" i="3"/>
  <c r="AL139" i="3"/>
  <c r="AO13" i="6"/>
  <c r="AK13" i="6"/>
  <c r="AM30" i="6"/>
  <c r="AM58" i="6"/>
  <c r="AO30" i="6"/>
  <c r="W35" i="4"/>
  <c r="AG58" i="6"/>
  <c r="AM153" i="6"/>
  <c r="AL88" i="3"/>
  <c r="AK24" i="6"/>
  <c r="AM24" i="6"/>
  <c r="AK126" i="6"/>
  <c r="AL126" i="3"/>
  <c r="AC70" i="6"/>
  <c r="AL103" i="3"/>
  <c r="AN52" i="6"/>
  <c r="AG135" i="6"/>
  <c r="AC147" i="6"/>
  <c r="AM59" i="6"/>
  <c r="AE62" i="6"/>
  <c r="AM62" i="6"/>
  <c r="AC146" i="6"/>
  <c r="AC13" i="6"/>
  <c r="AG153" i="6"/>
  <c r="AM28" i="6"/>
  <c r="AN28" i="6"/>
  <c r="AC28" i="6"/>
  <c r="AF126" i="6"/>
  <c r="AO68" i="6"/>
  <c r="AL65" i="3"/>
  <c r="AE54" i="6"/>
  <c r="AL60" i="3"/>
  <c r="AE147" i="6"/>
  <c r="AN62" i="6"/>
  <c r="AL143" i="3"/>
  <c r="AL90" i="3"/>
  <c r="AL55" i="3"/>
  <c r="AL75" i="3"/>
  <c r="AL89" i="3"/>
  <c r="AI209" i="3"/>
  <c r="V76" i="4"/>
  <c r="AL50" i="3"/>
  <c r="V44" i="4"/>
  <c r="W32" i="4"/>
  <c r="AL152" i="3"/>
  <c r="AL84" i="3"/>
  <c r="AL45" i="3"/>
  <c r="AL24" i="3"/>
  <c r="AL105" i="3"/>
  <c r="V67" i="4"/>
  <c r="AL136" i="3"/>
  <c r="AH110" i="6"/>
  <c r="AH92" i="6"/>
  <c r="AL32" i="3"/>
  <c r="Q10" i="4"/>
  <c r="U83" i="4"/>
  <c r="W59" i="4"/>
  <c r="I88" i="4"/>
  <c r="AL26" i="3"/>
  <c r="AL113" i="3"/>
  <c r="AH100" i="6"/>
  <c r="W51" i="4"/>
  <c r="U75" i="4"/>
  <c r="AL51" i="3"/>
  <c r="AH76" i="6"/>
  <c r="AP131" i="6"/>
  <c r="AL127" i="3"/>
  <c r="AH163" i="6"/>
  <c r="AH75" i="6"/>
  <c r="AL72" i="3"/>
  <c r="U80" i="4"/>
  <c r="W36" i="4"/>
  <c r="AL106" i="3"/>
  <c r="Q15" i="4"/>
  <c r="AD201" i="3"/>
  <c r="AL116" i="3"/>
  <c r="AL153" i="3"/>
  <c r="AL46" i="3"/>
  <c r="AE201" i="3"/>
  <c r="Q12" i="4"/>
  <c r="AL128" i="3"/>
  <c r="AJ198" i="3"/>
  <c r="AJ206" i="3"/>
  <c r="AL125" i="3"/>
  <c r="U86" i="4"/>
  <c r="W65" i="4"/>
  <c r="U84" i="4"/>
  <c r="W63" i="4"/>
  <c r="AH105" i="6"/>
  <c r="AL120" i="3"/>
  <c r="AL13" i="3"/>
  <c r="AL62" i="3"/>
  <c r="AL138" i="3"/>
  <c r="AL130" i="3"/>
  <c r="U24" i="4"/>
  <c r="U72" i="4"/>
  <c r="W8" i="4"/>
  <c r="AH118" i="6"/>
  <c r="AD209" i="3"/>
  <c r="AL114" i="3"/>
  <c r="AL151" i="3"/>
  <c r="AE209" i="3"/>
  <c r="AL121" i="3"/>
  <c r="Q9" i="4"/>
  <c r="U77" i="4"/>
  <c r="W13" i="4"/>
  <c r="AH154" i="6"/>
  <c r="AH79" i="6"/>
  <c r="AL80" i="3"/>
  <c r="AH77" i="6"/>
  <c r="W34" i="4"/>
  <c r="AL11" i="3"/>
  <c r="AH162" i="6"/>
  <c r="AH155" i="6"/>
  <c r="AH101" i="6"/>
  <c r="U82" i="4"/>
  <c r="W58" i="4"/>
  <c r="AL157" i="3"/>
  <c r="U44" i="4"/>
  <c r="W28" i="4"/>
  <c r="V72" i="4"/>
  <c r="V24" i="4"/>
  <c r="AL35" i="3"/>
  <c r="V78" i="4"/>
  <c r="AL107" i="3"/>
  <c r="W9" i="4"/>
  <c r="U73" i="4"/>
  <c r="U85" i="4"/>
  <c r="W64" i="4"/>
  <c r="U74" i="4"/>
  <c r="W10" i="4"/>
  <c r="AJ199" i="3"/>
  <c r="AJ163" i="3"/>
  <c r="AJ193" i="3" s="1"/>
  <c r="AJ207" i="3"/>
  <c r="AL77" i="3"/>
  <c r="AL8" i="3"/>
  <c r="AL118" i="3"/>
  <c r="P44" i="4"/>
  <c r="Q28" i="4"/>
  <c r="AL96" i="3"/>
  <c r="AL92" i="3"/>
  <c r="AK198" i="3"/>
  <c r="AK206" i="3"/>
  <c r="AL100" i="3"/>
  <c r="AL48" i="3"/>
  <c r="W52" i="4"/>
  <c r="AL47" i="3"/>
  <c r="AL6" i="3"/>
  <c r="AL76" i="3"/>
  <c r="AH209" i="3"/>
  <c r="W55" i="4"/>
  <c r="AL18" i="3"/>
  <c r="AL83" i="3"/>
  <c r="U78" i="4"/>
  <c r="W14" i="4"/>
  <c r="AL25" i="3"/>
  <c r="U87" i="4"/>
  <c r="W66" i="4"/>
  <c r="AL5" i="3"/>
  <c r="U76" i="4"/>
  <c r="W12" i="4"/>
  <c r="AL160" i="3"/>
  <c r="AL64" i="3"/>
  <c r="U67" i="4"/>
  <c r="W48" i="4"/>
  <c r="AH78" i="6"/>
  <c r="AL58" i="3"/>
  <c r="AL39" i="3"/>
  <c r="AJ208" i="3"/>
  <c r="AJ200" i="3"/>
  <c r="AH201" i="3"/>
  <c r="AL9" i="3"/>
  <c r="Q14" i="4"/>
  <c r="AG201" i="3"/>
  <c r="P80" i="4"/>
  <c r="Q36" i="4"/>
  <c r="Q13" i="4"/>
  <c r="AK199" i="3"/>
  <c r="AK163" i="3"/>
  <c r="AK193" i="3" s="1"/>
  <c r="AL4" i="3"/>
  <c r="AK207" i="3"/>
  <c r="AL137" i="3"/>
  <c r="AL109" i="3"/>
  <c r="W54" i="4"/>
  <c r="AL119" i="3"/>
  <c r="W33" i="4"/>
  <c r="AH113" i="6"/>
  <c r="V77" i="4"/>
  <c r="AK208" i="3"/>
  <c r="AK200" i="3"/>
  <c r="AL154" i="3"/>
  <c r="AL59" i="3"/>
  <c r="AH95" i="6"/>
  <c r="W53" i="4"/>
  <c r="AK197" i="3"/>
  <c r="AK205" i="3"/>
  <c r="AL142" i="3"/>
  <c r="AH120" i="6"/>
  <c r="AH164" i="6"/>
  <c r="U79" i="4"/>
  <c r="W15" i="4"/>
  <c r="AL87" i="3"/>
  <c r="AL44" i="3"/>
  <c r="V79" i="4"/>
  <c r="AJ197" i="3"/>
  <c r="AJ205" i="3"/>
  <c r="AH161" i="6"/>
  <c r="AI201" i="3"/>
  <c r="U81" i="4"/>
  <c r="W57" i="4"/>
  <c r="P24" i="4"/>
  <c r="Q8" i="4"/>
  <c r="AH93" i="6" l="1"/>
  <c r="AH124" i="6"/>
  <c r="AP23" i="6"/>
  <c r="AH156" i="6"/>
  <c r="AH16" i="6"/>
  <c r="AH131" i="6"/>
  <c r="AQ131" i="6" s="1"/>
  <c r="AH44" i="6"/>
  <c r="AH98" i="6"/>
  <c r="AP7" i="6"/>
  <c r="AH119" i="6"/>
  <c r="AH12" i="6"/>
  <c r="AH111" i="6"/>
  <c r="AP121" i="6"/>
  <c r="AH132" i="6"/>
  <c r="AH22" i="6"/>
  <c r="AH121" i="6"/>
  <c r="AQ121" i="6" s="1"/>
  <c r="AR121" i="6" s="1"/>
  <c r="AX121" i="6" s="1"/>
  <c r="AH63" i="6"/>
  <c r="AP22" i="6"/>
  <c r="AH145" i="6"/>
  <c r="AH41" i="6"/>
  <c r="AH55" i="6"/>
  <c r="AH89" i="6"/>
  <c r="AH133" i="6"/>
  <c r="AH127" i="6"/>
  <c r="AH158" i="6"/>
  <c r="AH45" i="6"/>
  <c r="AH34" i="6"/>
  <c r="AP14" i="6"/>
  <c r="AH60" i="6"/>
  <c r="AP53" i="6"/>
  <c r="AH142" i="6"/>
  <c r="AH165" i="6"/>
  <c r="AH32" i="6"/>
  <c r="AH96" i="6"/>
  <c r="AP20" i="6"/>
  <c r="AH108" i="6"/>
  <c r="AH91" i="6"/>
  <c r="AP136" i="6"/>
  <c r="AH129" i="6"/>
  <c r="AH61" i="6"/>
  <c r="AH128" i="6"/>
  <c r="AH125" i="6"/>
  <c r="AH83" i="6"/>
  <c r="AH8" i="6"/>
  <c r="AH80" i="6"/>
  <c r="AH35" i="6"/>
  <c r="AH116" i="6"/>
  <c r="AH23" i="6"/>
  <c r="AP8" i="6"/>
  <c r="AH143" i="6"/>
  <c r="AP37" i="6"/>
  <c r="AH20" i="6"/>
  <c r="AP32" i="6"/>
  <c r="AH148" i="6"/>
  <c r="AH84" i="6"/>
  <c r="AH31" i="6"/>
  <c r="AH66" i="6"/>
  <c r="AP9" i="6"/>
  <c r="AH72" i="6"/>
  <c r="AH71" i="6"/>
  <c r="AH134" i="6"/>
  <c r="AH140" i="6"/>
  <c r="AH144" i="6"/>
  <c r="AH112" i="6"/>
  <c r="AH14" i="6"/>
  <c r="AH46" i="6"/>
  <c r="AH29" i="6"/>
  <c r="AH10" i="6"/>
  <c r="AP12" i="6"/>
  <c r="AH50" i="6"/>
  <c r="AP26" i="6"/>
  <c r="AH51" i="6"/>
  <c r="AH82" i="6"/>
  <c r="AH53" i="6"/>
  <c r="AH117" i="6"/>
  <c r="AH151" i="6"/>
  <c r="AH122" i="6"/>
  <c r="AH159" i="6"/>
  <c r="AP11" i="6"/>
  <c r="AH67" i="6"/>
  <c r="AH39" i="6"/>
  <c r="AH115" i="6"/>
  <c r="AH36" i="6"/>
  <c r="AH88" i="6"/>
  <c r="AH33" i="6"/>
  <c r="AP144" i="6"/>
  <c r="AH149" i="6"/>
  <c r="AH9" i="6"/>
  <c r="AH26" i="6"/>
  <c r="AH138" i="6"/>
  <c r="AH152" i="6"/>
  <c r="AH123" i="6"/>
  <c r="AH87" i="6"/>
  <c r="AH97" i="6"/>
  <c r="AP46" i="6"/>
  <c r="AH90" i="6"/>
  <c r="AH11" i="6"/>
  <c r="AH106" i="6"/>
  <c r="AH136" i="6"/>
  <c r="AP19" i="6"/>
  <c r="AH48" i="6"/>
  <c r="AH99" i="6"/>
  <c r="AH37" i="6"/>
  <c r="AH160" i="6"/>
  <c r="AH139" i="6"/>
  <c r="AH109" i="6"/>
  <c r="AH157" i="6"/>
  <c r="AH47" i="6"/>
  <c r="AH7" i="6"/>
  <c r="AH15" i="6"/>
  <c r="AP15" i="6"/>
  <c r="AH107" i="6"/>
  <c r="AH49" i="6"/>
  <c r="AH81" i="6"/>
  <c r="AH57" i="6"/>
  <c r="AH141" i="6"/>
  <c r="AP141" i="6"/>
  <c r="AH150" i="6"/>
  <c r="AH19" i="6"/>
  <c r="AH74" i="6"/>
  <c r="AP18" i="6"/>
  <c r="AH54" i="6"/>
  <c r="AP10" i="6"/>
  <c r="AH68" i="6"/>
  <c r="AH17" i="6"/>
  <c r="AP17" i="6"/>
  <c r="AH146" i="6"/>
  <c r="AH38" i="6"/>
  <c r="AH114" i="6"/>
  <c r="AH86" i="6"/>
  <c r="AH126" i="6"/>
  <c r="AH25" i="6"/>
  <c r="AH18" i="6"/>
  <c r="AH42" i="6"/>
  <c r="AH62" i="6"/>
  <c r="AP24" i="6"/>
  <c r="AH59" i="6"/>
  <c r="AP25" i="6"/>
  <c r="AH21" i="6"/>
  <c r="AH102" i="6"/>
  <c r="AP147" i="6"/>
  <c r="AP13" i="6"/>
  <c r="AH73" i="6"/>
  <c r="AH56" i="6"/>
  <c r="AP126" i="6"/>
  <c r="AH69" i="6"/>
  <c r="AH104" i="6"/>
  <c r="AH27" i="6"/>
  <c r="AH153" i="6"/>
  <c r="AH52" i="6"/>
  <c r="AH30" i="6"/>
  <c r="AH13" i="6"/>
  <c r="AP59" i="6"/>
  <c r="AH24" i="6"/>
  <c r="AH130" i="6"/>
  <c r="AH65" i="6"/>
  <c r="AP21" i="6"/>
  <c r="AH43" i="6"/>
  <c r="AH64" i="6"/>
  <c r="AH40" i="6"/>
  <c r="AH147" i="6"/>
  <c r="AH28" i="6"/>
  <c r="AH135" i="6"/>
  <c r="AH58" i="6"/>
  <c r="AH70" i="6"/>
  <c r="AK201" i="3"/>
  <c r="AJ201" i="3"/>
  <c r="AQ16" i="6"/>
  <c r="AW16" i="6" s="1"/>
  <c r="W87" i="4"/>
  <c r="W24" i="4"/>
  <c r="W72" i="4"/>
  <c r="W86" i="4"/>
  <c r="W83" i="4"/>
  <c r="AL207" i="3"/>
  <c r="AL199" i="3"/>
  <c r="AL163" i="3"/>
  <c r="AL193" i="3" s="1"/>
  <c r="W77" i="4"/>
  <c r="U88" i="4"/>
  <c r="W80" i="4"/>
  <c r="W74" i="4"/>
  <c r="W73" i="4"/>
  <c r="Q24" i="4"/>
  <c r="W79" i="4"/>
  <c r="AK209" i="3"/>
  <c r="W67" i="4"/>
  <c r="AL206" i="3"/>
  <c r="AL198" i="3"/>
  <c r="AL197" i="3"/>
  <c r="AL205" i="3"/>
  <c r="W81" i="4"/>
  <c r="W76" i="4"/>
  <c r="V88" i="4"/>
  <c r="W84" i="4"/>
  <c r="W75" i="4"/>
  <c r="AL208" i="3"/>
  <c r="AL200" i="3"/>
  <c r="AJ209" i="3"/>
  <c r="W78" i="4"/>
  <c r="W85" i="4"/>
  <c r="W44" i="4"/>
  <c r="W82" i="4"/>
  <c r="Q80" i="4"/>
  <c r="Q44" i="4"/>
  <c r="AQ23" i="6" l="1"/>
  <c r="AR23" i="6" s="1"/>
  <c r="AX23" i="6" s="1"/>
  <c r="AQ22" i="6"/>
  <c r="AQ7" i="6"/>
  <c r="AQ12" i="6"/>
  <c r="AR12" i="6" s="1"/>
  <c r="AX12" i="6" s="1"/>
  <c r="AQ14" i="6"/>
  <c r="AQ53" i="6"/>
  <c r="AW53" i="6" s="1"/>
  <c r="AQ144" i="6"/>
  <c r="AR144" i="6" s="1"/>
  <c r="AX144" i="6" s="1"/>
  <c r="AQ32" i="6"/>
  <c r="AR32" i="6" s="1"/>
  <c r="AX32" i="6" s="1"/>
  <c r="AQ20" i="6"/>
  <c r="AR20" i="6" s="1"/>
  <c r="AX20" i="6" s="1"/>
  <c r="AQ9" i="6"/>
  <c r="AW9" i="6" s="1"/>
  <c r="AQ10" i="6"/>
  <c r="AW10" i="6" s="1"/>
  <c r="AQ37" i="6"/>
  <c r="AR37" i="6" s="1"/>
  <c r="AX37" i="6" s="1"/>
  <c r="AQ19" i="6"/>
  <c r="AR19" i="6" s="1"/>
  <c r="AX19" i="6" s="1"/>
  <c r="AQ126" i="6"/>
  <c r="AW126" i="6" s="1"/>
  <c r="AQ8" i="6"/>
  <c r="AW8" i="6" s="1"/>
  <c r="AQ18" i="6"/>
  <c r="AW18" i="6" s="1"/>
  <c r="AQ141" i="6"/>
  <c r="AR141" i="6" s="1"/>
  <c r="AX141" i="6" s="1"/>
  <c r="AQ46" i="6"/>
  <c r="AW46" i="6" s="1"/>
  <c r="AQ25" i="6"/>
  <c r="AW25" i="6" s="1"/>
  <c r="AQ11" i="6"/>
  <c r="AW11" i="6" s="1"/>
  <c r="AQ26" i="6"/>
  <c r="AR26" i="6" s="1"/>
  <c r="AX26" i="6" s="1"/>
  <c r="AQ15" i="6"/>
  <c r="AW15" i="6" s="1"/>
  <c r="AQ59" i="6"/>
  <c r="AW59" i="6" s="1"/>
  <c r="AQ21" i="6"/>
  <c r="AR21" i="6" s="1"/>
  <c r="AX21" i="6" s="1"/>
  <c r="AQ136" i="6"/>
  <c r="AR136" i="6" s="1"/>
  <c r="AX136" i="6" s="1"/>
  <c r="AR16" i="6"/>
  <c r="AX16" i="6" s="1"/>
  <c r="AQ17" i="6"/>
  <c r="AW17" i="6" s="1"/>
  <c r="AQ13" i="6"/>
  <c r="AW13" i="6" s="1"/>
  <c r="AQ24" i="6"/>
  <c r="AW24" i="6" s="1"/>
  <c r="AQ147" i="6"/>
  <c r="AW147" i="6" s="1"/>
  <c r="AL209" i="3"/>
  <c r="AM210" i="3" s="1"/>
  <c r="AL201" i="3"/>
  <c r="AW121" i="6"/>
  <c r="W26" i="4"/>
  <c r="X26" i="4" s="1"/>
  <c r="W88" i="4"/>
  <c r="AW131" i="6"/>
  <c r="AR131" i="6"/>
  <c r="AX131" i="6" s="1"/>
  <c r="W46" i="4"/>
  <c r="X46" i="4" s="1"/>
  <c r="Q45" i="4"/>
  <c r="AR22" i="6"/>
  <c r="AX22" i="6" s="1"/>
  <c r="AW22" i="6"/>
  <c r="AR14" i="6"/>
  <c r="AX14" i="6" s="1"/>
  <c r="AW14" i="6"/>
  <c r="AR7" i="6"/>
  <c r="AX7" i="6" s="1"/>
  <c r="AW7" i="6"/>
  <c r="AR18" i="6" l="1"/>
  <c r="AX18" i="6" s="1"/>
  <c r="AW23" i="6"/>
  <c r="AW26" i="6"/>
  <c r="AW12" i="6"/>
  <c r="AR46" i="6"/>
  <c r="AX46" i="6" s="1"/>
  <c r="AW20" i="6"/>
  <c r="AW37" i="6"/>
  <c r="AR9" i="6"/>
  <c r="AX9" i="6" s="1"/>
  <c r="AR53" i="6"/>
  <c r="AX53" i="6" s="1"/>
  <c r="AW144" i="6"/>
  <c r="AW141" i="6"/>
  <c r="AW19" i="6"/>
  <c r="AW32" i="6"/>
  <c r="AR126" i="6"/>
  <c r="AX126" i="6" s="1"/>
  <c r="AR10" i="6"/>
  <c r="AX10" i="6" s="1"/>
  <c r="AW21" i="6"/>
  <c r="AR59" i="6"/>
  <c r="AX59" i="6" s="1"/>
  <c r="AR11" i="6"/>
  <c r="AX11" i="6" s="1"/>
  <c r="AR25" i="6"/>
  <c r="AX25" i="6" s="1"/>
  <c r="AR8" i="6"/>
  <c r="AX8" i="6" s="1"/>
  <c r="AW136" i="6"/>
  <c r="AR15" i="6"/>
  <c r="AX15" i="6" s="1"/>
  <c r="AR17" i="6"/>
  <c r="AX17" i="6" s="1"/>
  <c r="AR147" i="6"/>
  <c r="AX147" i="6" s="1"/>
  <c r="AR13" i="6"/>
  <c r="AX13" i="6" s="1"/>
  <c r="AR24" i="6"/>
  <c r="AX24" i="6" s="1"/>
  <c r="F97" i="4"/>
  <c r="AG41" i="4" l="1"/>
  <c r="AB41" i="4" s="1"/>
  <c r="AG31" i="4"/>
  <c r="AB31" i="4" s="1"/>
  <c r="AG22" i="4"/>
  <c r="AB22" i="4" s="1"/>
  <c r="AG11" i="4"/>
  <c r="AB11" i="4" s="1"/>
  <c r="AG20" i="4"/>
  <c r="AB20" i="4" s="1"/>
  <c r="AG43" i="4"/>
  <c r="AB43" i="4" s="1"/>
  <c r="AG37" i="4"/>
  <c r="AB37" i="4" s="1"/>
  <c r="AG19" i="4"/>
  <c r="AB19" i="4" s="1"/>
  <c r="AG39" i="4"/>
  <c r="AB39" i="4" s="1"/>
  <c r="AG40" i="4"/>
  <c r="AB40" i="4" s="1"/>
  <c r="AG16" i="4"/>
  <c r="AB16" i="4" s="1"/>
  <c r="AG17" i="4"/>
  <c r="AB17" i="4" s="1"/>
  <c r="AG38" i="4"/>
  <c r="AB38" i="4" s="1"/>
  <c r="AG42" i="4"/>
  <c r="AB42" i="4" s="1"/>
  <c r="AG18" i="4"/>
  <c r="AB18" i="4" s="1"/>
  <c r="AG23" i="4"/>
  <c r="AB23" i="4" s="1"/>
  <c r="AG59" i="4"/>
  <c r="AB59" i="4" s="1"/>
  <c r="AG55" i="4"/>
  <c r="AB55" i="4" s="1"/>
  <c r="AA18" i="4"/>
  <c r="AI22" i="4"/>
  <c r="AA40" i="4"/>
  <c r="AI40" i="4"/>
  <c r="AI16" i="4"/>
  <c r="AG28" i="4"/>
  <c r="AB28" i="4" s="1"/>
  <c r="AI31" i="4"/>
  <c r="AG29" i="4"/>
  <c r="AB29" i="4" s="1"/>
  <c r="AG35" i="4"/>
  <c r="AB35" i="4" s="1"/>
  <c r="AI41" i="4"/>
  <c r="AI37" i="4"/>
  <c r="AG63" i="4"/>
  <c r="AB63" i="4" s="1"/>
  <c r="AA43" i="4"/>
  <c r="AG9" i="4"/>
  <c r="AB9" i="4" s="1"/>
  <c r="AG21" i="4"/>
  <c r="AB21" i="4" s="1"/>
  <c r="AG66" i="4"/>
  <c r="AB66" i="4" s="1"/>
  <c r="AI19" i="4"/>
  <c r="AA11" i="4"/>
  <c r="AG36" i="4"/>
  <c r="AB36" i="4" s="1"/>
  <c r="AG52" i="4"/>
  <c r="AB52" i="4" s="1"/>
  <c r="AI43" i="4"/>
  <c r="AA31" i="4"/>
  <c r="AA17" i="4"/>
  <c r="AG53" i="4"/>
  <c r="AB53" i="4" s="1"/>
  <c r="AG14" i="4"/>
  <c r="AB14" i="4" s="1"/>
  <c r="AG57" i="4"/>
  <c r="AB57" i="4" s="1"/>
  <c r="AG49" i="4"/>
  <c r="AB49" i="4" s="1"/>
  <c r="AG32" i="4"/>
  <c r="AB32" i="4" s="1"/>
  <c r="AI39" i="4"/>
  <c r="AG60" i="4"/>
  <c r="AB60" i="4" s="1"/>
  <c r="AA16" i="4"/>
  <c r="AA61" i="4"/>
  <c r="AG64" i="4"/>
  <c r="AB64" i="4" s="1"/>
  <c r="AG51" i="4"/>
  <c r="AB51" i="4" s="1"/>
  <c r="AG54" i="4"/>
  <c r="AB54" i="4" s="1"/>
  <c r="AG62" i="4"/>
  <c r="AB62" i="4" s="1"/>
  <c r="AA41" i="4"/>
  <c r="AA19" i="4"/>
  <c r="AG34" i="4"/>
  <c r="AB34" i="4" s="1"/>
  <c r="AG15" i="4"/>
  <c r="AB15" i="4" s="1"/>
  <c r="AB8" i="4"/>
  <c r="AI11" i="4"/>
  <c r="AG30" i="4"/>
  <c r="AB30" i="4" s="1"/>
  <c r="AG50" i="4"/>
  <c r="AB50" i="4" s="1"/>
  <c r="AA22" i="4"/>
  <c r="AG48" i="4"/>
  <c r="AB48" i="4" s="1"/>
  <c r="AA23" i="4"/>
  <c r="AG12" i="4"/>
  <c r="AB12" i="4" s="1"/>
  <c r="AA38" i="4"/>
  <c r="AI18" i="4"/>
  <c r="AI23" i="4"/>
  <c r="AA20" i="4"/>
  <c r="AI42" i="4"/>
  <c r="AI38" i="4"/>
  <c r="AG56" i="4"/>
  <c r="AB56" i="4" s="1"/>
  <c r="AA39" i="4"/>
  <c r="AG65" i="4"/>
  <c r="AB65" i="4" s="1"/>
  <c r="AA37" i="4"/>
  <c r="AG58" i="4"/>
  <c r="AB58" i="4" s="1"/>
  <c r="AI17" i="4"/>
  <c r="AG33" i="4"/>
  <c r="AB33" i="4" s="1"/>
  <c r="AG10" i="4"/>
  <c r="AB10" i="4" s="1"/>
  <c r="AG13" i="4"/>
  <c r="AB13" i="4" s="1"/>
  <c r="AA21" i="4"/>
  <c r="AI21" i="4"/>
  <c r="AA42" i="4"/>
  <c r="AI20" i="4"/>
  <c r="AG61" i="4"/>
  <c r="AB61" i="4" s="1"/>
  <c r="AI56" i="4"/>
  <c r="AA56" i="4"/>
  <c r="AI32" i="4"/>
  <c r="AA35" i="4"/>
  <c r="AA62" i="4"/>
  <c r="AI30" i="4"/>
  <c r="AI35" i="4"/>
  <c r="AA29" i="4"/>
  <c r="AA32" i="4"/>
  <c r="AA49" i="4"/>
  <c r="AA30" i="4"/>
  <c r="AI34" i="4"/>
  <c r="AI29" i="4"/>
  <c r="AA60" i="4"/>
  <c r="AI33" i="4"/>
  <c r="AA50" i="4"/>
  <c r="AA66" i="4"/>
  <c r="AI10" i="4"/>
  <c r="AA64" i="4"/>
  <c r="AA57" i="4"/>
  <c r="AA8" i="4"/>
  <c r="AA65" i="4"/>
  <c r="AI14" i="4"/>
  <c r="AA15" i="4"/>
  <c r="AA51" i="4"/>
  <c r="AA53" i="4"/>
  <c r="AA28" i="4"/>
  <c r="AI36" i="4"/>
  <c r="AA33" i="4"/>
  <c r="AI28" i="4"/>
  <c r="AA12" i="4"/>
  <c r="AA13" i="4"/>
  <c r="AA48" i="4"/>
  <c r="AA36" i="4"/>
  <c r="AA14" i="4"/>
  <c r="AA54" i="4"/>
  <c r="AA34" i="4"/>
  <c r="AA52" i="4"/>
  <c r="AA9" i="4"/>
  <c r="AA63" i="4"/>
  <c r="AA10" i="4"/>
  <c r="AI13" i="4"/>
  <c r="AA58" i="4"/>
  <c r="AA55" i="4"/>
  <c r="AA59" i="4"/>
  <c r="AI9" i="4"/>
  <c r="AI15" i="4"/>
  <c r="AI8" i="4"/>
  <c r="AI80" i="4"/>
  <c r="AB24" i="4" l="1"/>
  <c r="AC8" i="4"/>
  <c r="AD8" i="4"/>
  <c r="AA44" i="4"/>
  <c r="AC12" i="4"/>
  <c r="AD12" i="4"/>
  <c r="AC15" i="4"/>
  <c r="AD15" i="4"/>
  <c r="AC53" i="4"/>
  <c r="M53" i="4"/>
  <c r="L53" i="4" s="1"/>
  <c r="AC35" i="4"/>
  <c r="AD35" i="4"/>
  <c r="AD16" i="4"/>
  <c r="AC16" i="4"/>
  <c r="AC22" i="4"/>
  <c r="AD22" i="4"/>
  <c r="M64" i="4"/>
  <c r="L64" i="4" s="1"/>
  <c r="AC64" i="4"/>
  <c r="AC11" i="4"/>
  <c r="AD11" i="4"/>
  <c r="AC13" i="4"/>
  <c r="AD13" i="4"/>
  <c r="M56" i="4"/>
  <c r="AC56" i="4"/>
  <c r="AD56" i="4"/>
  <c r="AC34" i="4"/>
  <c r="AD34" i="4"/>
  <c r="M66" i="4"/>
  <c r="L66" i="4" s="1"/>
  <c r="AC66" i="4"/>
  <c r="AC29" i="4"/>
  <c r="AD29" i="4"/>
  <c r="AC55" i="4"/>
  <c r="M55" i="4"/>
  <c r="L55" i="4" s="1"/>
  <c r="AD40" i="4"/>
  <c r="AC40" i="4"/>
  <c r="AC31" i="4"/>
  <c r="AD31" i="4"/>
  <c r="AA67" i="4"/>
  <c r="AC10" i="4"/>
  <c r="AD10" i="4"/>
  <c r="M48" i="4"/>
  <c r="L48" i="4" s="1"/>
  <c r="AC48" i="4"/>
  <c r="AB67" i="4"/>
  <c r="M60" i="4"/>
  <c r="AC60" i="4"/>
  <c r="AC21" i="4"/>
  <c r="AD21" i="4"/>
  <c r="M59" i="4"/>
  <c r="AC59" i="4"/>
  <c r="AC39" i="4"/>
  <c r="AD39" i="4"/>
  <c r="AC41" i="4"/>
  <c r="AD41" i="4"/>
  <c r="AC65" i="4"/>
  <c r="M65" i="4"/>
  <c r="L65" i="4" s="1"/>
  <c r="AC14" i="4"/>
  <c r="AD14" i="4"/>
  <c r="AD17" i="4"/>
  <c r="AC17" i="4"/>
  <c r="AC33" i="4"/>
  <c r="AD33" i="4"/>
  <c r="AC9" i="4"/>
  <c r="AD9" i="4"/>
  <c r="AC28" i="4"/>
  <c r="AB44" i="4"/>
  <c r="AD28" i="4"/>
  <c r="AD23" i="4"/>
  <c r="AC23" i="4"/>
  <c r="AC19" i="4"/>
  <c r="AD19" i="4"/>
  <c r="AC61" i="4"/>
  <c r="M61" i="4"/>
  <c r="L61" i="4" s="1"/>
  <c r="AC50" i="4"/>
  <c r="M50" i="4"/>
  <c r="L50" i="4" s="1"/>
  <c r="M62" i="4"/>
  <c r="L62" i="4" s="1"/>
  <c r="AC62" i="4"/>
  <c r="AC32" i="4"/>
  <c r="AD32" i="4"/>
  <c r="AD18" i="4"/>
  <c r="AC18" i="4"/>
  <c r="AD37" i="4"/>
  <c r="AC37" i="4"/>
  <c r="M58" i="4"/>
  <c r="L58" i="4" s="1"/>
  <c r="AC58" i="4"/>
  <c r="AC30" i="4"/>
  <c r="AD30" i="4"/>
  <c r="M54" i="4"/>
  <c r="L54" i="4" s="1"/>
  <c r="AC54" i="4"/>
  <c r="M49" i="4"/>
  <c r="L49" i="4" s="1"/>
  <c r="AC49" i="4"/>
  <c r="M52" i="4"/>
  <c r="L52" i="4" s="1"/>
  <c r="AC52" i="4"/>
  <c r="AC63" i="4"/>
  <c r="M63" i="4"/>
  <c r="L63" i="4" s="1"/>
  <c r="AD42" i="4"/>
  <c r="AC42" i="4"/>
  <c r="AC43" i="4"/>
  <c r="AD43" i="4"/>
  <c r="AA24" i="4"/>
  <c r="AC51" i="4"/>
  <c r="M51" i="4"/>
  <c r="L51" i="4" s="1"/>
  <c r="AC57" i="4"/>
  <c r="M57" i="4"/>
  <c r="L57" i="4" s="1"/>
  <c r="AC36" i="4"/>
  <c r="AD36" i="4"/>
  <c r="AC38" i="4"/>
  <c r="AD38" i="4"/>
  <c r="AD20" i="4"/>
  <c r="AC20" i="4"/>
  <c r="AO133" i="3" l="1"/>
  <c r="T60" i="6"/>
  <c r="AK60" i="6" s="1"/>
  <c r="AP60" i="6" s="1"/>
  <c r="AO82" i="3"/>
  <c r="T148" i="6"/>
  <c r="AK148" i="6" s="1"/>
  <c r="AP148" i="6" s="1"/>
  <c r="T142" i="6"/>
  <c r="AK142" i="6" s="1"/>
  <c r="AP142" i="6" s="1"/>
  <c r="T145" i="6"/>
  <c r="AK145" i="6" s="1"/>
  <c r="AP145" i="6" s="1"/>
  <c r="T54" i="6"/>
  <c r="AK54" i="6" s="1"/>
  <c r="AP54" i="6" s="1"/>
  <c r="AO127" i="3"/>
  <c r="AO76" i="3"/>
  <c r="AO79" i="3"/>
  <c r="P57" i="4"/>
  <c r="P61" i="4"/>
  <c r="Q61" i="4" s="1"/>
  <c r="AO19" i="3"/>
  <c r="T85" i="6"/>
  <c r="AK85" i="6" s="1"/>
  <c r="AP85" i="6" s="1"/>
  <c r="AO141" i="3"/>
  <c r="T69" i="6"/>
  <c r="AK69" i="6" s="1"/>
  <c r="AP69" i="6" s="1"/>
  <c r="P51" i="4"/>
  <c r="AD44" i="4"/>
  <c r="T90" i="6"/>
  <c r="AK90" i="6" s="1"/>
  <c r="AP90" i="6" s="1"/>
  <c r="AO62" i="3"/>
  <c r="T100" i="6"/>
  <c r="AK100" i="6" s="1"/>
  <c r="AP100" i="6" s="1"/>
  <c r="AO34" i="3"/>
  <c r="AO4" i="3"/>
  <c r="T107" i="6"/>
  <c r="AK107" i="6" s="1"/>
  <c r="AP107" i="6" s="1"/>
  <c r="T118" i="6"/>
  <c r="AK118" i="6" s="1"/>
  <c r="AP118" i="6" s="1"/>
  <c r="AO52" i="3"/>
  <c r="T43" i="6"/>
  <c r="AK43" i="6" s="1"/>
  <c r="AP43" i="6" s="1"/>
  <c r="AO112" i="3"/>
  <c r="AO129" i="3"/>
  <c r="AO24" i="3"/>
  <c r="T96" i="6"/>
  <c r="AK96" i="6" s="1"/>
  <c r="AP96" i="6" s="1"/>
  <c r="T70" i="6"/>
  <c r="AK70" i="6" s="1"/>
  <c r="AP70" i="6" s="1"/>
  <c r="T123" i="6"/>
  <c r="AK123" i="6" s="1"/>
  <c r="AP123" i="6" s="1"/>
  <c r="AO49" i="3"/>
  <c r="T50" i="6"/>
  <c r="AK50" i="6" s="1"/>
  <c r="AP50" i="6" s="1"/>
  <c r="AO41" i="3"/>
  <c r="AO44" i="3"/>
  <c r="T39" i="6"/>
  <c r="AK39" i="6" s="1"/>
  <c r="AP39" i="6" s="1"/>
  <c r="AO9" i="3"/>
  <c r="AO67" i="3"/>
  <c r="T75" i="6"/>
  <c r="AK75" i="6" s="1"/>
  <c r="AP75" i="6" s="1"/>
  <c r="AO102" i="3"/>
  <c r="T110" i="6"/>
  <c r="AK110" i="6" s="1"/>
  <c r="AP110" i="6" s="1"/>
  <c r="T115" i="6"/>
  <c r="AK115" i="6" s="1"/>
  <c r="AP115" i="6" s="1"/>
  <c r="T29" i="6"/>
  <c r="AK29" i="6" s="1"/>
  <c r="AP29" i="6" s="1"/>
  <c r="AO116" i="3"/>
  <c r="T133" i="6"/>
  <c r="AK133" i="6" s="1"/>
  <c r="AP133" i="6" s="1"/>
  <c r="T34" i="6"/>
  <c r="AK34" i="6" s="1"/>
  <c r="AP34" i="6" s="1"/>
  <c r="AO123" i="3"/>
  <c r="T128" i="6"/>
  <c r="AK128" i="6" s="1"/>
  <c r="AP128" i="6" s="1"/>
  <c r="T56" i="6"/>
  <c r="AK56" i="6" s="1"/>
  <c r="AP56" i="6" s="1"/>
  <c r="AO57" i="3"/>
  <c r="AO30" i="3"/>
  <c r="AO107" i="3"/>
  <c r="P53" i="4"/>
  <c r="AO23" i="3"/>
  <c r="AO8" i="3"/>
  <c r="T154" i="6"/>
  <c r="AK154" i="6" s="1"/>
  <c r="AP154" i="6" s="1"/>
  <c r="T104" i="6"/>
  <c r="AK104" i="6" s="1"/>
  <c r="AP104" i="6" s="1"/>
  <c r="AO140" i="3"/>
  <c r="T66" i="6"/>
  <c r="AK66" i="6" s="1"/>
  <c r="AP66" i="6" s="1"/>
  <c r="AO40" i="3"/>
  <c r="AO98" i="3"/>
  <c r="T72" i="6"/>
  <c r="AK72" i="6" s="1"/>
  <c r="AP72" i="6" s="1"/>
  <c r="AO29" i="3"/>
  <c r="AO90" i="3"/>
  <c r="AO86" i="3"/>
  <c r="T77" i="6"/>
  <c r="AK77" i="6" s="1"/>
  <c r="AP77" i="6" s="1"/>
  <c r="T93" i="6"/>
  <c r="AK93" i="6" s="1"/>
  <c r="AP93" i="6" s="1"/>
  <c r="AO94" i="3"/>
  <c r="T158" i="6"/>
  <c r="AK158" i="6" s="1"/>
  <c r="AP158" i="6" s="1"/>
  <c r="T150" i="6"/>
  <c r="AK150" i="6" s="1"/>
  <c r="AP150" i="6" s="1"/>
  <c r="T162" i="6"/>
  <c r="AK162" i="6" s="1"/>
  <c r="AP162" i="6" s="1"/>
  <c r="T87" i="6"/>
  <c r="AK87" i="6" s="1"/>
  <c r="AP87" i="6" s="1"/>
  <c r="AO13" i="3"/>
  <c r="P49" i="4"/>
  <c r="AC44" i="4"/>
  <c r="AO100" i="3"/>
  <c r="T27" i="6"/>
  <c r="AK27" i="6" s="1"/>
  <c r="AP27" i="6" s="1"/>
  <c r="P66" i="4"/>
  <c r="AD24" i="4"/>
  <c r="AO26" i="3"/>
  <c r="AO47" i="3"/>
  <c r="AO20" i="3"/>
  <c r="T161" i="6"/>
  <c r="AK161" i="6" s="1"/>
  <c r="AP161" i="6" s="1"/>
  <c r="AO61" i="3"/>
  <c r="AO115" i="3"/>
  <c r="T127" i="6"/>
  <c r="AK127" i="6" s="1"/>
  <c r="AP127" i="6" s="1"/>
  <c r="AO32" i="3"/>
  <c r="T71" i="6"/>
  <c r="AK71" i="6" s="1"/>
  <c r="AP71" i="6" s="1"/>
  <c r="AO91" i="3"/>
  <c r="AO111" i="3"/>
  <c r="T76" i="6"/>
  <c r="AK76" i="6" s="1"/>
  <c r="AP76" i="6" s="1"/>
  <c r="T92" i="6"/>
  <c r="AK92" i="6" s="1"/>
  <c r="AP92" i="6" s="1"/>
  <c r="T55" i="6"/>
  <c r="AK55" i="6" s="1"/>
  <c r="AP55" i="6" s="1"/>
  <c r="T86" i="6"/>
  <c r="AK86" i="6" s="1"/>
  <c r="AP86" i="6" s="1"/>
  <c r="T113" i="6"/>
  <c r="AK113" i="6" s="1"/>
  <c r="AP113" i="6" s="1"/>
  <c r="AO87" i="3"/>
  <c r="AO135" i="3"/>
  <c r="AO5" i="3"/>
  <c r="T153" i="6"/>
  <c r="AK153" i="6" s="1"/>
  <c r="AP153" i="6" s="1"/>
  <c r="T42" i="6"/>
  <c r="AK42" i="6" s="1"/>
  <c r="AP42" i="6" s="1"/>
  <c r="T98" i="6"/>
  <c r="AK98" i="6" s="1"/>
  <c r="AP98" i="6" s="1"/>
  <c r="AO43" i="3"/>
  <c r="AO120" i="3"/>
  <c r="AO37" i="3"/>
  <c r="T157" i="6"/>
  <c r="AK157" i="6" s="1"/>
  <c r="AP157" i="6" s="1"/>
  <c r="AO10" i="3"/>
  <c r="AO106" i="3"/>
  <c r="T103" i="6"/>
  <c r="AK103" i="6" s="1"/>
  <c r="AP103" i="6" s="1"/>
  <c r="AO128" i="3"/>
  <c r="T132" i="6"/>
  <c r="AK132" i="6" s="1"/>
  <c r="AP132" i="6" s="1"/>
  <c r="AO72" i="3"/>
  <c r="T38" i="6"/>
  <c r="AK38" i="6" s="1"/>
  <c r="AP38" i="6" s="1"/>
  <c r="T122" i="6"/>
  <c r="AK122" i="6" s="1"/>
  <c r="AP122" i="6" s="1"/>
  <c r="T47" i="6"/>
  <c r="AK47" i="6" s="1"/>
  <c r="AP47" i="6" s="1"/>
  <c r="AO95" i="3"/>
  <c r="T33" i="6"/>
  <c r="AK33" i="6" s="1"/>
  <c r="AP33" i="6" s="1"/>
  <c r="AO66" i="3"/>
  <c r="T64" i="6"/>
  <c r="AK64" i="6" s="1"/>
  <c r="AP64" i="6" s="1"/>
  <c r="AO56" i="3"/>
  <c r="T109" i="6"/>
  <c r="AK109" i="6" s="1"/>
  <c r="AP109" i="6" s="1"/>
  <c r="T138" i="6"/>
  <c r="AK138" i="6" s="1"/>
  <c r="AP138" i="6" s="1"/>
  <c r="P52" i="4"/>
  <c r="AO101" i="3"/>
  <c r="T28" i="6"/>
  <c r="AK28" i="6" s="1"/>
  <c r="AP28" i="6" s="1"/>
  <c r="P65" i="4"/>
  <c r="AC24" i="4"/>
  <c r="L59" i="4"/>
  <c r="AO134" i="3"/>
  <c r="AO17" i="3"/>
  <c r="AO71" i="3"/>
  <c r="T80" i="6"/>
  <c r="AK80" i="6" s="1"/>
  <c r="AP80" i="6" s="1"/>
  <c r="T149" i="6"/>
  <c r="AK149" i="6" s="1"/>
  <c r="AP149" i="6" s="1"/>
  <c r="T137" i="6"/>
  <c r="AK137" i="6" s="1"/>
  <c r="AP137" i="6" s="1"/>
  <c r="T143" i="6"/>
  <c r="AK143" i="6" s="1"/>
  <c r="AP143" i="6" s="1"/>
  <c r="AO14" i="3"/>
  <c r="T83" i="6"/>
  <c r="AK83" i="6" s="1"/>
  <c r="AP83" i="6" s="1"/>
  <c r="AO77" i="3"/>
  <c r="AO83" i="3"/>
  <c r="T61" i="6"/>
  <c r="AK61" i="6" s="1"/>
  <c r="AP61" i="6" s="1"/>
  <c r="P58" i="4"/>
  <c r="T30" i="6"/>
  <c r="AK30" i="6" s="1"/>
  <c r="AP30" i="6" s="1"/>
  <c r="AO113" i="3"/>
  <c r="T44" i="6"/>
  <c r="AK44" i="6" s="1"/>
  <c r="AP44" i="6" s="1"/>
  <c r="T124" i="6"/>
  <c r="AK124" i="6" s="1"/>
  <c r="AP124" i="6" s="1"/>
  <c r="AO53" i="3"/>
  <c r="AO108" i="3"/>
  <c r="T97" i="6"/>
  <c r="AK97" i="6" s="1"/>
  <c r="AP97" i="6" s="1"/>
  <c r="AO73" i="3"/>
  <c r="T40" i="6"/>
  <c r="AK40" i="6" s="1"/>
  <c r="AP40" i="6" s="1"/>
  <c r="AO68" i="3"/>
  <c r="T91" i="6"/>
  <c r="AK91" i="6" s="1"/>
  <c r="AP91" i="6" s="1"/>
  <c r="AO124" i="3"/>
  <c r="AO31" i="3"/>
  <c r="AO58" i="3"/>
  <c r="T111" i="6"/>
  <c r="AK111" i="6" s="1"/>
  <c r="AP111" i="6" s="1"/>
  <c r="T119" i="6"/>
  <c r="AK119" i="6" s="1"/>
  <c r="AP119" i="6" s="1"/>
  <c r="T139" i="6"/>
  <c r="AK139" i="6" s="1"/>
  <c r="AP139" i="6" s="1"/>
  <c r="AO103" i="3"/>
  <c r="AO42" i="3"/>
  <c r="AO25" i="3"/>
  <c r="T134" i="6"/>
  <c r="AK134" i="6" s="1"/>
  <c r="AP134" i="6" s="1"/>
  <c r="T57" i="6"/>
  <c r="AK57" i="6" s="1"/>
  <c r="AP57" i="6" s="1"/>
  <c r="T108" i="6"/>
  <c r="AK108" i="6" s="1"/>
  <c r="AP108" i="6" s="1"/>
  <c r="AO35" i="3"/>
  <c r="AO117" i="3"/>
  <c r="AO130" i="3"/>
  <c r="AO63" i="3"/>
  <c r="T101" i="6"/>
  <c r="AK101" i="6" s="1"/>
  <c r="AP101" i="6" s="1"/>
  <c r="T129" i="6"/>
  <c r="AK129" i="6" s="1"/>
  <c r="AP129" i="6" s="1"/>
  <c r="T116" i="6"/>
  <c r="AK116" i="6" s="1"/>
  <c r="AP116" i="6" s="1"/>
  <c r="T51" i="6"/>
  <c r="AK51" i="6" s="1"/>
  <c r="AP51" i="6" s="1"/>
  <c r="T35" i="6"/>
  <c r="AK35" i="6" s="1"/>
  <c r="AP35" i="6" s="1"/>
  <c r="AO45" i="3"/>
  <c r="AO50" i="3"/>
  <c r="P54" i="4"/>
  <c r="AO121" i="3"/>
  <c r="T48" i="6"/>
  <c r="AK48" i="6" s="1"/>
  <c r="AP48" i="6" s="1"/>
  <c r="P63" i="4"/>
  <c r="AO18" i="3"/>
  <c r="T84" i="6"/>
  <c r="AK84" i="6" s="1"/>
  <c r="AP84" i="6" s="1"/>
  <c r="P62" i="4"/>
  <c r="Q62" i="4" s="1"/>
  <c r="AC67" i="4"/>
  <c r="AO157" i="3"/>
  <c r="T165" i="6"/>
  <c r="AK165" i="6" s="1"/>
  <c r="AP165" i="6" s="1"/>
  <c r="T65" i="6"/>
  <c r="AK65" i="6" s="1"/>
  <c r="AP65" i="6" s="1"/>
  <c r="AO99" i="3"/>
  <c r="P64" i="4"/>
  <c r="AO33" i="3"/>
  <c r="AO39" i="3"/>
  <c r="T88" i="6"/>
  <c r="AK88" i="6" s="1"/>
  <c r="AP88" i="6" s="1"/>
  <c r="T151" i="6"/>
  <c r="AK151" i="6" s="1"/>
  <c r="AP151" i="6" s="1"/>
  <c r="AO97" i="3"/>
  <c r="AO12" i="3"/>
  <c r="AO89" i="3"/>
  <c r="T105" i="6"/>
  <c r="AK105" i="6" s="1"/>
  <c r="AP105" i="6" s="1"/>
  <c r="AO93" i="3"/>
  <c r="T94" i="6"/>
  <c r="AK94" i="6" s="1"/>
  <c r="AP94" i="6" s="1"/>
  <c r="AO85" i="3"/>
  <c r="T114" i="6"/>
  <c r="AK114" i="6" s="1"/>
  <c r="AP114" i="6" s="1"/>
  <c r="T155" i="6"/>
  <c r="AK155" i="6" s="1"/>
  <c r="AP155" i="6" s="1"/>
  <c r="T99" i="6"/>
  <c r="AK99" i="6" s="1"/>
  <c r="AP99" i="6" s="1"/>
  <c r="AO139" i="3"/>
  <c r="T73" i="6"/>
  <c r="AK73" i="6" s="1"/>
  <c r="AP73" i="6" s="1"/>
  <c r="AO7" i="3"/>
  <c r="T159" i="6"/>
  <c r="AK159" i="6" s="1"/>
  <c r="AP159" i="6" s="1"/>
  <c r="T163" i="6"/>
  <c r="AK163" i="6" s="1"/>
  <c r="AP163" i="6" s="1"/>
  <c r="AO48" i="3"/>
  <c r="T78" i="6"/>
  <c r="AK78" i="6" s="1"/>
  <c r="AP78" i="6" s="1"/>
  <c r="T67" i="6"/>
  <c r="AK67" i="6" s="1"/>
  <c r="AP67" i="6" s="1"/>
  <c r="AO22" i="3"/>
  <c r="AO28" i="3"/>
  <c r="P50" i="4"/>
  <c r="T79" i="6"/>
  <c r="AK79" i="6" s="1"/>
  <c r="AP79" i="6" s="1"/>
  <c r="T89" i="6"/>
  <c r="AK89" i="6" s="1"/>
  <c r="AP89" i="6" s="1"/>
  <c r="T156" i="6"/>
  <c r="AK156" i="6" s="1"/>
  <c r="AP156" i="6" s="1"/>
  <c r="T74" i="6"/>
  <c r="AK74" i="6" s="1"/>
  <c r="AP74" i="6" s="1"/>
  <c r="AO84" i="3"/>
  <c r="AO38" i="3"/>
  <c r="AO27" i="3"/>
  <c r="AO11" i="3"/>
  <c r="T160" i="6"/>
  <c r="AK160" i="6" s="1"/>
  <c r="AP160" i="6" s="1"/>
  <c r="T152" i="6"/>
  <c r="AK152" i="6" s="1"/>
  <c r="AP152" i="6" s="1"/>
  <c r="AO88" i="3"/>
  <c r="T95" i="6"/>
  <c r="AK95" i="6" s="1"/>
  <c r="AP95" i="6" s="1"/>
  <c r="AO138" i="3"/>
  <c r="T164" i="6"/>
  <c r="AK164" i="6" s="1"/>
  <c r="AP164" i="6" s="1"/>
  <c r="T106" i="6"/>
  <c r="AK106" i="6" s="1"/>
  <c r="AP106" i="6" s="1"/>
  <c r="AO21" i="3"/>
  <c r="AO96" i="3"/>
  <c r="AO6" i="3"/>
  <c r="T68" i="6"/>
  <c r="AK68" i="6" s="1"/>
  <c r="AP68" i="6" s="1"/>
  <c r="AO92" i="3"/>
  <c r="P48" i="4"/>
  <c r="T45" i="6"/>
  <c r="AK45" i="6" s="1"/>
  <c r="AP45" i="6" s="1"/>
  <c r="T130" i="6"/>
  <c r="AK130" i="6" s="1"/>
  <c r="AP130" i="6" s="1"/>
  <c r="T102" i="6"/>
  <c r="AK102" i="6" s="1"/>
  <c r="AP102" i="6" s="1"/>
  <c r="AO122" i="3"/>
  <c r="AO51" i="3"/>
  <c r="T52" i="6"/>
  <c r="AK52" i="6" s="1"/>
  <c r="AP52" i="6" s="1"/>
  <c r="AO46" i="3"/>
  <c r="T112" i="6"/>
  <c r="AK112" i="6" s="1"/>
  <c r="AP112" i="6" s="1"/>
  <c r="AO131" i="3"/>
  <c r="AO118" i="3"/>
  <c r="AO59" i="3"/>
  <c r="T58" i="6"/>
  <c r="AK58" i="6" s="1"/>
  <c r="AP58" i="6" s="1"/>
  <c r="AO114" i="3"/>
  <c r="AO54" i="3"/>
  <c r="AO104" i="3"/>
  <c r="AO80" i="3"/>
  <c r="AO69" i="3"/>
  <c r="AO109" i="3"/>
  <c r="T146" i="6"/>
  <c r="AK146" i="6" s="1"/>
  <c r="AP146" i="6" s="1"/>
  <c r="T125" i="6"/>
  <c r="AK125" i="6" s="1"/>
  <c r="AP125" i="6" s="1"/>
  <c r="T49" i="6"/>
  <c r="AK49" i="6" s="1"/>
  <c r="AP49" i="6" s="1"/>
  <c r="T31" i="6"/>
  <c r="AK31" i="6" s="1"/>
  <c r="AP31" i="6" s="1"/>
  <c r="T135" i="6"/>
  <c r="AK135" i="6" s="1"/>
  <c r="AP135" i="6" s="1"/>
  <c r="AO64" i="3"/>
  <c r="AO125" i="3"/>
  <c r="T120" i="6"/>
  <c r="AK120" i="6" s="1"/>
  <c r="AP120" i="6" s="1"/>
  <c r="T41" i="6"/>
  <c r="AK41" i="6" s="1"/>
  <c r="AP41" i="6" s="1"/>
  <c r="AO74" i="3"/>
  <c r="T36" i="6"/>
  <c r="AK36" i="6" s="1"/>
  <c r="AP36" i="6" s="1"/>
  <c r="T140" i="6"/>
  <c r="AK140" i="6" s="1"/>
  <c r="AP140" i="6" s="1"/>
  <c r="AO36" i="3"/>
  <c r="T117" i="6"/>
  <c r="AK117" i="6" s="1"/>
  <c r="AP117" i="6" s="1"/>
  <c r="P55" i="4"/>
  <c r="AQ78" i="6" l="1"/>
  <c r="AR50" i="3"/>
  <c r="AQ50" i="3"/>
  <c r="AQ98" i="6"/>
  <c r="AQ29" i="6"/>
  <c r="AQ36" i="3"/>
  <c r="AR36" i="3"/>
  <c r="AR104" i="3"/>
  <c r="AQ104" i="3"/>
  <c r="AQ164" i="6"/>
  <c r="AQ140" i="6"/>
  <c r="AQ31" i="6"/>
  <c r="AQ54" i="3"/>
  <c r="AR54" i="3"/>
  <c r="AQ52" i="6"/>
  <c r="AQ92" i="3"/>
  <c r="AR92" i="3"/>
  <c r="AR138" i="3"/>
  <c r="AQ138" i="3"/>
  <c r="AQ38" i="3"/>
  <c r="AR38" i="3"/>
  <c r="AQ22" i="3"/>
  <c r="AR22" i="3"/>
  <c r="AR139" i="3"/>
  <c r="AQ139" i="3"/>
  <c r="AQ105" i="6"/>
  <c r="AD62" i="4"/>
  <c r="AI62" i="4"/>
  <c r="AQ101" i="6"/>
  <c r="AQ25" i="3"/>
  <c r="AR25" i="3"/>
  <c r="AQ124" i="3"/>
  <c r="AR124" i="3"/>
  <c r="AR53" i="3"/>
  <c r="AQ53" i="3"/>
  <c r="AQ83" i="6"/>
  <c r="AR17" i="3"/>
  <c r="AQ17" i="3"/>
  <c r="AQ56" i="3"/>
  <c r="AR56" i="3"/>
  <c r="AR72" i="3"/>
  <c r="AQ72" i="3"/>
  <c r="AR120" i="3"/>
  <c r="AQ120" i="3"/>
  <c r="AQ113" i="6"/>
  <c r="AQ32" i="3"/>
  <c r="AR32" i="3"/>
  <c r="AQ162" i="6"/>
  <c r="AQ29" i="3"/>
  <c r="AR29" i="3"/>
  <c r="AQ154" i="6"/>
  <c r="Q53" i="4"/>
  <c r="P77" i="4"/>
  <c r="AQ133" i="6"/>
  <c r="AR9" i="3"/>
  <c r="AQ9" i="3"/>
  <c r="AQ70" i="6"/>
  <c r="AQ107" i="6"/>
  <c r="P81" i="4"/>
  <c r="Q57" i="4"/>
  <c r="AQ74" i="6"/>
  <c r="AQ143" i="6"/>
  <c r="L60" i="4"/>
  <c r="AO136" i="3"/>
  <c r="T62" i="6"/>
  <c r="AK62" i="6" s="1"/>
  <c r="AP62" i="6" s="1"/>
  <c r="P59" i="4"/>
  <c r="AQ36" i="6"/>
  <c r="AQ49" i="6"/>
  <c r="AR114" i="3"/>
  <c r="AQ114" i="3"/>
  <c r="AQ51" i="3"/>
  <c r="AR51" i="3"/>
  <c r="AQ68" i="6"/>
  <c r="AQ95" i="6"/>
  <c r="AR84" i="3"/>
  <c r="AQ84" i="3"/>
  <c r="AQ67" i="6"/>
  <c r="AQ89" i="3"/>
  <c r="AR89" i="3"/>
  <c r="P85" i="4"/>
  <c r="Q64" i="4"/>
  <c r="AQ84" i="6"/>
  <c r="Q54" i="4"/>
  <c r="P78" i="4"/>
  <c r="AQ63" i="3"/>
  <c r="AR63" i="3"/>
  <c r="AQ42" i="3"/>
  <c r="AR42" i="3"/>
  <c r="AQ91" i="6"/>
  <c r="AQ124" i="6"/>
  <c r="AR14" i="3"/>
  <c r="AQ14" i="3"/>
  <c r="AR134" i="3"/>
  <c r="AQ134" i="3"/>
  <c r="AQ64" i="6"/>
  <c r="AQ132" i="6"/>
  <c r="AQ43" i="3"/>
  <c r="AR43" i="3"/>
  <c r="AQ86" i="6"/>
  <c r="AQ127" i="6"/>
  <c r="AQ150" i="6"/>
  <c r="AQ72" i="6"/>
  <c r="AQ8" i="3"/>
  <c r="AR8" i="3"/>
  <c r="AQ107" i="3"/>
  <c r="AR107" i="3"/>
  <c r="AQ116" i="3"/>
  <c r="AR116" i="3"/>
  <c r="AQ39" i="6"/>
  <c r="AQ96" i="6"/>
  <c r="AQ4" i="3"/>
  <c r="AR4" i="3"/>
  <c r="AQ79" i="3"/>
  <c r="AR79" i="3"/>
  <c r="AR82" i="3"/>
  <c r="AQ82" i="3"/>
  <c r="AQ99" i="6"/>
  <c r="AR103" i="3"/>
  <c r="AQ103" i="3"/>
  <c r="AQ128" i="3"/>
  <c r="AR128" i="3"/>
  <c r="AQ23" i="3"/>
  <c r="AR23" i="3"/>
  <c r="AR34" i="3"/>
  <c r="AQ34" i="3"/>
  <c r="AR76" i="3"/>
  <c r="AQ76" i="3"/>
  <c r="AR6" i="3"/>
  <c r="AQ6" i="3"/>
  <c r="AQ155" i="6"/>
  <c r="AQ97" i="3"/>
  <c r="AR97" i="3"/>
  <c r="AQ65" i="6"/>
  <c r="AQ45" i="3"/>
  <c r="AR45" i="3"/>
  <c r="AR117" i="3"/>
  <c r="AQ117" i="3"/>
  <c r="AQ139" i="6"/>
  <c r="AQ40" i="6"/>
  <c r="AR113" i="3"/>
  <c r="AQ113" i="3"/>
  <c r="AQ137" i="6"/>
  <c r="AQ33" i="6"/>
  <c r="AQ103" i="6"/>
  <c r="AQ42" i="6"/>
  <c r="AQ92" i="6"/>
  <c r="AQ61" i="3"/>
  <c r="AR61" i="3"/>
  <c r="AQ94" i="3"/>
  <c r="AR94" i="3"/>
  <c r="AR40" i="3"/>
  <c r="AQ40" i="3"/>
  <c r="AR57" i="3"/>
  <c r="AQ57" i="3"/>
  <c r="AQ115" i="6"/>
  <c r="AQ41" i="3"/>
  <c r="AR41" i="3"/>
  <c r="AR129" i="3"/>
  <c r="AQ129" i="3"/>
  <c r="AQ100" i="6"/>
  <c r="AQ85" i="6"/>
  <c r="AR127" i="3"/>
  <c r="AQ127" i="3"/>
  <c r="AQ133" i="3"/>
  <c r="AR133" i="3"/>
  <c r="AQ125" i="6"/>
  <c r="AQ99" i="3"/>
  <c r="AR99" i="3"/>
  <c r="AQ44" i="6"/>
  <c r="AQ115" i="3"/>
  <c r="AR115" i="3"/>
  <c r="AQ30" i="3"/>
  <c r="AR30" i="3"/>
  <c r="AQ60" i="6"/>
  <c r="AQ41" i="6"/>
  <c r="AQ102" i="6"/>
  <c r="AR48" i="3"/>
  <c r="AQ48" i="3"/>
  <c r="AQ120" i="6"/>
  <c r="AR109" i="3"/>
  <c r="AQ109" i="3"/>
  <c r="AQ118" i="3"/>
  <c r="AR118" i="3"/>
  <c r="AQ130" i="6"/>
  <c r="AQ96" i="3"/>
  <c r="AR96" i="3"/>
  <c r="AQ152" i="6"/>
  <c r="AQ89" i="6"/>
  <c r="AQ163" i="6"/>
  <c r="AQ114" i="6"/>
  <c r="AQ151" i="6"/>
  <c r="AQ165" i="6"/>
  <c r="AQ35" i="6"/>
  <c r="AR35" i="3"/>
  <c r="AQ35" i="3"/>
  <c r="AQ119" i="6"/>
  <c r="AQ30" i="6"/>
  <c r="P82" i="4"/>
  <c r="Q58" i="4"/>
  <c r="AQ149" i="6"/>
  <c r="P86" i="4"/>
  <c r="Q65" i="4"/>
  <c r="AQ95" i="3"/>
  <c r="AR95" i="3"/>
  <c r="AR106" i="3"/>
  <c r="AQ106" i="3"/>
  <c r="AQ153" i="6"/>
  <c r="AQ76" i="6"/>
  <c r="AQ161" i="6"/>
  <c r="AQ93" i="6"/>
  <c r="AQ66" i="6"/>
  <c r="AQ56" i="6"/>
  <c r="AQ110" i="6"/>
  <c r="AQ50" i="6"/>
  <c r="AQ112" i="3"/>
  <c r="AR112" i="3"/>
  <c r="AQ62" i="3"/>
  <c r="AR62" i="3"/>
  <c r="AR19" i="3"/>
  <c r="AQ19" i="3"/>
  <c r="AQ54" i="6"/>
  <c r="AQ122" i="3"/>
  <c r="AR122" i="3"/>
  <c r="AQ18" i="3"/>
  <c r="AR18" i="3"/>
  <c r="AQ66" i="3"/>
  <c r="AR66" i="3"/>
  <c r="AQ158" i="6"/>
  <c r="AR24" i="3"/>
  <c r="AQ24" i="3"/>
  <c r="AR141" i="3"/>
  <c r="AQ141" i="3"/>
  <c r="AR59" i="3"/>
  <c r="AQ59" i="3"/>
  <c r="AQ156" i="6"/>
  <c r="Q55" i="4"/>
  <c r="P79" i="4"/>
  <c r="AR125" i="3"/>
  <c r="AQ125" i="3"/>
  <c r="AQ69" i="3"/>
  <c r="AR69" i="3"/>
  <c r="AR131" i="3"/>
  <c r="AQ131" i="3"/>
  <c r="AQ21" i="3"/>
  <c r="AR21" i="3"/>
  <c r="AQ160" i="6"/>
  <c r="AQ79" i="6"/>
  <c r="AQ159" i="6"/>
  <c r="AR85" i="3"/>
  <c r="AQ85" i="3"/>
  <c r="AQ88" i="6"/>
  <c r="AR157" i="3"/>
  <c r="AQ157" i="3"/>
  <c r="P84" i="4"/>
  <c r="Q63" i="4"/>
  <c r="AQ51" i="6"/>
  <c r="AQ108" i="6"/>
  <c r="AQ111" i="6"/>
  <c r="AQ73" i="3"/>
  <c r="AR73" i="3"/>
  <c r="AQ61" i="6"/>
  <c r="AQ80" i="6"/>
  <c r="AQ28" i="6"/>
  <c r="Q52" i="4"/>
  <c r="P76" i="4"/>
  <c r="AQ47" i="6"/>
  <c r="AR10" i="3"/>
  <c r="AQ10" i="3"/>
  <c r="AQ5" i="3"/>
  <c r="AR5" i="3"/>
  <c r="AQ111" i="3"/>
  <c r="AR111" i="3"/>
  <c r="AQ20" i="3"/>
  <c r="AR20" i="3"/>
  <c r="P87" i="4"/>
  <c r="Q66" i="4"/>
  <c r="Q49" i="4"/>
  <c r="P73" i="4"/>
  <c r="AQ77" i="6"/>
  <c r="AQ128" i="6"/>
  <c r="AQ102" i="3"/>
  <c r="AR102" i="3"/>
  <c r="AQ43" i="6"/>
  <c r="AQ90" i="6"/>
  <c r="AQ145" i="6"/>
  <c r="AQ58" i="6"/>
  <c r="AR68" i="3"/>
  <c r="AQ68" i="3"/>
  <c r="AQ55" i="6"/>
  <c r="AQ44" i="3"/>
  <c r="AR44" i="3"/>
  <c r="AQ146" i="6"/>
  <c r="AQ88" i="3"/>
  <c r="AR88" i="3"/>
  <c r="AQ117" i="6"/>
  <c r="AR64" i="3"/>
  <c r="AQ64" i="3"/>
  <c r="AR80" i="3"/>
  <c r="AQ80" i="3"/>
  <c r="AQ112" i="6"/>
  <c r="AQ45" i="6"/>
  <c r="AQ106" i="6"/>
  <c r="AQ11" i="3"/>
  <c r="AR11" i="3"/>
  <c r="Q50" i="4"/>
  <c r="P74" i="4"/>
  <c r="AR7" i="3"/>
  <c r="AQ7" i="3"/>
  <c r="AQ94" i="6"/>
  <c r="AR39" i="3"/>
  <c r="AQ39" i="3"/>
  <c r="AQ48" i="6"/>
  <c r="AQ116" i="6"/>
  <c r="AQ57" i="6"/>
  <c r="AQ58" i="3"/>
  <c r="AR58" i="3"/>
  <c r="AQ97" i="6"/>
  <c r="AR83" i="3"/>
  <c r="AQ83" i="3"/>
  <c r="AQ138" i="6"/>
  <c r="AQ122" i="6"/>
  <c r="AQ157" i="6"/>
  <c r="AQ135" i="3"/>
  <c r="AR135" i="3"/>
  <c r="AQ91" i="3"/>
  <c r="AR91" i="3"/>
  <c r="AR47" i="3"/>
  <c r="AQ47" i="3"/>
  <c r="AQ27" i="6"/>
  <c r="AQ13" i="3"/>
  <c r="AR13" i="3"/>
  <c r="AQ86" i="3"/>
  <c r="AR86" i="3"/>
  <c r="AQ140" i="3"/>
  <c r="AR140" i="3"/>
  <c r="AR123" i="3"/>
  <c r="AQ123" i="3"/>
  <c r="AQ75" i="6"/>
  <c r="AQ49" i="3"/>
  <c r="AR49" i="3"/>
  <c r="AR52" i="3"/>
  <c r="AQ52" i="3"/>
  <c r="Q51" i="4"/>
  <c r="P75" i="4"/>
  <c r="AI61" i="4"/>
  <c r="AD61" i="4"/>
  <c r="AQ142" i="6"/>
  <c r="AR74" i="3"/>
  <c r="AQ74" i="3"/>
  <c r="AQ12" i="3"/>
  <c r="AR12" i="3"/>
  <c r="AQ130" i="3"/>
  <c r="AR130" i="3"/>
  <c r="AR98" i="3"/>
  <c r="AQ98" i="3"/>
  <c r="AQ135" i="6"/>
  <c r="AR46" i="3"/>
  <c r="AQ46" i="3"/>
  <c r="Q48" i="4"/>
  <c r="P72" i="4"/>
  <c r="AR27" i="3"/>
  <c r="AQ27" i="3"/>
  <c r="AR28" i="3"/>
  <c r="AQ28" i="3"/>
  <c r="AQ73" i="6"/>
  <c r="AR93" i="3"/>
  <c r="AQ93" i="3"/>
  <c r="AQ33" i="3"/>
  <c r="AR33" i="3"/>
  <c r="AQ121" i="3"/>
  <c r="AR121" i="3"/>
  <c r="AQ129" i="6"/>
  <c r="AQ134" i="6"/>
  <c r="AQ31" i="3"/>
  <c r="AR31" i="3"/>
  <c r="AR108" i="3"/>
  <c r="AQ108" i="3"/>
  <c r="AR77" i="3"/>
  <c r="AQ77" i="3"/>
  <c r="AR71" i="3"/>
  <c r="AQ71" i="3"/>
  <c r="AQ101" i="3"/>
  <c r="AR101" i="3"/>
  <c r="AQ109" i="6"/>
  <c r="AQ38" i="6"/>
  <c r="AR37" i="3"/>
  <c r="AQ37" i="3"/>
  <c r="AQ87" i="3"/>
  <c r="AR87" i="3"/>
  <c r="AQ71" i="6"/>
  <c r="AQ26" i="3"/>
  <c r="AR26" i="3"/>
  <c r="AQ100" i="3"/>
  <c r="AR100" i="3"/>
  <c r="AQ87" i="6"/>
  <c r="AQ90" i="3"/>
  <c r="AR90" i="3"/>
  <c r="AQ104" i="6"/>
  <c r="AQ34" i="6"/>
  <c r="AR67" i="3"/>
  <c r="AQ67" i="3"/>
  <c r="AQ123" i="6"/>
  <c r="AQ118" i="6"/>
  <c r="AQ69" i="6"/>
  <c r="AQ148" i="6"/>
  <c r="AR123" i="6" l="1"/>
  <c r="AX123" i="6" s="1"/>
  <c r="AW123" i="6"/>
  <c r="AW109" i="6"/>
  <c r="AR109" i="6"/>
  <c r="AX109" i="6" s="1"/>
  <c r="AW97" i="6"/>
  <c r="AR97" i="6"/>
  <c r="AX97" i="6" s="1"/>
  <c r="AR116" i="6"/>
  <c r="AX116" i="6" s="1"/>
  <c r="AW116" i="6"/>
  <c r="AI50" i="4"/>
  <c r="AD50" i="4"/>
  <c r="Q74" i="4"/>
  <c r="AW128" i="6"/>
  <c r="AR128" i="6"/>
  <c r="AX128" i="6" s="1"/>
  <c r="AI49" i="4"/>
  <c r="AD49" i="4"/>
  <c r="Q73" i="4"/>
  <c r="AR28" i="6"/>
  <c r="AX28" i="6" s="1"/>
  <c r="AW28" i="6"/>
  <c r="AW61" i="6"/>
  <c r="AR61" i="6"/>
  <c r="AX61" i="6" s="1"/>
  <c r="AW93" i="6"/>
  <c r="AR93" i="6"/>
  <c r="AX93" i="6" s="1"/>
  <c r="AR114" i="6"/>
  <c r="AX114" i="6" s="1"/>
  <c r="AW114" i="6"/>
  <c r="AW92" i="6"/>
  <c r="AR92" i="6"/>
  <c r="AX92" i="6" s="1"/>
  <c r="AW72" i="6"/>
  <c r="AR72" i="6"/>
  <c r="AX72" i="6" s="1"/>
  <c r="AR132" i="6"/>
  <c r="AX132" i="6" s="1"/>
  <c r="AW132" i="6"/>
  <c r="AW68" i="6"/>
  <c r="AR68" i="6"/>
  <c r="AX68" i="6" s="1"/>
  <c r="AQ62" i="6"/>
  <c r="AR133" i="6"/>
  <c r="AX133" i="6" s="1"/>
  <c r="AW133" i="6"/>
  <c r="AR52" i="6"/>
  <c r="AX52" i="6" s="1"/>
  <c r="AW52" i="6"/>
  <c r="AW104" i="6"/>
  <c r="AR104" i="6"/>
  <c r="AX104" i="6" s="1"/>
  <c r="AR112" i="6"/>
  <c r="AX112" i="6" s="1"/>
  <c r="AW112" i="6"/>
  <c r="Q87" i="4"/>
  <c r="AI66" i="4"/>
  <c r="AD66" i="4"/>
  <c r="AR88" i="6"/>
  <c r="AX88" i="6" s="1"/>
  <c r="AW88" i="6"/>
  <c r="AW79" i="6"/>
  <c r="AR79" i="6"/>
  <c r="AX79" i="6" s="1"/>
  <c r="AR158" i="6"/>
  <c r="AX158" i="6" s="1"/>
  <c r="AW158" i="6"/>
  <c r="AW54" i="6"/>
  <c r="AR54" i="6"/>
  <c r="AX54" i="6" s="1"/>
  <c r="AR110" i="6"/>
  <c r="AX110" i="6" s="1"/>
  <c r="AW110" i="6"/>
  <c r="AW153" i="6"/>
  <c r="AR153" i="6"/>
  <c r="AX153" i="6" s="1"/>
  <c r="AW35" i="6"/>
  <c r="AR35" i="6"/>
  <c r="AX35" i="6" s="1"/>
  <c r="AW60" i="6"/>
  <c r="AR60" i="6"/>
  <c r="AX60" i="6" s="1"/>
  <c r="AR44" i="6"/>
  <c r="AX44" i="6" s="1"/>
  <c r="AW44" i="6"/>
  <c r="AR42" i="6"/>
  <c r="AX42" i="6" s="1"/>
  <c r="AW42" i="6"/>
  <c r="AR124" i="6"/>
  <c r="AX124" i="6" s="1"/>
  <c r="AW124" i="6"/>
  <c r="AR49" i="6"/>
  <c r="AX49" i="6" s="1"/>
  <c r="AW49" i="6"/>
  <c r="AQ136" i="3"/>
  <c r="AR136" i="3"/>
  <c r="AR74" i="6"/>
  <c r="AX74" i="6" s="1"/>
  <c r="AW74" i="6"/>
  <c r="AW113" i="6"/>
  <c r="AR113" i="6"/>
  <c r="AX113" i="6" s="1"/>
  <c r="AW164" i="6"/>
  <c r="AR164" i="6"/>
  <c r="AX164" i="6" s="1"/>
  <c r="AR69" i="6"/>
  <c r="AX69" i="6" s="1"/>
  <c r="AW69" i="6"/>
  <c r="AW51" i="6"/>
  <c r="AR51" i="6"/>
  <c r="AX51" i="6" s="1"/>
  <c r="AR135" i="6"/>
  <c r="AX135" i="6" s="1"/>
  <c r="AW135" i="6"/>
  <c r="AW27" i="6"/>
  <c r="AR27" i="6"/>
  <c r="AX27" i="6" s="1"/>
  <c r="AW138" i="6"/>
  <c r="AR138" i="6"/>
  <c r="AX138" i="6" s="1"/>
  <c r="AR57" i="6"/>
  <c r="AX57" i="6" s="1"/>
  <c r="AW57" i="6"/>
  <c r="AW48" i="6"/>
  <c r="AR48" i="6"/>
  <c r="AX48" i="6" s="1"/>
  <c r="AR58" i="6"/>
  <c r="AX58" i="6" s="1"/>
  <c r="AW58" i="6"/>
  <c r="AR145" i="6"/>
  <c r="AX145" i="6" s="1"/>
  <c r="AW145" i="6"/>
  <c r="AW43" i="6"/>
  <c r="AR43" i="6"/>
  <c r="AX43" i="6" s="1"/>
  <c r="AR56" i="6"/>
  <c r="AX56" i="6" s="1"/>
  <c r="AW56" i="6"/>
  <c r="AR102" i="6"/>
  <c r="AX102" i="6" s="1"/>
  <c r="AW102" i="6"/>
  <c r="AW100" i="6"/>
  <c r="AR100" i="6"/>
  <c r="AX100" i="6" s="1"/>
  <c r="AW150" i="6"/>
  <c r="AR150" i="6"/>
  <c r="AX150" i="6" s="1"/>
  <c r="AR86" i="6"/>
  <c r="AX86" i="6" s="1"/>
  <c r="AW86" i="6"/>
  <c r="AR64" i="6"/>
  <c r="AX64" i="6" s="1"/>
  <c r="AW64" i="6"/>
  <c r="AD54" i="4"/>
  <c r="AI54" i="4"/>
  <c r="Q78" i="4"/>
  <c r="AD64" i="4"/>
  <c r="Q85" i="4"/>
  <c r="AI64" i="4"/>
  <c r="AO16" i="3"/>
  <c r="T81" i="6"/>
  <c r="AK81" i="6" s="1"/>
  <c r="AP81" i="6" s="1"/>
  <c r="AO137" i="3"/>
  <c r="AO15" i="3"/>
  <c r="T63" i="6"/>
  <c r="AK63" i="6" s="1"/>
  <c r="AP63" i="6" s="1"/>
  <c r="T82" i="6"/>
  <c r="AK82" i="6" s="1"/>
  <c r="AP82" i="6" s="1"/>
  <c r="P60" i="4"/>
  <c r="P83" i="4" s="1"/>
  <c r="P88" i="4" s="1"/>
  <c r="AW98" i="6"/>
  <c r="AR98" i="6"/>
  <c r="AX98" i="6" s="1"/>
  <c r="AR107" i="6"/>
  <c r="AX107" i="6" s="1"/>
  <c r="AW107" i="6"/>
  <c r="AW162" i="6"/>
  <c r="AR162" i="6"/>
  <c r="AX162" i="6" s="1"/>
  <c r="AW157" i="6"/>
  <c r="AR157" i="6"/>
  <c r="AX157" i="6" s="1"/>
  <c r="AW94" i="6"/>
  <c r="AR94" i="6"/>
  <c r="AX94" i="6" s="1"/>
  <c r="AW77" i="6"/>
  <c r="AR77" i="6"/>
  <c r="AX77" i="6" s="1"/>
  <c r="AR111" i="6"/>
  <c r="AX111" i="6" s="1"/>
  <c r="AW111" i="6"/>
  <c r="Q84" i="4"/>
  <c r="AI63" i="4"/>
  <c r="AD63" i="4"/>
  <c r="AR160" i="6"/>
  <c r="AX160" i="6" s="1"/>
  <c r="AW160" i="6"/>
  <c r="AR161" i="6"/>
  <c r="AX161" i="6" s="1"/>
  <c r="AW161" i="6"/>
  <c r="AW151" i="6"/>
  <c r="AR151" i="6"/>
  <c r="AX151" i="6" s="1"/>
  <c r="AW163" i="6"/>
  <c r="AR163" i="6"/>
  <c r="AX163" i="6" s="1"/>
  <c r="AW120" i="6"/>
  <c r="AR120" i="6"/>
  <c r="AX120" i="6" s="1"/>
  <c r="AR41" i="6"/>
  <c r="AX41" i="6" s="1"/>
  <c r="AW41" i="6"/>
  <c r="AR103" i="6"/>
  <c r="AX103" i="6" s="1"/>
  <c r="AW103" i="6"/>
  <c r="AW155" i="6"/>
  <c r="AR155" i="6"/>
  <c r="AX155" i="6" s="1"/>
  <c r="AR91" i="6"/>
  <c r="AX91" i="6" s="1"/>
  <c r="AW91" i="6"/>
  <c r="AW36" i="6"/>
  <c r="AR36" i="6"/>
  <c r="AX36" i="6" s="1"/>
  <c r="Q81" i="4"/>
  <c r="AD57" i="4"/>
  <c r="AI57" i="4"/>
  <c r="AD53" i="4"/>
  <c r="AI53" i="4"/>
  <c r="Q77" i="4"/>
  <c r="AR105" i="6"/>
  <c r="AX105" i="6" s="1"/>
  <c r="AW105" i="6"/>
  <c r="AW90" i="6"/>
  <c r="AR90" i="6"/>
  <c r="AX90" i="6" s="1"/>
  <c r="AR30" i="6"/>
  <c r="AX30" i="6" s="1"/>
  <c r="AW30" i="6"/>
  <c r="AR165" i="6"/>
  <c r="AX165" i="6" s="1"/>
  <c r="AW165" i="6"/>
  <c r="AW47" i="6"/>
  <c r="AR47" i="6"/>
  <c r="AX47" i="6" s="1"/>
  <c r="AR80" i="6"/>
  <c r="AX80" i="6" s="1"/>
  <c r="AW80" i="6"/>
  <c r="AW50" i="6"/>
  <c r="AR50" i="6"/>
  <c r="AX50" i="6" s="1"/>
  <c r="AR149" i="6"/>
  <c r="AX149" i="6" s="1"/>
  <c r="AW149" i="6"/>
  <c r="AR139" i="6"/>
  <c r="AX139" i="6" s="1"/>
  <c r="AW139" i="6"/>
  <c r="AR95" i="6"/>
  <c r="AX95" i="6" s="1"/>
  <c r="AW95" i="6"/>
  <c r="AR70" i="6"/>
  <c r="AX70" i="6" s="1"/>
  <c r="AW70" i="6"/>
  <c r="AR154" i="6"/>
  <c r="AX154" i="6" s="1"/>
  <c r="AW154" i="6"/>
  <c r="AW83" i="6"/>
  <c r="AR83" i="6"/>
  <c r="AX83" i="6" s="1"/>
  <c r="AW129" i="6"/>
  <c r="AR129" i="6"/>
  <c r="AX129" i="6" s="1"/>
  <c r="AW117" i="6"/>
  <c r="AR117" i="6"/>
  <c r="AX117" i="6" s="1"/>
  <c r="AW156" i="6"/>
  <c r="AR156" i="6"/>
  <c r="AX156" i="6" s="1"/>
  <c r="AW152" i="6"/>
  <c r="AR152" i="6"/>
  <c r="AX152" i="6" s="1"/>
  <c r="AW115" i="6"/>
  <c r="AR115" i="6"/>
  <c r="AX115" i="6" s="1"/>
  <c r="AW40" i="6"/>
  <c r="AR40" i="6"/>
  <c r="AX40" i="6" s="1"/>
  <c r="AW140" i="6"/>
  <c r="AR140" i="6"/>
  <c r="AX140" i="6" s="1"/>
  <c r="AR118" i="6"/>
  <c r="AX118" i="6" s="1"/>
  <c r="AW118" i="6"/>
  <c r="AR148" i="6"/>
  <c r="AX148" i="6" s="1"/>
  <c r="AW148" i="6"/>
  <c r="AR73" i="6"/>
  <c r="AX73" i="6" s="1"/>
  <c r="AW73" i="6"/>
  <c r="AD48" i="4"/>
  <c r="AI48" i="4"/>
  <c r="Q72" i="4"/>
  <c r="AR106" i="6"/>
  <c r="AX106" i="6" s="1"/>
  <c r="AW106" i="6"/>
  <c r="AW146" i="6"/>
  <c r="AR146" i="6"/>
  <c r="AX146" i="6" s="1"/>
  <c r="AR34" i="6"/>
  <c r="AX34" i="6" s="1"/>
  <c r="AW34" i="6"/>
  <c r="AW87" i="6"/>
  <c r="AR87" i="6"/>
  <c r="AX87" i="6" s="1"/>
  <c r="AR71" i="6"/>
  <c r="AX71" i="6" s="1"/>
  <c r="AW71" i="6"/>
  <c r="AR38" i="6"/>
  <c r="AX38" i="6" s="1"/>
  <c r="AW38" i="6"/>
  <c r="Q75" i="4"/>
  <c r="AI51" i="4"/>
  <c r="AD51" i="4"/>
  <c r="AW45" i="6"/>
  <c r="AR45" i="6"/>
  <c r="AX45" i="6" s="1"/>
  <c r="AW108" i="6"/>
  <c r="AR108" i="6"/>
  <c r="AX108" i="6" s="1"/>
  <c r="AW159" i="6"/>
  <c r="AR159" i="6"/>
  <c r="AX159" i="6" s="1"/>
  <c r="AR66" i="6"/>
  <c r="AX66" i="6" s="1"/>
  <c r="AW66" i="6"/>
  <c r="AR76" i="6"/>
  <c r="AX76" i="6" s="1"/>
  <c r="AW76" i="6"/>
  <c r="AR119" i="6"/>
  <c r="AX119" i="6" s="1"/>
  <c r="AW119" i="6"/>
  <c r="AR125" i="6"/>
  <c r="AX125" i="6" s="1"/>
  <c r="AW125" i="6"/>
  <c r="AR137" i="6"/>
  <c r="AX137" i="6" s="1"/>
  <c r="AW137" i="6"/>
  <c r="AR65" i="6"/>
  <c r="AX65" i="6" s="1"/>
  <c r="AW65" i="6"/>
  <c r="AR96" i="6"/>
  <c r="AX96" i="6" s="1"/>
  <c r="AW96" i="6"/>
  <c r="Q59" i="4"/>
  <c r="AR143" i="6"/>
  <c r="AX143" i="6" s="1"/>
  <c r="AW143" i="6"/>
  <c r="AR101" i="6"/>
  <c r="AX101" i="6" s="1"/>
  <c r="AW101" i="6"/>
  <c r="AW31" i="6"/>
  <c r="AR31" i="6"/>
  <c r="AX31" i="6" s="1"/>
  <c r="AR29" i="6"/>
  <c r="AX29" i="6" s="1"/>
  <c r="AW29" i="6"/>
  <c r="Q86" i="4"/>
  <c r="AI65" i="4"/>
  <c r="AD65" i="4"/>
  <c r="AR84" i="6"/>
  <c r="AX84" i="6" s="1"/>
  <c r="AW84" i="6"/>
  <c r="AW67" i="6"/>
  <c r="AR67" i="6"/>
  <c r="AX67" i="6" s="1"/>
  <c r="AR134" i="6"/>
  <c r="AX134" i="6" s="1"/>
  <c r="AW134" i="6"/>
  <c r="AR142" i="6"/>
  <c r="AX142" i="6" s="1"/>
  <c r="AW142" i="6"/>
  <c r="AW75" i="6"/>
  <c r="AR75" i="6"/>
  <c r="AX75" i="6" s="1"/>
  <c r="AR122" i="6"/>
  <c r="AX122" i="6" s="1"/>
  <c r="AW122" i="6"/>
  <c r="AW55" i="6"/>
  <c r="AR55" i="6"/>
  <c r="AX55" i="6" s="1"/>
  <c r="AI52" i="4"/>
  <c r="AD52" i="4"/>
  <c r="Q76" i="4"/>
  <c r="AI55" i="4"/>
  <c r="AD55" i="4"/>
  <c r="Q79" i="4"/>
  <c r="Q82" i="4"/>
  <c r="AI58" i="4"/>
  <c r="AD58" i="4"/>
  <c r="AR89" i="6"/>
  <c r="AX89" i="6" s="1"/>
  <c r="AW89" i="6"/>
  <c r="AR130" i="6"/>
  <c r="AX130" i="6" s="1"/>
  <c r="AW130" i="6"/>
  <c r="AW85" i="6"/>
  <c r="AR85" i="6"/>
  <c r="AX85" i="6" s="1"/>
  <c r="AR33" i="6"/>
  <c r="AX33" i="6" s="1"/>
  <c r="AW33" i="6"/>
  <c r="AW99" i="6"/>
  <c r="AR99" i="6"/>
  <c r="AX99" i="6" s="1"/>
  <c r="AW39" i="6"/>
  <c r="AR39" i="6"/>
  <c r="AX39" i="6" s="1"/>
  <c r="AW127" i="6"/>
  <c r="AR127" i="6"/>
  <c r="AX127" i="6" s="1"/>
  <c r="AW78" i="6"/>
  <c r="AR78" i="6"/>
  <c r="AX78" i="6" s="1"/>
  <c r="AR137" i="3" l="1"/>
  <c r="AQ137" i="3"/>
  <c r="AQ198" i="3" s="1"/>
  <c r="AO198" i="3"/>
  <c r="AO206" i="3"/>
  <c r="AI81" i="4"/>
  <c r="AQ63" i="6"/>
  <c r="AI79" i="4"/>
  <c r="AR15" i="3"/>
  <c r="AQ15" i="3"/>
  <c r="AO207" i="3"/>
  <c r="AO199" i="3"/>
  <c r="AI74" i="4"/>
  <c r="AI85" i="4"/>
  <c r="AI76" i="4"/>
  <c r="AI75" i="4"/>
  <c r="AQ81" i="6"/>
  <c r="AR62" i="6"/>
  <c r="AX62" i="6" s="1"/>
  <c r="AW62" i="6"/>
  <c r="AI72" i="4"/>
  <c r="AQ16" i="3"/>
  <c r="AR16" i="3"/>
  <c r="AI59" i="4"/>
  <c r="AD59" i="4"/>
  <c r="AI82" i="4"/>
  <c r="AI86" i="4"/>
  <c r="Q60" i="4"/>
  <c r="Q67" i="4" s="1"/>
  <c r="P67" i="4"/>
  <c r="AI78" i="4"/>
  <c r="AI87" i="4"/>
  <c r="AI73" i="4"/>
  <c r="AI77" i="4"/>
  <c r="AI84" i="4"/>
  <c r="AQ82" i="6"/>
  <c r="Q83" i="4" l="1"/>
  <c r="Q88" i="4" s="1"/>
  <c r="AQ206" i="3"/>
  <c r="AO209" i="3"/>
  <c r="AQ199" i="3"/>
  <c r="AQ201" i="3" s="1"/>
  <c r="AQ207" i="3"/>
  <c r="AQ163" i="3"/>
  <c r="AQ193" i="3" s="1"/>
  <c r="AR207" i="3"/>
  <c r="AR163" i="3"/>
  <c r="AR199" i="3"/>
  <c r="AR63" i="6"/>
  <c r="AX63" i="6" s="1"/>
  <c r="AW63" i="6"/>
  <c r="AO201" i="3"/>
  <c r="AI60" i="4"/>
  <c r="AD60" i="4"/>
  <c r="AD67" i="4" s="1"/>
  <c r="AR206" i="3"/>
  <c r="AR198" i="3"/>
  <c r="AR82" i="6"/>
  <c r="AX82" i="6" s="1"/>
  <c r="AW82" i="6"/>
  <c r="AW81" i="6"/>
  <c r="AR81" i="6"/>
  <c r="AX81" i="6" s="1"/>
  <c r="AR193" i="3" l="1"/>
  <c r="AI83" i="4"/>
  <c r="AQ209" i="3"/>
  <c r="Q91" i="4"/>
  <c r="AR209" i="3"/>
  <c r="Q89" i="4"/>
  <c r="AR201" i="3"/>
  <c r="AR195" i="3" l="1"/>
</calcChain>
</file>

<file path=xl/sharedStrings.xml><?xml version="1.0" encoding="utf-8"?>
<sst xmlns="http://schemas.openxmlformats.org/spreadsheetml/2006/main" count="3291" uniqueCount="318">
  <si>
    <t>Florida Public Service Commission</t>
  </si>
  <si>
    <t>Gas Class Cost of Service Study</t>
  </si>
  <si>
    <t>Test Year Ended Dec 31, 2023</t>
  </si>
  <si>
    <t>No.</t>
  </si>
  <si>
    <t>Proposed Customer Class</t>
  </si>
  <si>
    <t>Customer Count</t>
  </si>
  <si>
    <t>Consolidated Weighted Average Bill Change $</t>
  </si>
  <si>
    <t>Consolidated Weighted Average Bill Change %</t>
  </si>
  <si>
    <t>Residential - 1</t>
  </si>
  <si>
    <t>Residential - 2</t>
  </si>
  <si>
    <t>Residential Standby Generator</t>
  </si>
  <si>
    <t>General Service - 1</t>
  </si>
  <si>
    <t>General Service - 2</t>
  </si>
  <si>
    <t>General Service - 3</t>
  </si>
  <si>
    <t>General Service - 4</t>
  </si>
  <si>
    <t>General Service - 5</t>
  </si>
  <si>
    <t>General Service - 6</t>
  </si>
  <si>
    <t>General Service - 7</t>
  </si>
  <si>
    <t>Commercial - Interruptible</t>
  </si>
  <si>
    <t>Commercial - NGV</t>
  </si>
  <si>
    <t>Commercial - Outdoor Lighting</t>
  </si>
  <si>
    <t>Commercial Standby Generator</t>
  </si>
  <si>
    <t>Net Revenue Increase</t>
  </si>
  <si>
    <t xml:space="preserve">Proposed </t>
  </si>
  <si>
    <t>Rate Design</t>
  </si>
  <si>
    <t>Code</t>
  </si>
  <si>
    <t>Annual Usage Req</t>
  </si>
  <si>
    <t>Bill Count</t>
  </si>
  <si>
    <t>Billing Determinants</t>
  </si>
  <si>
    <t>Proposed Customer Charge</t>
  </si>
  <si>
    <t>Proposed VM Charge rounded</t>
  </si>
  <si>
    <t>Proposed VM Charge</t>
  </si>
  <si>
    <t>CC Revenue w/Proposed Increase</t>
  </si>
  <si>
    <t>VM Revenue w/Proposed Increase</t>
  </si>
  <si>
    <t>Total</t>
  </si>
  <si>
    <t>Current CC Revenue</t>
  </si>
  <si>
    <t>Current VM Revenue</t>
  </si>
  <si>
    <t>GRIP Revenue</t>
  </si>
  <si>
    <t>Total Current Revenue</t>
  </si>
  <si>
    <t>&lt; = 100</t>
  </si>
  <si>
    <t>RES-1</t>
  </si>
  <si>
    <t>&gt; 100 &lt; = 250</t>
  </si>
  <si>
    <t>RES-2</t>
  </si>
  <si>
    <t>&gt; 250</t>
  </si>
  <si>
    <t>RES-SG</t>
  </si>
  <si>
    <t>n/a</t>
  </si>
  <si>
    <t>&lt; = 1000</t>
  </si>
  <si>
    <t>GS-1</t>
  </si>
  <si>
    <t>&gt; 1000 &lt; = 5,000</t>
  </si>
  <si>
    <t>GS-2</t>
  </si>
  <si>
    <t>&gt; 5,000 &lt; = 10,000</t>
  </si>
  <si>
    <t>GS-3</t>
  </si>
  <si>
    <t>&gt; 10,000 &lt; = 50,000</t>
  </si>
  <si>
    <t>GS-4</t>
  </si>
  <si>
    <t>&gt; 50,000 &lt; = 250,000</t>
  </si>
  <si>
    <t>GS-5</t>
  </si>
  <si>
    <t>&gt; 250,000 &lt; = 500,000</t>
  </si>
  <si>
    <t>GS-6</t>
  </si>
  <si>
    <t>&gt; 500,000 &lt; = 1,000,000</t>
  </si>
  <si>
    <t>GS-7</t>
  </si>
  <si>
    <t>&gt; 1,000,000</t>
  </si>
  <si>
    <t>COM - INT</t>
  </si>
  <si>
    <t>COM - NGV</t>
  </si>
  <si>
    <t>COM - OL</t>
  </si>
  <si>
    <t>COM-SG</t>
  </si>
  <si>
    <t>Values</t>
  </si>
  <si>
    <t>Proposed Code Sort</t>
  </si>
  <si>
    <t>Customer Class</t>
  </si>
  <si>
    <t>Sum of Customer Count</t>
  </si>
  <si>
    <t>Sum of Current Customer Charge (CC)</t>
  </si>
  <si>
    <t>Sum of Proposed Customer Charge (CC)</t>
  </si>
  <si>
    <t>Sum of Proposed VM Charge</t>
  </si>
  <si>
    <t>FPUC - Residential Service</t>
  </si>
  <si>
    <t>CFG - Firm Transportation Service - 1 Residential</t>
  </si>
  <si>
    <t>CFG - Firm Transportation Service - B Residential</t>
  </si>
  <si>
    <t>CFG - Firm Transportation Service - A Residential</t>
  </si>
  <si>
    <t>Ft. Meade - Residential Service</t>
  </si>
  <si>
    <t>Indiantown - Transportation Service 1</t>
  </si>
  <si>
    <t>CFG - Firm Transportation Service - 2 Residential</t>
  </si>
  <si>
    <t>CFG - Firm Transportation Service - 1 (Fixed Residential)</t>
  </si>
  <si>
    <t>CFG - Firm Transportation Service - A (Fixed Residential)</t>
  </si>
  <si>
    <t>CFG - Firm Transportation Service - B (Fixed Residential)</t>
  </si>
  <si>
    <t>CFG - Firm Transportation Service - 2.1 Residential</t>
  </si>
  <si>
    <t>CFG - Firm Transportation Service - 2 (Fixed Residential)</t>
  </si>
  <si>
    <t>CFG - Firm Transportation Service - 3 Residential</t>
  </si>
  <si>
    <t>CFG - Firm Transportation Service - 2.1 (Fixed Residential)</t>
  </si>
  <si>
    <t>FPUC - Residential Standby Generator Service</t>
  </si>
  <si>
    <t>FPUC - General Service - 2</t>
  </si>
  <si>
    <t>FPUC - General Service-1</t>
  </si>
  <si>
    <t>CFG - Firm Transportation Service - 1 Non-Residential</t>
  </si>
  <si>
    <t>CFG - Firm Transportation Service - 2 Non-Residential</t>
  </si>
  <si>
    <t>FPUC - Large Volume Service</t>
  </si>
  <si>
    <t>CFG - Firm Transportation Service - 2.1 Non-Residential</t>
  </si>
  <si>
    <t>FPUC - General Transportation Service -1</t>
  </si>
  <si>
    <t>FPUC - General Transportation Service-2</t>
  </si>
  <si>
    <t>CFG - Firm Transportation Service - 1 (Fixed Non-Residential)</t>
  </si>
  <si>
    <t>FPUC - Large Volume Transportation Service</t>
  </si>
  <si>
    <t>CFG - Firm Transportation Service - 3 Non-Residential</t>
  </si>
  <si>
    <t>Ft. Meade - General Service-1</t>
  </si>
  <si>
    <t>CFG - Firm Transportation Service - 3.1 Non-Residential</t>
  </si>
  <si>
    <t>CFG - Firm Transportation Service - 4</t>
  </si>
  <si>
    <t>Indiantown - Transportation Service 2</t>
  </si>
  <si>
    <t>CFG - Firm Transportation Service - A Non-Residential</t>
  </si>
  <si>
    <t>CFG - Firm Transportation Service - 2 (Fixed Non-Residential)</t>
  </si>
  <si>
    <t>CFG - Firm Transportation Service - B Non-Residential</t>
  </si>
  <si>
    <t>CFG - Firm Transportation Service - 5</t>
  </si>
  <si>
    <t>Ft. Meade - General Transportation Service-1</t>
  </si>
  <si>
    <t>CFG - Firm Transportation Service - 2.1 (Fixed Non-Residential)</t>
  </si>
  <si>
    <t>CFG - Firm Transportation Service - B (Fixed Non-Residential)</t>
  </si>
  <si>
    <t>CFG - Firm Transportation Service - 3 (Fixed Non-Residential)</t>
  </si>
  <si>
    <t>CFG - Firm Transportation Service - 6</t>
  </si>
  <si>
    <t>CFG - Firm Transportation Service - 3.1 (Fixed Non-Residential)</t>
  </si>
  <si>
    <t>Indiantown - Transportation Service 3</t>
  </si>
  <si>
    <t>CFG - Firm Transportation Service - 7</t>
  </si>
  <si>
    <t>Ft. Meade - Large Volume Service</t>
  </si>
  <si>
    <t>CFG - Firm Transportation Service - 9</t>
  </si>
  <si>
    <t>Ft. Meade - Large Volume Transportation Service</t>
  </si>
  <si>
    <t>FPUC - Interruptible Transportation Service (ITS)</t>
  </si>
  <si>
    <t>CFG - Firm Transportation Service - 8</t>
  </si>
  <si>
    <t>CFG - Firm Transportation Service - 12</t>
  </si>
  <si>
    <t>CFG - Firm Transportation Service - 10</t>
  </si>
  <si>
    <t>CFG - Firm Transportation Service - 11</t>
  </si>
  <si>
    <t>FPUC - Natural Gas Vehicle Transportation Service</t>
  </si>
  <si>
    <t>CFG - Firm Transportation Service - NGV</t>
  </si>
  <si>
    <t>FPUC - Gas Lighting Service</t>
  </si>
  <si>
    <t>FPUC - Commercial Standby Generator Service</t>
  </si>
  <si>
    <t>Grand Total</t>
  </si>
  <si>
    <t>Customer Bill Impact Details</t>
  </si>
  <si>
    <t>Current Monthly Bill</t>
  </si>
  <si>
    <t>Proposed Consolidated Monthly Bill Impact</t>
  </si>
  <si>
    <t>Division</t>
  </si>
  <si>
    <t>Customer Type</t>
  </si>
  <si>
    <t>Rate Code</t>
  </si>
  <si>
    <t>Proposed Code</t>
  </si>
  <si>
    <t>Lookup</t>
  </si>
  <si>
    <t>Current Customer Charge (CC)</t>
  </si>
  <si>
    <t>Proposed Customer Charge (CC)</t>
  </si>
  <si>
    <t>x</t>
  </si>
  <si>
    <t>Current VM Charge</t>
  </si>
  <si>
    <t>GRIP Rate</t>
  </si>
  <si>
    <t>Conservation Rate</t>
  </si>
  <si>
    <t>PGA rate</t>
  </si>
  <si>
    <t>SWING Rate</t>
  </si>
  <si>
    <t xml:space="preserve"> Customer Charge (CC)</t>
  </si>
  <si>
    <t>VM Charge</t>
  </si>
  <si>
    <t xml:space="preserve">GRIP </t>
  </si>
  <si>
    <t>Total Bill</t>
  </si>
  <si>
    <t>Conservation</t>
  </si>
  <si>
    <t>PGA</t>
  </si>
  <si>
    <t>SWING</t>
  </si>
  <si>
    <t>% To total Customer Count</t>
  </si>
  <si>
    <t>Indiantown</t>
  </si>
  <si>
    <t>Residential</t>
  </si>
  <si>
    <t>TS-1</t>
  </si>
  <si>
    <t>FI</t>
  </si>
  <si>
    <t>Commercial</t>
  </si>
  <si>
    <t>TS-2</t>
  </si>
  <si>
    <t>TS-3</t>
  </si>
  <si>
    <t xml:space="preserve">Ft. Meade </t>
  </si>
  <si>
    <t>FT</t>
  </si>
  <si>
    <t>GSTS1</t>
  </si>
  <si>
    <t>LVS</t>
  </si>
  <si>
    <t>LVTS</t>
  </si>
  <si>
    <t>RS</t>
  </si>
  <si>
    <t>FPUC</t>
  </si>
  <si>
    <t>CS-GS</t>
  </si>
  <si>
    <t>FN</t>
  </si>
  <si>
    <t>GLS</t>
  </si>
  <si>
    <t>GSTS2</t>
  </si>
  <si>
    <t>ITS</t>
  </si>
  <si>
    <t>NGVTS</t>
  </si>
  <si>
    <t>RS-GS</t>
  </si>
  <si>
    <t>CFG</t>
  </si>
  <si>
    <t>FTS-1</t>
  </si>
  <si>
    <t>CF</t>
  </si>
  <si>
    <t>FTS10</t>
  </si>
  <si>
    <t>FTS11</t>
  </si>
  <si>
    <t>FTS12</t>
  </si>
  <si>
    <t>FTS-2</t>
  </si>
  <si>
    <t>FTS21</t>
  </si>
  <si>
    <t>FTS-3</t>
  </si>
  <si>
    <t>FTS31</t>
  </si>
  <si>
    <t>FTS-4</t>
  </si>
  <si>
    <t>FTS-5</t>
  </si>
  <si>
    <t>FTS-6</t>
  </si>
  <si>
    <t>FTS-7</t>
  </si>
  <si>
    <t>FTS-8</t>
  </si>
  <si>
    <t>FTS-9</t>
  </si>
  <si>
    <t>FTS-A</t>
  </si>
  <si>
    <t>FTS-B</t>
  </si>
  <si>
    <t>NVS</t>
  </si>
  <si>
    <t>Applicability</t>
  </si>
  <si>
    <t>GRIP</t>
  </si>
  <si>
    <t>Cust Count</t>
  </si>
  <si>
    <t>2023 Bills Rounded</t>
  </si>
  <si>
    <t>2023 Bills</t>
  </si>
  <si>
    <t>2023 Billing Determinants</t>
  </si>
  <si>
    <t>Customer Charge Revenue</t>
  </si>
  <si>
    <t>Energy Revenue</t>
  </si>
  <si>
    <t>Misc Rev</t>
  </si>
  <si>
    <t>Adjustments</t>
  </si>
  <si>
    <t>Adjusted</t>
  </si>
  <si>
    <t>Subtotal</t>
  </si>
  <si>
    <t>SPECIAL CONTRACTS</t>
  </si>
  <si>
    <t>TOTAL MISC. REVENUES</t>
  </si>
  <si>
    <t>REVENUE TAXES</t>
  </si>
  <si>
    <t>TRANSPORTATION ADMIN</t>
  </si>
  <si>
    <t>TELEMETRY REVENUES</t>
  </si>
  <si>
    <t>SHIPPER ADMINISTRATION CHARGE</t>
  </si>
  <si>
    <t>MISCELLANEOUS SERVICE REVENUE</t>
  </si>
  <si>
    <t>AEP REVENUES</t>
  </si>
  <si>
    <t>BILLS</t>
  </si>
  <si>
    <t>THERMS</t>
  </si>
  <si>
    <t>CUSTOMER CHARGE</t>
  </si>
  <si>
    <t>ENERGY CHARGE</t>
  </si>
  <si>
    <t>TRANSPORTATION CHARGE</t>
  </si>
  <si>
    <t>CONSERVATION</t>
  </si>
  <si>
    <t>Adjust</t>
  </si>
  <si>
    <t>GRIP Rates</t>
  </si>
  <si>
    <t>GSTS-1</t>
  </si>
  <si>
    <t>GSTS-2</t>
  </si>
  <si>
    <t>IS</t>
  </si>
  <si>
    <t>GLTS</t>
  </si>
  <si>
    <t>NGVS</t>
  </si>
  <si>
    <t>G2-7</t>
  </si>
  <si>
    <t>Diff</t>
  </si>
  <si>
    <t>FTS-1 (Fixed)</t>
  </si>
  <si>
    <t>FTS-10</t>
  </si>
  <si>
    <t>FTS-11</t>
  </si>
  <si>
    <t>FTS-12</t>
  </si>
  <si>
    <t>FTS-2 (Fixed)</t>
  </si>
  <si>
    <t>FTS-2.1</t>
  </si>
  <si>
    <t>FTS-2.1 (Fixed)</t>
  </si>
  <si>
    <t>FTS-3 (Fixed)</t>
  </si>
  <si>
    <t>FTS-3.1</t>
  </si>
  <si>
    <t>FTS-3.1 (Fixed)</t>
  </si>
  <si>
    <t>FTS-A (Fixed)</t>
  </si>
  <si>
    <t xml:space="preserve">FTS-B </t>
  </si>
  <si>
    <t>FTS-B (Fixed)</t>
  </si>
  <si>
    <t>OS-DPO</t>
  </si>
  <si>
    <t>SABS</t>
  </si>
  <si>
    <t>TS-1  &lt;1,000</t>
  </si>
  <si>
    <t>TS-2  &gt;1,000 &lt;15,000</t>
  </si>
  <si>
    <t>TS-3  &gt;15,000 &lt;100,000</t>
  </si>
  <si>
    <t>COMMERCIAL SMALL (GS1)</t>
  </si>
  <si>
    <t>COMMERCIAL TRANSPORTATION (GSTS-1)</t>
  </si>
  <si>
    <t>LARGE VOLUME SERVICE (LVS)</t>
  </si>
  <si>
    <t>LARGE VOLUME TRANSPORTATION SERVICE (LVTS)</t>
  </si>
  <si>
    <t>Equal Increase</t>
  </si>
  <si>
    <t>Proposed Increase</t>
  </si>
  <si>
    <t>Mitigation</t>
  </si>
  <si>
    <t>Rate Recovery</t>
  </si>
  <si>
    <t>Proposed Parity Ratio</t>
  </si>
  <si>
    <t>Sum of Total Bill</t>
  </si>
  <si>
    <t>&gt; 100,000</t>
  </si>
  <si>
    <t>Sum of Consolidated Weighted Average Bill Change %</t>
  </si>
  <si>
    <t>Sum of Consolidated Weighted Average Bill Change $</t>
  </si>
  <si>
    <t>CF &amp; FN</t>
  </si>
  <si>
    <t>Sum of Total Bill2</t>
  </si>
  <si>
    <t>Rate Division</t>
  </si>
  <si>
    <t>Current VM Charge + GRIP</t>
  </si>
  <si>
    <t>Sum of Current VM Charge + GRIP</t>
  </si>
  <si>
    <t>Total Current Monthly Bill</t>
  </si>
  <si>
    <t>Total Proposed Monthly Bill</t>
  </si>
  <si>
    <t>Bill Change $</t>
  </si>
  <si>
    <t>Bill Change %</t>
  </si>
  <si>
    <t>Residential - 3</t>
  </si>
  <si>
    <t>General Service - 8</t>
  </si>
  <si>
    <t>RES-3</t>
  </si>
  <si>
    <t>GS-8</t>
  </si>
  <si>
    <t>&gt; 1,000,000 &lt; = 1,500,000</t>
  </si>
  <si>
    <t>&gt; 1,500,000 &lt; = 2,000,000</t>
  </si>
  <si>
    <t>General Service - 8 - A</t>
  </si>
  <si>
    <t>General Service - 8 - B</t>
  </si>
  <si>
    <t>General Service - 8 - C</t>
  </si>
  <si>
    <t>Proposed Group Code</t>
  </si>
  <si>
    <t>Proposed Customer Croup</t>
  </si>
  <si>
    <t>GS-8-A</t>
  </si>
  <si>
    <t>GS-8-B</t>
  </si>
  <si>
    <t>GS-8-C</t>
  </si>
  <si>
    <t>Annual UPC</t>
  </si>
  <si>
    <t>Average Annual UPC</t>
  </si>
  <si>
    <t>Sum of Annual UPC</t>
  </si>
  <si>
    <t>$ Annual Bill Change</t>
  </si>
  <si>
    <t>% Annual Bill Change</t>
  </si>
  <si>
    <t>Sum of $ Annual Bill Change</t>
  </si>
  <si>
    <t>Sum of % Annual Bill Change</t>
  </si>
  <si>
    <t>General Service - 8 - D</t>
  </si>
  <si>
    <t>GS-8-D</t>
  </si>
  <si>
    <t>&gt; 2,000,000 &lt; = 4,000,000</t>
  </si>
  <si>
    <t>&gt; 4,000,000</t>
  </si>
  <si>
    <t>Proposed Customer Charge Revenue</t>
  </si>
  <si>
    <t>Proposed VM Revenue</t>
  </si>
  <si>
    <t>Total Proposed Revenue</t>
  </si>
  <si>
    <t>GS</t>
  </si>
  <si>
    <t>GS-TS</t>
  </si>
  <si>
    <t>E Schedule Field</t>
  </si>
  <si>
    <t>Cust Bill Transition</t>
  </si>
  <si>
    <t>Therms Transition</t>
  </si>
  <si>
    <t>Customer Bill Impact Summary</t>
  </si>
  <si>
    <t>Parity Ratio</t>
  </si>
  <si>
    <t>Florida Public Utilities Company (“FPUC”)</t>
  </si>
  <si>
    <t>Proceeding No. 20220067-GU</t>
  </si>
  <si>
    <t>Worksheet Title</t>
  </si>
  <si>
    <t>Worksheet Explanation</t>
  </si>
  <si>
    <t>CONFIDENTIAL_WP_Rate Design and Bill Impact</t>
  </si>
  <si>
    <t>JDT-4 Page 1</t>
  </si>
  <si>
    <t>Rate Design (Consol)</t>
  </si>
  <si>
    <t>Bill Impact Detail</t>
  </si>
  <si>
    <t>G2-8 Summary</t>
  </si>
  <si>
    <t>G2-7 Summary</t>
  </si>
  <si>
    <t>JDT-4 Page 2-3</t>
  </si>
  <si>
    <t>Revenue requirement distribution and derivation of the proposed rates.</t>
  </si>
  <si>
    <t>A summary of the weighted average customer average bill impact analysis supporting Exhibit JDT-4 Page 1.</t>
  </si>
  <si>
    <t>A summary of the customer average bill impact analysis supporting Exhibit JDT-4 page 2-3.</t>
  </si>
  <si>
    <t>The bill impact calculation details supporting Exhibit JDT-4.</t>
  </si>
  <si>
    <t>A high-level summary of Schedule G2-7.</t>
  </si>
  <si>
    <t>Summary of Schedule G2-8 and calculation of the revenues under the proposed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</si>
</sst>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&quot;$&quot;* #,##0.00000_);_(&quot;$&quot;* \(#,##0.00000\);_(&quot;$&quot;* &quot;-&quot;??_);_(@_)"/>
    <numFmt numFmtId="168" formatCode="_(* #,##0.00000_);_(* \(#,##0.00000\);_(* &quot;-&quot;??_);_(@_)"/>
    <numFmt numFmtId="169" formatCode="_(* #,##0.00000_);_(* \(#,##0.00000\);_(* &quot;-&quot;?????_);_(@_)"/>
    <numFmt numFmtId="170" formatCode="_(&quot;$&quot;* #,##0.0000000_);_(&quot;$&quot;* \(#,##0.0000000\);_(&quot;$&quot;* &quot;-&quot;??_);_(@_)"/>
    <numFmt numFmtId="171" formatCode="_(* #,##0.0_);_(* \(#,##0.0\);_(* &quot;-&quot;??_);_(@_)"/>
    <numFmt numFmtId="172" formatCode="_(&quot;$&quot;* #,##0.000000_);_(&quot;$&quot;* \(#,##0.000000\);_(&quot;$&quot;* &quot;-&quot;??_);_(@_)"/>
    <numFmt numFmtId="173" formatCode="_(&quot;$&quot;* #,##0.0000_);_(&quot;$&quot;* \(#,##0.0000\);_(&quot;$&quot;* &quot;-&quot;??_);_(@_)"/>
    <numFmt numFmtId="174" formatCode="0.0%"/>
    <numFmt numFmtId="175" formatCode="_(* #,##0.000000000_);_(* \(#,##0.000000000\);_(* &quot;-&quot;??_);_(@_)"/>
    <numFmt numFmtId="176" formatCode="_(&quot;$&quot;* #,##0.000_);_(&quot;$&quot;* \(#,##0.000\);_(&quot;$&quot;* &quot;-&quot;??_);_(@_)"/>
    <numFmt numFmtId="177" formatCode="_(* #,##0.000_);_(* \(#,##0.0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name val="Arial"/>
      <family val="2"/>
    </font>
    <font>
      <u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2" fillId="0" borderId="0" applyNumberFormat="0" applyBorder="0" applyAlignment="0"/>
    <xf numFmtId="0" fontId="33" fillId="0" borderId="0" applyNumberFormat="0" applyFill="0" applyBorder="0" applyAlignment="0" applyProtection="0"/>
    <xf numFmtId="0" fontId="22" fillId="0" borderId="0"/>
  </cellStyleXfs>
  <cellXfs count="334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65" fontId="0" fillId="0" borderId="1" xfId="2" applyNumberFormat="1" applyFont="1" applyFill="1" applyBorder="1"/>
    <xf numFmtId="165" fontId="0" fillId="0" borderId="0" xfId="2" applyNumberFormat="1" applyFont="1" applyFill="1" applyBorder="1"/>
    <xf numFmtId="165" fontId="6" fillId="0" borderId="0" xfId="2" applyNumberFormat="1" applyFont="1"/>
    <xf numFmtId="165" fontId="6" fillId="0" borderId="1" xfId="2" applyNumberFormat="1" applyFont="1" applyFill="1" applyBorder="1"/>
    <xf numFmtId="165" fontId="6" fillId="0" borderId="0" xfId="2" applyNumberFormat="1" applyFont="1" applyFill="1" applyBorder="1"/>
    <xf numFmtId="165" fontId="6" fillId="0" borderId="0" xfId="2" applyNumberFormat="1" applyFont="1" applyFill="1"/>
    <xf numFmtId="165" fontId="5" fillId="0" borderId="0" xfId="2" applyNumberFormat="1" applyFont="1"/>
    <xf numFmtId="165" fontId="0" fillId="0" borderId="0" xfId="0" applyNumberFormat="1"/>
    <xf numFmtId="44" fontId="0" fillId="0" borderId="0" xfId="2" applyFont="1"/>
    <xf numFmtId="10" fontId="0" fillId="0" borderId="0" xfId="3" applyNumberFormat="1" applyFont="1"/>
    <xf numFmtId="10" fontId="0" fillId="0" borderId="0" xfId="3" applyNumberFormat="1" applyFont="1" applyFill="1"/>
    <xf numFmtId="167" fontId="0" fillId="0" borderId="0" xfId="2" applyNumberFormat="1" applyFont="1"/>
    <xf numFmtId="0" fontId="8" fillId="5" borderId="0" xfId="0" applyFont="1" applyFill="1" applyAlignment="1">
      <alignment horizontal="center" vertical="center" wrapText="1"/>
    </xf>
    <xf numFmtId="9" fontId="0" fillId="0" borderId="0" xfId="3" applyFont="1"/>
    <xf numFmtId="165" fontId="9" fillId="0" borderId="0" xfId="2" applyNumberFormat="1" applyFont="1" applyFill="1"/>
    <xf numFmtId="43" fontId="0" fillId="0" borderId="0" xfId="1" applyFont="1"/>
    <xf numFmtId="164" fontId="2" fillId="0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/>
    <xf numFmtId="44" fontId="10" fillId="0" borderId="0" xfId="2" applyFont="1"/>
    <xf numFmtId="164" fontId="10" fillId="0" borderId="0" xfId="0" applyNumberFormat="1" applyFont="1"/>
    <xf numFmtId="165" fontId="10" fillId="0" borderId="0" xfId="2" applyNumberFormat="1" applyFont="1"/>
    <xf numFmtId="165" fontId="10" fillId="0" borderId="0" xfId="0" applyNumberFormat="1" applyFont="1"/>
    <xf numFmtId="10" fontId="10" fillId="0" borderId="0" xfId="3" applyNumberFormat="1" applyFont="1"/>
    <xf numFmtId="165" fontId="12" fillId="0" borderId="0" xfId="2" applyNumberFormat="1" applyFont="1"/>
    <xf numFmtId="165" fontId="2" fillId="0" borderId="0" xfId="2" applyNumberFormat="1" applyFont="1" applyFill="1"/>
    <xf numFmtId="0" fontId="0" fillId="0" borderId="0" xfId="0" applyAlignment="1">
      <alignment horizontal="center" vertical="center" wrapText="1"/>
    </xf>
    <xf numFmtId="43" fontId="13" fillId="0" borderId="0" xfId="1" applyFont="1"/>
    <xf numFmtId="0" fontId="14" fillId="0" borderId="0" xfId="0" applyFont="1"/>
    <xf numFmtId="165" fontId="14" fillId="0" borderId="0" xfId="2" applyNumberFormat="1" applyFont="1" applyFill="1"/>
    <xf numFmtId="164" fontId="9" fillId="0" borderId="0" xfId="1" applyNumberFormat="1" applyFont="1" applyFill="1"/>
    <xf numFmtId="171" fontId="10" fillId="0" borderId="0" xfId="1" applyNumberFormat="1" applyFont="1" applyFill="1"/>
    <xf numFmtId="171" fontId="12" fillId="0" borderId="0" xfId="1" applyNumberFormat="1" applyFont="1" applyFill="1"/>
    <xf numFmtId="0" fontId="12" fillId="0" borderId="0" xfId="0" applyFont="1" applyAlignment="1">
      <alignment horizontal="center" vertical="center"/>
    </xf>
    <xf numFmtId="44" fontId="12" fillId="6" borderId="3" xfId="2" applyFont="1" applyFill="1" applyBorder="1" applyAlignment="1">
      <alignment horizontal="center" vertical="center" wrapText="1"/>
    </xf>
    <xf numFmtId="167" fontId="12" fillId="6" borderId="3" xfId="2" applyNumberFormat="1" applyFont="1" applyFill="1" applyBorder="1" applyAlignment="1">
      <alignment horizontal="center" vertical="center" wrapText="1"/>
    </xf>
    <xf numFmtId="44" fontId="12" fillId="7" borderId="3" xfId="2" applyFont="1" applyFill="1" applyBorder="1" applyAlignment="1">
      <alignment horizontal="center" vertical="center" wrapText="1"/>
    </xf>
    <xf numFmtId="167" fontId="12" fillId="7" borderId="3" xfId="2" applyNumberFormat="1" applyFont="1" applyFill="1" applyBorder="1" applyAlignment="1">
      <alignment horizontal="center" vertical="center" wrapText="1"/>
    </xf>
    <xf numFmtId="44" fontId="12" fillId="0" borderId="0" xfId="2" applyFont="1" applyAlignment="1">
      <alignment horizontal="center" vertical="center"/>
    </xf>
    <xf numFmtId="167" fontId="12" fillId="4" borderId="3" xfId="2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wrapText="1"/>
    </xf>
    <xf numFmtId="167" fontId="0" fillId="0" borderId="0" xfId="2" applyNumberFormat="1" applyFont="1" applyAlignment="1">
      <alignment wrapText="1"/>
    </xf>
    <xf numFmtId="43" fontId="13" fillId="0" borderId="0" xfId="1" applyFont="1" applyAlignment="1">
      <alignment wrapText="1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164" fontId="12" fillId="4" borderId="3" xfId="1" applyNumberFormat="1" applyFont="1" applyFill="1" applyBorder="1" applyAlignment="1">
      <alignment horizontal="center" vertical="center"/>
    </xf>
    <xf numFmtId="44" fontId="12" fillId="4" borderId="3" xfId="2" applyFont="1" applyFill="1" applyBorder="1" applyAlignment="1">
      <alignment horizontal="center" vertical="center" wrapText="1"/>
    </xf>
    <xf numFmtId="164" fontId="6" fillId="0" borderId="0" xfId="1" applyNumberFormat="1" applyFont="1"/>
    <xf numFmtId="37" fontId="2" fillId="0" borderId="0" xfId="0" applyNumberFormat="1" applyFont="1"/>
    <xf numFmtId="0" fontId="2" fillId="8" borderId="3" xfId="0" applyFont="1" applyFill="1" applyBorder="1" applyAlignment="1">
      <alignment horizontal="center" vertical="center" wrapText="1"/>
    </xf>
    <xf numFmtId="167" fontId="6" fillId="0" borderId="0" xfId="2" applyNumberFormat="1" applyFont="1"/>
    <xf numFmtId="167" fontId="6" fillId="0" borderId="0" xfId="2" applyNumberFormat="1" applyFont="1" applyAlignment="1">
      <alignment wrapText="1"/>
    </xf>
    <xf numFmtId="167" fontId="5" fillId="4" borderId="3" xfId="2" applyNumberFormat="1" applyFont="1" applyFill="1" applyBorder="1" applyAlignment="1">
      <alignment horizontal="center" vertical="center" wrapText="1"/>
    </xf>
    <xf numFmtId="43" fontId="16" fillId="9" borderId="3" xfId="1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quotePrefix="1" applyFont="1"/>
    <xf numFmtId="171" fontId="0" fillId="0" borderId="0" xfId="1" applyNumberFormat="1" applyFont="1" applyFill="1"/>
    <xf numFmtId="168" fontId="6" fillId="0" borderId="0" xfId="1" applyNumberFormat="1" applyFont="1" applyFill="1"/>
    <xf numFmtId="10" fontId="17" fillId="0" borderId="0" xfId="3" applyNumberFormat="1" applyFont="1"/>
    <xf numFmtId="44" fontId="0" fillId="0" borderId="0" xfId="0" applyNumberFormat="1"/>
    <xf numFmtId="0" fontId="12" fillId="0" borderId="0" xfId="0" applyFont="1" applyAlignment="1">
      <alignment horizontal="center" vertical="center" wrapText="1"/>
    </xf>
    <xf numFmtId="168" fontId="6" fillId="2" borderId="0" xfId="1" applyNumberFormat="1" applyFont="1" applyFill="1"/>
    <xf numFmtId="164" fontId="3" fillId="0" borderId="0" xfId="1" applyNumberFormat="1" applyFont="1" applyFill="1"/>
    <xf numFmtId="0" fontId="11" fillId="0" borderId="0" xfId="0" applyFont="1" applyAlignment="1">
      <alignment horizontal="center" vertical="center" wrapText="1"/>
    </xf>
    <xf numFmtId="9" fontId="0" fillId="0" borderId="0" xfId="3" applyFont="1" applyFill="1"/>
    <xf numFmtId="167" fontId="10" fillId="0" borderId="0" xfId="2" applyNumberFormat="1" applyFont="1" applyFill="1"/>
    <xf numFmtId="0" fontId="19" fillId="3" borderId="0" xfId="0" applyFont="1" applyFill="1" applyAlignment="1">
      <alignment horizontal="center" vertical="center" wrapText="1"/>
    </xf>
    <xf numFmtId="164" fontId="1" fillId="0" borderId="0" xfId="1" applyNumberFormat="1" applyFont="1"/>
    <xf numFmtId="164" fontId="20" fillId="0" borderId="0" xfId="3" applyNumberFormat="1" applyFont="1" applyFill="1"/>
    <xf numFmtId="164" fontId="12" fillId="0" borderId="0" xfId="1" applyNumberFormat="1" applyFont="1"/>
    <xf numFmtId="164" fontId="12" fillId="0" borderId="0" xfId="0" applyNumberFormat="1" applyFont="1"/>
    <xf numFmtId="9" fontId="10" fillId="0" borderId="0" xfId="3" applyFont="1"/>
    <xf numFmtId="165" fontId="20" fillId="0" borderId="0" xfId="2" applyNumberFormat="1" applyFont="1" applyFill="1"/>
    <xf numFmtId="43" fontId="2" fillId="0" borderId="0" xfId="0" applyNumberFormat="1" applyFont="1"/>
    <xf numFmtId="43" fontId="2" fillId="0" borderId="0" xfId="1" applyFont="1"/>
    <xf numFmtId="167" fontId="12" fillId="6" borderId="5" xfId="2" applyNumberFormat="1" applyFont="1" applyFill="1" applyBorder="1" applyAlignment="1">
      <alignment horizontal="center" vertical="center" wrapText="1"/>
    </xf>
    <xf numFmtId="9" fontId="0" fillId="0" borderId="0" xfId="0" applyNumberFormat="1"/>
    <xf numFmtId="44" fontId="2" fillId="0" borderId="0" xfId="2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9" fontId="3" fillId="0" borderId="0" xfId="3" applyFont="1" applyFill="1"/>
    <xf numFmtId="164" fontId="0" fillId="0" borderId="6" xfId="1" applyNumberFormat="1" applyFont="1" applyFill="1" applyBorder="1"/>
    <xf numFmtId="0" fontId="12" fillId="0" borderId="0" xfId="0" applyFont="1"/>
    <xf numFmtId="0" fontId="0" fillId="0" borderId="0" xfId="0" applyFill="1"/>
    <xf numFmtId="0" fontId="10" fillId="0" borderId="0" xfId="0" applyFont="1" applyFill="1"/>
    <xf numFmtId="0" fontId="10" fillId="0" borderId="0" xfId="4" applyFont="1" applyFill="1"/>
    <xf numFmtId="10" fontId="12" fillId="0" borderId="0" xfId="3" applyNumberFormat="1" applyFont="1"/>
    <xf numFmtId="44" fontId="0" fillId="0" borderId="0" xfId="2" applyNumberFormat="1" applyFont="1"/>
    <xf numFmtId="44" fontId="15" fillId="4" borderId="3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5" fontId="2" fillId="4" borderId="3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Fill="1" applyBorder="1" applyAlignment="1">
      <alignment horizontal="center" vertical="center" wrapText="1"/>
    </xf>
    <xf numFmtId="164" fontId="23" fillId="0" borderId="0" xfId="1" applyNumberFormat="1" applyFont="1" applyFill="1"/>
    <xf numFmtId="164" fontId="25" fillId="0" borderId="0" xfId="1" applyNumberFormat="1" applyFont="1" applyFill="1"/>
    <xf numFmtId="9" fontId="25" fillId="0" borderId="0" xfId="3" applyFont="1" applyFill="1"/>
    <xf numFmtId="164" fontId="23" fillId="0" borderId="6" xfId="1" applyNumberFormat="1" applyFont="1" applyFill="1" applyBorder="1"/>
    <xf numFmtId="0" fontId="23" fillId="0" borderId="0" xfId="0" applyFont="1" applyFill="1"/>
    <xf numFmtId="0" fontId="24" fillId="0" borderId="0" xfId="0" applyFont="1" applyFill="1" applyAlignment="1">
      <alignment horizontal="center" vertical="center" wrapText="1"/>
    </xf>
    <xf numFmtId="170" fontId="23" fillId="0" borderId="0" xfId="2" applyNumberFormat="1" applyFont="1" applyFill="1"/>
    <xf numFmtId="44" fontId="23" fillId="0" borderId="0" xfId="2" applyFont="1" applyFill="1"/>
    <xf numFmtId="0" fontId="23" fillId="0" borderId="0" xfId="0" quotePrefix="1" applyFont="1" applyFill="1"/>
    <xf numFmtId="10" fontId="0" fillId="0" borderId="0" xfId="3" applyNumberFormat="1" applyFont="1" applyAlignment="1">
      <alignment horizontal="center"/>
    </xf>
    <xf numFmtId="43" fontId="0" fillId="0" borderId="0" xfId="0" applyNumberFormat="1" applyFill="1"/>
    <xf numFmtId="166" fontId="2" fillId="0" borderId="0" xfId="1" applyNumberFormat="1" applyFont="1" applyFill="1"/>
    <xf numFmtId="43" fontId="13" fillId="0" borderId="0" xfId="1" applyFont="1" applyFill="1"/>
    <xf numFmtId="44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174" fontId="2" fillId="4" borderId="3" xfId="3" applyNumberFormat="1" applyFont="1" applyFill="1" applyBorder="1" applyAlignment="1">
      <alignment horizontal="center" vertical="center" wrapText="1"/>
    </xf>
    <xf numFmtId="174" fontId="2" fillId="0" borderId="0" xfId="3" applyNumberFormat="1" applyFont="1" applyFill="1" applyBorder="1" applyAlignment="1">
      <alignment horizontal="center" vertical="center" wrapText="1"/>
    </xf>
    <xf numFmtId="174" fontId="0" fillId="0" borderId="0" xfId="3" applyNumberFormat="1" applyFont="1"/>
    <xf numFmtId="164" fontId="10" fillId="0" borderId="0" xfId="0" applyNumberFormat="1" applyFont="1" applyFill="1"/>
    <xf numFmtId="165" fontId="12" fillId="0" borderId="0" xfId="2" applyNumberFormat="1" applyFont="1" applyFill="1"/>
    <xf numFmtId="165" fontId="10" fillId="0" borderId="0" xfId="0" applyNumberFormat="1" applyFont="1" applyFill="1"/>
    <xf numFmtId="0" fontId="2" fillId="0" borderId="0" xfId="0" applyFont="1" applyFill="1"/>
    <xf numFmtId="0" fontId="12" fillId="10" borderId="3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 wrapText="1"/>
    </xf>
    <xf numFmtId="164" fontId="12" fillId="9" borderId="3" xfId="1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center" wrapText="1"/>
    </xf>
    <xf numFmtId="44" fontId="2" fillId="4" borderId="3" xfId="2" applyFont="1" applyFill="1" applyBorder="1" applyAlignment="1">
      <alignment horizontal="center" vertical="center" wrapText="1"/>
    </xf>
    <xf numFmtId="0" fontId="0" fillId="0" borderId="17" xfId="0" applyBorder="1"/>
    <xf numFmtId="164" fontId="0" fillId="0" borderId="17" xfId="0" applyNumberFormat="1" applyBorder="1"/>
    <xf numFmtId="0" fontId="0" fillId="0" borderId="0" xfId="0" quotePrefix="1" applyAlignment="1">
      <alignment wrapText="1"/>
    </xf>
    <xf numFmtId="166" fontId="10" fillId="0" borderId="0" xfId="1" applyNumberFormat="1" applyFont="1" applyFill="1"/>
    <xf numFmtId="0" fontId="0" fillId="0" borderId="0" xfId="0"/>
    <xf numFmtId="164" fontId="0" fillId="0" borderId="0" xfId="0" applyNumberFormat="1"/>
    <xf numFmtId="165" fontId="0" fillId="0" borderId="0" xfId="2" applyNumberFormat="1" applyFont="1"/>
    <xf numFmtId="165" fontId="0" fillId="0" borderId="0" xfId="2" applyNumberFormat="1" applyFont="1" applyFill="1"/>
    <xf numFmtId="165" fontId="2" fillId="0" borderId="0" xfId="2" applyNumberFormat="1" applyFont="1" applyAlignment="1">
      <alignment horizontal="center" vertical="center" wrapText="1"/>
    </xf>
    <xf numFmtId="165" fontId="0" fillId="0" borderId="0" xfId="0" applyNumberFormat="1"/>
    <xf numFmtId="164" fontId="0" fillId="0" borderId="0" xfId="1" applyNumberFormat="1" applyFont="1" applyFill="1"/>
    <xf numFmtId="10" fontId="0" fillId="0" borderId="0" xfId="3" applyNumberFormat="1" applyFont="1" applyFill="1"/>
    <xf numFmtId="10" fontId="2" fillId="0" borderId="0" xfId="3" applyNumberFormat="1" applyFont="1" applyFill="1"/>
    <xf numFmtId="168" fontId="0" fillId="0" borderId="0" xfId="1" applyNumberFormat="1" applyFont="1" applyFill="1"/>
    <xf numFmtId="44" fontId="0" fillId="0" borderId="0" xfId="2" applyFont="1" applyFill="1"/>
    <xf numFmtId="167" fontId="0" fillId="0" borderId="0" xfId="2" applyNumberFormat="1" applyFont="1" applyFill="1"/>
    <xf numFmtId="9" fontId="0" fillId="0" borderId="0" xfId="3" applyFont="1"/>
    <xf numFmtId="0" fontId="0" fillId="0" borderId="0" xfId="0" applyAlignment="1">
      <alignment wrapText="1"/>
    </xf>
    <xf numFmtId="10" fontId="10" fillId="0" borderId="0" xfId="3" applyNumberFormat="1" applyFont="1" applyFill="1"/>
    <xf numFmtId="164" fontId="10" fillId="0" borderId="0" xfId="1" applyNumberFormat="1" applyFont="1" applyFill="1"/>
    <xf numFmtId="164" fontId="10" fillId="0" borderId="0" xfId="1" applyNumberFormat="1" applyFont="1"/>
    <xf numFmtId="165" fontId="10" fillId="0" borderId="0" xfId="2" applyNumberFormat="1" applyFont="1" applyFill="1"/>
    <xf numFmtId="0" fontId="0" fillId="0" borderId="0" xfId="0" applyAlignment="1">
      <alignment horizontal="center" vertical="center" wrapText="1"/>
    </xf>
    <xf numFmtId="44" fontId="10" fillId="0" borderId="0" xfId="2" applyFont="1" applyFill="1"/>
    <xf numFmtId="9" fontId="10" fillId="0" borderId="0" xfId="3" applyFont="1" applyFill="1"/>
    <xf numFmtId="172" fontId="0" fillId="0" borderId="0" xfId="2" applyNumberFormat="1" applyFont="1" applyFill="1"/>
    <xf numFmtId="44" fontId="0" fillId="0" borderId="0" xfId="0" applyNumberFormat="1"/>
    <xf numFmtId="164" fontId="0" fillId="0" borderId="0" xfId="1" quotePrefix="1" applyNumberFormat="1" applyFont="1" applyFill="1"/>
    <xf numFmtId="10" fontId="11" fillId="0" borderId="0" xfId="3" applyNumberFormat="1" applyFont="1" applyFill="1"/>
    <xf numFmtId="9" fontId="0" fillId="0" borderId="0" xfId="3" applyFont="1" applyFill="1"/>
    <xf numFmtId="164" fontId="0" fillId="0" borderId="0" xfId="0" pivotButton="1" applyNumberFormat="1"/>
    <xf numFmtId="165" fontId="1" fillId="0" borderId="0" xfId="2" applyNumberFormat="1" applyFont="1" applyFill="1"/>
    <xf numFmtId="164" fontId="10" fillId="0" borderId="0" xfId="3" applyNumberFormat="1" applyFont="1" applyFill="1"/>
    <xf numFmtId="43" fontId="10" fillId="0" borderId="0" xfId="1" applyFont="1"/>
    <xf numFmtId="164" fontId="0" fillId="0" borderId="0" xfId="0" applyNumberFormat="1" applyAlignment="1">
      <alignment horizontal="center" vertical="center" wrapText="1"/>
    </xf>
    <xf numFmtId="167" fontId="0" fillId="0" borderId="0" xfId="0" applyNumberFormat="1"/>
    <xf numFmtId="9" fontId="0" fillId="0" borderId="0" xfId="0" applyNumberFormat="1"/>
    <xf numFmtId="174" fontId="0" fillId="0" borderId="0" xfId="0" applyNumberFormat="1"/>
    <xf numFmtId="9" fontId="1" fillId="0" borderId="0" xfId="3" applyFont="1" applyFill="1"/>
    <xf numFmtId="0" fontId="0" fillId="0" borderId="0" xfId="0" applyFill="1"/>
    <xf numFmtId="0" fontId="0" fillId="0" borderId="0" xfId="4" applyFont="1" applyFill="1"/>
    <xf numFmtId="0" fontId="14" fillId="0" borderId="0" xfId="0" applyFont="1" applyFill="1"/>
    <xf numFmtId="165" fontId="10" fillId="0" borderId="0" xfId="2" applyNumberFormat="1" applyFont="1" applyFill="1" applyBorder="1"/>
    <xf numFmtId="43" fontId="10" fillId="0" borderId="0" xfId="1" applyFont="1" applyFill="1"/>
    <xf numFmtId="10" fontId="10" fillId="0" borderId="0" xfId="0" applyNumberFormat="1" applyFont="1" applyFill="1"/>
    <xf numFmtId="43" fontId="3" fillId="0" borderId="0" xfId="1" applyFont="1" applyFill="1"/>
    <xf numFmtId="0" fontId="11" fillId="0" borderId="0" xfId="0" applyFont="1" applyFill="1"/>
    <xf numFmtId="43" fontId="2" fillId="0" borderId="0" xfId="1" applyFont="1" applyFill="1"/>
    <xf numFmtId="0" fontId="0" fillId="0" borderId="7" xfId="0" applyBorder="1"/>
    <xf numFmtId="0" fontId="0" fillId="0" borderId="8" xfId="0" applyBorder="1"/>
    <xf numFmtId="164" fontId="0" fillId="0" borderId="7" xfId="0" applyNumberFormat="1" applyBorder="1"/>
    <xf numFmtId="165" fontId="0" fillId="0" borderId="10" xfId="0" applyNumberFormat="1" applyBorder="1"/>
    <xf numFmtId="0" fontId="2" fillId="0" borderId="12" xfId="0" applyFont="1" applyBorder="1"/>
    <xf numFmtId="0" fontId="2" fillId="0" borderId="13" xfId="0" applyFont="1" applyBorder="1"/>
    <xf numFmtId="164" fontId="2" fillId="0" borderId="12" xfId="0" applyNumberFormat="1" applyFont="1" applyBorder="1"/>
    <xf numFmtId="0" fontId="0" fillId="0" borderId="7" xfId="0" pivotButton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6" xfId="0" applyBorder="1"/>
    <xf numFmtId="0" fontId="0" fillId="0" borderId="0" xfId="0" pivotButton="1" applyAlignment="1">
      <alignment horizontal="center" vertical="center" wrapText="1"/>
    </xf>
    <xf numFmtId="167" fontId="23" fillId="0" borderId="0" xfId="2" applyNumberFormat="1" applyFont="1" applyFill="1"/>
    <xf numFmtId="165" fontId="0" fillId="0" borderId="0" xfId="2" applyNumberFormat="1" applyFont="1" applyAlignment="1">
      <alignment horizontal="center"/>
    </xf>
    <xf numFmtId="9" fontId="0" fillId="0" borderId="0" xfId="3" applyFont="1" applyAlignment="1">
      <alignment horizontal="center"/>
    </xf>
    <xf numFmtId="165" fontId="2" fillId="8" borderId="3" xfId="2" applyNumberFormat="1" applyFont="1" applyFill="1" applyBorder="1" applyAlignment="1">
      <alignment horizontal="center" vertical="center" wrapText="1"/>
    </xf>
    <xf numFmtId="165" fontId="21" fillId="0" borderId="14" xfId="0" applyNumberFormat="1" applyFont="1" applyBorder="1"/>
    <xf numFmtId="165" fontId="0" fillId="0" borderId="10" xfId="0" applyNumberFormat="1" applyBorder="1" applyAlignment="1">
      <alignment wrapText="1"/>
    </xf>
    <xf numFmtId="0" fontId="0" fillId="0" borderId="8" xfId="0" applyBorder="1" applyAlignment="1">
      <alignment wrapText="1"/>
    </xf>
    <xf numFmtId="165" fontId="0" fillId="0" borderId="8" xfId="0" applyNumberFormat="1" applyBorder="1" applyAlignment="1">
      <alignment wrapText="1"/>
    </xf>
    <xf numFmtId="10" fontId="0" fillId="0" borderId="0" xfId="0" applyNumberFormat="1" applyFill="1"/>
    <xf numFmtId="0" fontId="0" fillId="0" borderId="0" xfId="0" applyFill="1" applyAlignment="1">
      <alignment wrapText="1"/>
    </xf>
    <xf numFmtId="0" fontId="8" fillId="0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indent="2"/>
    </xf>
    <xf numFmtId="0" fontId="6" fillId="0" borderId="0" xfId="0" applyFont="1"/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/>
    <xf numFmtId="171" fontId="2" fillId="0" borderId="0" xfId="1" applyNumberFormat="1" applyFont="1" applyFill="1"/>
    <xf numFmtId="0" fontId="0" fillId="0" borderId="0" xfId="0" applyFill="1" applyAlignment="1">
      <alignment horizontal="center" vertical="center" wrapText="1"/>
    </xf>
    <xf numFmtId="165" fontId="2" fillId="0" borderId="0" xfId="2" applyNumberFormat="1" applyFont="1" applyFill="1" applyAlignment="1">
      <alignment horizontal="center" vertical="center" wrapText="1"/>
    </xf>
    <xf numFmtId="165" fontId="5" fillId="0" borderId="0" xfId="2" applyNumberFormat="1" applyFont="1" applyFill="1" applyAlignment="1">
      <alignment horizontal="center" vertical="center" wrapText="1"/>
    </xf>
    <xf numFmtId="164" fontId="6" fillId="0" borderId="0" xfId="1" applyNumberFormat="1" applyFont="1" applyFill="1"/>
    <xf numFmtId="0" fontId="0" fillId="0" borderId="0" xfId="0" quotePrefix="1" applyFill="1"/>
    <xf numFmtId="164" fontId="0" fillId="0" borderId="1" xfId="1" applyNumberFormat="1" applyFont="1" applyFill="1" applyBorder="1"/>
    <xf numFmtId="164" fontId="0" fillId="0" borderId="0" xfId="1" applyNumberFormat="1" applyFont="1" applyFill="1" applyBorder="1"/>
    <xf numFmtId="0" fontId="10" fillId="0" borderId="0" xfId="0" applyFont="1" applyFill="1" applyAlignment="1">
      <alignment horizontal="left"/>
    </xf>
    <xf numFmtId="173" fontId="0" fillId="0" borderId="0" xfId="2" applyNumberFormat="1" applyFont="1" applyFill="1"/>
    <xf numFmtId="0" fontId="2" fillId="0" borderId="2" xfId="0" applyFont="1" applyFill="1" applyBorder="1"/>
    <xf numFmtId="164" fontId="2" fillId="0" borderId="2" xfId="1" applyNumberFormat="1" applyFont="1" applyFill="1" applyBorder="1"/>
    <xf numFmtId="165" fontId="2" fillId="0" borderId="2" xfId="2" applyNumberFormat="1" applyFont="1" applyFill="1" applyBorder="1"/>
    <xf numFmtId="165" fontId="5" fillId="0" borderId="2" xfId="2" applyNumberFormat="1" applyFont="1" applyFill="1" applyBorder="1"/>
    <xf numFmtId="165" fontId="2" fillId="0" borderId="0" xfId="2" applyNumberFormat="1" applyFont="1" applyFill="1" applyBorder="1"/>
    <xf numFmtId="2" fontId="28" fillId="0" borderId="0" xfId="0" applyNumberFormat="1" applyFont="1" applyFill="1" applyAlignment="1">
      <alignment horizontal="left"/>
    </xf>
    <xf numFmtId="164" fontId="5" fillId="0" borderId="2" xfId="1" applyNumberFormat="1" applyFont="1" applyFill="1" applyBorder="1"/>
    <xf numFmtId="164" fontId="2" fillId="0" borderId="0" xfId="1" applyNumberFormat="1" applyFont="1" applyFill="1" applyBorder="1"/>
    <xf numFmtId="0" fontId="3" fillId="0" borderId="0" xfId="0" applyFont="1" applyFill="1"/>
    <xf numFmtId="165" fontId="3" fillId="0" borderId="0" xfId="2" applyNumberFormat="1" applyFont="1" applyFill="1"/>
    <xf numFmtId="164" fontId="4" fillId="0" borderId="0" xfId="1" applyNumberFormat="1" applyFont="1" applyFill="1"/>
    <xf numFmtId="165" fontId="4" fillId="0" borderId="0" xfId="2" applyNumberFormat="1" applyFont="1" applyFill="1"/>
    <xf numFmtId="165" fontId="5" fillId="0" borderId="0" xfId="2" applyNumberFormat="1" applyFont="1" applyFill="1"/>
    <xf numFmtId="0" fontId="4" fillId="0" borderId="2" xfId="0" applyFont="1" applyFill="1" applyBorder="1"/>
    <xf numFmtId="44" fontId="10" fillId="0" borderId="0" xfId="2" quotePrefix="1" applyFont="1"/>
    <xf numFmtId="0" fontId="12" fillId="4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0" fontId="12" fillId="4" borderId="0" xfId="3" applyNumberFormat="1" applyFont="1" applyFill="1" applyAlignment="1">
      <alignment horizontal="center" vertical="center" wrapText="1"/>
    </xf>
    <xf numFmtId="164" fontId="11" fillId="0" borderId="0" xfId="1" quotePrefix="1" applyNumberFormat="1" applyFont="1"/>
    <xf numFmtId="44" fontId="12" fillId="4" borderId="0" xfId="2" applyFont="1" applyFill="1" applyAlignment="1">
      <alignment horizontal="center" vertical="center" wrapText="1"/>
    </xf>
    <xf numFmtId="44" fontId="12" fillId="0" borderId="0" xfId="2" applyFont="1" applyFill="1" applyBorder="1" applyAlignment="1">
      <alignment horizontal="center" vertical="center" wrapText="1"/>
    </xf>
    <xf numFmtId="167" fontId="12" fillId="4" borderId="0" xfId="2" applyNumberFormat="1" applyFont="1" applyFill="1" applyAlignment="1">
      <alignment horizontal="center" vertical="center" wrapText="1"/>
    </xf>
    <xf numFmtId="167" fontId="12" fillId="0" borderId="0" xfId="2" applyNumberFormat="1" applyFont="1" applyFill="1" applyAlignment="1">
      <alignment horizontal="center" vertical="center" wrapText="1"/>
    </xf>
    <xf numFmtId="167" fontId="12" fillId="7" borderId="0" xfId="2" applyNumberFormat="1" applyFont="1" applyFill="1" applyAlignment="1">
      <alignment horizontal="center" vertical="center" wrapText="1"/>
    </xf>
    <xf numFmtId="164" fontId="11" fillId="0" borderId="0" xfId="1" quotePrefix="1" applyNumberFormat="1" applyFont="1" applyFill="1"/>
    <xf numFmtId="167" fontId="10" fillId="0" borderId="0" xfId="2" applyNumberFormat="1" applyFont="1"/>
    <xf numFmtId="170" fontId="10" fillId="0" borderId="0" xfId="2" applyNumberFormat="1" applyFont="1"/>
    <xf numFmtId="0" fontId="11" fillId="0" borderId="0" xfId="0" quotePrefix="1" applyFont="1" applyFill="1"/>
    <xf numFmtId="170" fontId="10" fillId="0" borderId="0" xfId="2" applyNumberFormat="1" applyFont="1" applyFill="1"/>
    <xf numFmtId="172" fontId="10" fillId="0" borderId="0" xfId="2" applyNumberFormat="1" applyFont="1"/>
    <xf numFmtId="168" fontId="10" fillId="0" borderId="0" xfId="1" applyNumberFormat="1" applyFont="1" applyFill="1"/>
    <xf numFmtId="169" fontId="10" fillId="0" borderId="0" xfId="0" applyNumberFormat="1" applyFont="1"/>
    <xf numFmtId="169" fontId="10" fillId="0" borderId="0" xfId="0" applyNumberFormat="1" applyFont="1" applyFill="1"/>
    <xf numFmtId="10" fontId="10" fillId="0" borderId="0" xfId="3" applyNumberFormat="1" applyFont="1" applyFill="1" applyAlignment="1">
      <alignment horizontal="center"/>
    </xf>
    <xf numFmtId="0" fontId="12" fillId="0" borderId="0" xfId="0" applyFont="1" applyFill="1"/>
    <xf numFmtId="0" fontId="16" fillId="0" borderId="0" xfId="0" applyFont="1"/>
    <xf numFmtId="10" fontId="12" fillId="0" borderId="0" xfId="3" applyNumberFormat="1" applyFont="1" applyFill="1"/>
    <xf numFmtId="0" fontId="16" fillId="0" borderId="0" xfId="0" quotePrefix="1" applyFont="1"/>
    <xf numFmtId="0" fontId="29" fillId="0" borderId="0" xfId="0" applyFont="1"/>
    <xf numFmtId="0" fontId="29" fillId="0" borderId="0" xfId="0" applyFont="1" applyFill="1"/>
    <xf numFmtId="0" fontId="30" fillId="0" borderId="0" xfId="0" applyFont="1"/>
    <xf numFmtId="10" fontId="29" fillId="0" borderId="0" xfId="3" applyNumberFormat="1" applyFont="1" applyFill="1"/>
    <xf numFmtId="164" fontId="29" fillId="0" borderId="0" xfId="1" applyNumberFormat="1" applyFont="1" applyFill="1"/>
    <xf numFmtId="44" fontId="29" fillId="0" borderId="0" xfId="2" applyFont="1" applyFill="1"/>
    <xf numFmtId="167" fontId="29" fillId="0" borderId="0" xfId="2" applyNumberFormat="1" applyFont="1" applyFill="1"/>
    <xf numFmtId="164" fontId="29" fillId="0" borderId="0" xfId="0" applyNumberFormat="1" applyFont="1"/>
    <xf numFmtId="166" fontId="29" fillId="0" borderId="0" xfId="1" applyNumberFormat="1" applyFont="1" applyFill="1"/>
    <xf numFmtId="0" fontId="31" fillId="0" borderId="0" xfId="0" applyFont="1"/>
    <xf numFmtId="165" fontId="29" fillId="0" borderId="0" xfId="2" applyNumberFormat="1" applyFont="1" applyFill="1"/>
    <xf numFmtId="164" fontId="11" fillId="0" borderId="0" xfId="1" applyNumberFormat="1" applyFont="1" applyFill="1"/>
    <xf numFmtId="44" fontId="11" fillId="0" borderId="0" xfId="2" applyFont="1" applyFill="1"/>
    <xf numFmtId="167" fontId="11" fillId="0" borderId="0" xfId="2" applyNumberFormat="1" applyFont="1" applyFill="1"/>
    <xf numFmtId="165" fontId="11" fillId="0" borderId="0" xfId="2" applyNumberFormat="1" applyFont="1" applyFill="1"/>
    <xf numFmtId="165" fontId="11" fillId="0" borderId="0" xfId="0" applyNumberFormat="1" applyFont="1"/>
    <xf numFmtId="164" fontId="16" fillId="0" borderId="0" xfId="1" applyNumberFormat="1" applyFont="1" applyFill="1"/>
    <xf numFmtId="164" fontId="11" fillId="0" borderId="0" xfId="0" applyNumberFormat="1" applyFont="1"/>
    <xf numFmtId="165" fontId="16" fillId="0" borderId="0" xfId="2" applyNumberFormat="1" applyFont="1" applyFill="1"/>
    <xf numFmtId="0" fontId="5" fillId="0" borderId="0" xfId="0" applyFont="1" applyFill="1" applyAlignment="1">
      <alignment horizontal="center" vertical="center" wrapText="1"/>
    </xf>
    <xf numFmtId="10" fontId="6" fillId="0" borderId="0" xfId="3" applyNumberFormat="1" applyFont="1"/>
    <xf numFmtId="10" fontId="6" fillId="0" borderId="0" xfId="3" applyNumberFormat="1" applyFont="1" applyFill="1"/>
    <xf numFmtId="164" fontId="5" fillId="0" borderId="0" xfId="1" applyNumberFormat="1" applyFont="1"/>
    <xf numFmtId="0" fontId="5" fillId="0" borderId="0" xfId="0" applyFont="1"/>
    <xf numFmtId="0" fontId="32" fillId="0" borderId="0" xfId="0" applyFont="1"/>
    <xf numFmtId="0" fontId="5" fillId="0" borderId="0" xfId="0" applyFont="1" applyFill="1"/>
    <xf numFmtId="164" fontId="5" fillId="0" borderId="0" xfId="0" applyNumberFormat="1" applyFont="1"/>
    <xf numFmtId="176" fontId="0" fillId="0" borderId="0" xfId="2" applyNumberFormat="1" applyFont="1" applyFill="1"/>
    <xf numFmtId="9" fontId="0" fillId="0" borderId="11" xfId="0" applyNumberFormat="1" applyBorder="1"/>
    <xf numFmtId="9" fontId="0" fillId="0" borderId="18" xfId="0" applyNumberFormat="1" applyBorder="1"/>
    <xf numFmtId="9" fontId="21" fillId="0" borderId="15" xfId="0" applyNumberFormat="1" applyFont="1" applyBorder="1"/>
    <xf numFmtId="0" fontId="0" fillId="0" borderId="11" xfId="0" applyBorder="1" applyAlignment="1">
      <alignment wrapText="1"/>
    </xf>
    <xf numFmtId="165" fontId="0" fillId="0" borderId="9" xfId="0" applyNumberFormat="1" applyBorder="1" applyAlignment="1">
      <alignment wrapText="1"/>
    </xf>
    <xf numFmtId="43" fontId="2" fillId="0" borderId="4" xfId="1" applyFont="1" applyBorder="1" applyAlignment="1"/>
    <xf numFmtId="43" fontId="12" fillId="0" borderId="0" xfId="1" applyFont="1" applyAlignment="1">
      <alignment horizontal="center" vertical="center" wrapText="1"/>
    </xf>
    <xf numFmtId="43" fontId="26" fillId="0" borderId="0" xfId="1" applyFont="1"/>
    <xf numFmtId="43" fontId="26" fillId="0" borderId="0" xfId="1" applyFont="1" applyFill="1"/>
    <xf numFmtId="43" fontId="27" fillId="0" borderId="0" xfId="1" applyFont="1" applyFill="1"/>
    <xf numFmtId="43" fontId="26" fillId="0" borderId="6" xfId="1" applyFont="1" applyFill="1" applyBorder="1"/>
    <xf numFmtId="43" fontId="26" fillId="0" borderId="0" xfId="1" quotePrefix="1" applyFont="1" applyFill="1"/>
    <xf numFmtId="9" fontId="2" fillId="0" borderId="0" xfId="3" applyFont="1" applyFill="1"/>
    <xf numFmtId="165" fontId="20" fillId="0" borderId="0" xfId="2" applyNumberFormat="1" applyFont="1" applyFill="1" applyBorder="1"/>
    <xf numFmtId="0" fontId="15" fillId="0" borderId="0" xfId="0" applyFont="1" applyFill="1"/>
    <xf numFmtId="164" fontId="2" fillId="0" borderId="0" xfId="0" applyNumberFormat="1" applyFont="1" applyFill="1"/>
    <xf numFmtId="164" fontId="12" fillId="0" borderId="0" xfId="1" applyNumberFormat="1" applyFont="1" applyFill="1"/>
    <xf numFmtId="164" fontId="12" fillId="0" borderId="0" xfId="0" applyNumberFormat="1" applyFont="1" applyFill="1"/>
    <xf numFmtId="43" fontId="12" fillId="0" borderId="0" xfId="1" applyFont="1" applyFill="1"/>
    <xf numFmtId="165" fontId="2" fillId="0" borderId="0" xfId="0" applyNumberFormat="1" applyFont="1" applyFill="1"/>
    <xf numFmtId="177" fontId="0" fillId="0" borderId="0" xfId="0" applyNumberFormat="1" applyFill="1"/>
    <xf numFmtId="164" fontId="16" fillId="0" borderId="0" xfId="0" applyNumberFormat="1" applyFont="1" applyFill="1"/>
    <xf numFmtId="0" fontId="0" fillId="0" borderId="6" xfId="0" quotePrefix="1" applyFill="1" applyBorder="1"/>
    <xf numFmtId="0" fontId="13" fillId="0" borderId="6" xfId="0" quotePrefix="1" applyFont="1" applyFill="1" applyBorder="1"/>
    <xf numFmtId="44" fontId="0" fillId="0" borderId="6" xfId="0" quotePrefix="1" applyNumberFormat="1" applyFill="1" applyBorder="1"/>
    <xf numFmtId="172" fontId="0" fillId="0" borderId="6" xfId="0" quotePrefix="1" applyNumberFormat="1" applyFill="1" applyBorder="1"/>
    <xf numFmtId="164" fontId="0" fillId="0" borderId="6" xfId="0" applyNumberFormat="1" applyFill="1" applyBorder="1"/>
    <xf numFmtId="164" fontId="2" fillId="0" borderId="6" xfId="0" applyNumberFormat="1" applyFont="1" applyFill="1" applyBorder="1"/>
    <xf numFmtId="0" fontId="2" fillId="0" borderId="6" xfId="0" applyFont="1" applyFill="1" applyBorder="1"/>
    <xf numFmtId="0" fontId="12" fillId="0" borderId="6" xfId="0" applyFont="1" applyFill="1" applyBorder="1"/>
    <xf numFmtId="164" fontId="12" fillId="0" borderId="6" xfId="1" applyNumberFormat="1" applyFont="1" applyFill="1" applyBorder="1"/>
    <xf numFmtId="0" fontId="10" fillId="0" borderId="6" xfId="0" applyFont="1" applyFill="1" applyBorder="1"/>
    <xf numFmtId="43" fontId="10" fillId="0" borderId="6" xfId="1" applyFont="1" applyFill="1" applyBorder="1"/>
    <xf numFmtId="0" fontId="11" fillId="0" borderId="6" xfId="0" applyFont="1" applyFill="1" applyBorder="1"/>
    <xf numFmtId="0" fontId="0" fillId="0" borderId="6" xfId="0" applyFill="1" applyBorder="1"/>
    <xf numFmtId="164" fontId="0" fillId="0" borderId="0" xfId="1" quotePrefix="1" applyNumberFormat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175" fontId="10" fillId="0" borderId="0" xfId="1" quotePrefix="1" applyNumberFormat="1" applyFont="1" applyFill="1"/>
    <xf numFmtId="0" fontId="10" fillId="0" borderId="0" xfId="0" quotePrefix="1" applyFont="1" applyFill="1"/>
    <xf numFmtId="164" fontId="10" fillId="0" borderId="0" xfId="1" quotePrefix="1" applyNumberFormat="1" applyFont="1" applyFill="1"/>
    <xf numFmtId="43" fontId="10" fillId="0" borderId="0" xfId="1" quotePrefix="1" applyFont="1" applyFill="1"/>
    <xf numFmtId="44" fontId="0" fillId="0" borderId="0" xfId="0" quotePrefix="1" applyNumberFormat="1" applyFill="1"/>
    <xf numFmtId="43" fontId="0" fillId="0" borderId="0" xfId="0" quotePrefix="1" applyNumberFormat="1" applyFill="1"/>
    <xf numFmtId="0" fontId="19" fillId="0" borderId="0" xfId="7" applyFont="1"/>
    <xf numFmtId="0" fontId="18" fillId="0" borderId="0" xfId="0" applyFont="1"/>
    <xf numFmtId="0" fontId="8" fillId="0" borderId="0" xfId="0" applyFont="1"/>
    <xf numFmtId="0" fontId="8" fillId="4" borderId="5" xfId="4" applyFont="1" applyFill="1" applyBorder="1"/>
    <xf numFmtId="0" fontId="8" fillId="4" borderId="19" xfId="4" applyFont="1" applyFill="1" applyBorder="1"/>
    <xf numFmtId="0" fontId="18" fillId="0" borderId="0" xfId="4"/>
    <xf numFmtId="0" fontId="18" fillId="0" borderId="0" xfId="4" quotePrefix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4" fillId="0" borderId="0" xfId="6" applyFont="1"/>
    <xf numFmtId="0" fontId="2" fillId="6" borderId="3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</cellXfs>
  <cellStyles count="8">
    <cellStyle name="Comma" xfId="1" builtinId="3"/>
    <cellStyle name="Currency" xfId="2" builtinId="4"/>
    <cellStyle name="Hyperlink" xfId="6" builtinId="8"/>
    <cellStyle name="Normal" xfId="0" builtinId="0"/>
    <cellStyle name="Normal 2" xfId="4" xr:uid="{5653FFF8-BEA0-4557-AF01-1B9D4286C04D}"/>
    <cellStyle name="Normal 2 3" xfId="7" xr:uid="{373A7B35-CE9F-4475-A12A-EEE1AFCD8342}"/>
    <cellStyle name="Percent" xfId="3" builtinId="5"/>
    <cellStyle name="Test" xfId="5" xr:uid="{6842D6D5-A860-4D77-889C-0EDCDF6FF52B}"/>
  </cellStyles>
  <dxfs count="51">
    <dxf>
      <alignment horizontal="center"/>
    </dxf>
    <dxf>
      <alignment wrapText="1"/>
    </dxf>
    <dxf>
      <numFmt numFmtId="174" formatCode="0.0%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7" formatCode="_(&quot;$&quot;* #,##0.00000_);_(&quot;$&quot;* \(#,##0.00000\);_(&quot;$&quot;* &quot;-&quot;??_);_(@_)"/>
    </dxf>
    <dxf>
      <numFmt numFmtId="165" formatCode="_(&quot;$&quot;* #,##0_);_(&quot;$&quot;* \(#,##0\);_(&quot;$&quot;* &quot;-&quot;??_);_(@_)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34" formatCode="_(&quot;$&quot;* #,##0.00_);_(&quot;$&quot;* \(#,##0.00\);_(&quot;$&quot;* &quot;-&quot;??_);_(@_)"/>
    </dxf>
    <dxf>
      <numFmt numFmtId="167" formatCode="_(&quot;$&quot;* #,##0.00000_);_(&quot;$&quot;* \(#,##0.00000\);_(&quot;$&quot;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alignment wrapText="1"/>
    </dxf>
    <dxf>
      <alignment wrapText="1"/>
    </dxf>
    <dxf>
      <font>
        <b/>
      </font>
    </dxf>
    <dxf>
      <font>
        <b/>
      </font>
    </dxf>
    <dxf>
      <font>
        <color theme="0"/>
      </font>
    </dxf>
    <dxf>
      <numFmt numFmtId="13" formatCode="0%"/>
    </dxf>
    <dxf>
      <numFmt numFmtId="164" formatCode="_(* #,##0_);_(* \(#,##0\);_(* &quot;-&quot;??_);_(@_)"/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6.xml" Id="rId13" /><Relationship Type="http://schemas.openxmlformats.org/officeDocument/2006/relationships/externalLink" Target="externalLinks/externalLink11.xml" Id="rId18" /><Relationship Type="http://schemas.openxmlformats.org/officeDocument/2006/relationships/externalLink" Target="externalLinks/externalLink19.xml" Id="rId26" /><Relationship Type="http://schemas.openxmlformats.org/officeDocument/2006/relationships/externalLink" Target="externalLinks/externalLink32.xml" Id="rId39" /><Relationship Type="http://schemas.openxmlformats.org/officeDocument/2006/relationships/externalLink" Target="externalLinks/externalLink14.xml" Id="rId21" /><Relationship Type="http://schemas.openxmlformats.org/officeDocument/2006/relationships/externalLink" Target="externalLinks/externalLink27.xml" Id="rId34" /><Relationship Type="http://schemas.openxmlformats.org/officeDocument/2006/relationships/externalLink" Target="externalLinks/externalLink35.xml" Id="rId42" /><Relationship Type="http://schemas.openxmlformats.org/officeDocument/2006/relationships/externalLink" Target="externalLinks/externalLink40.xml" Id="rId47" /><Relationship Type="http://schemas.openxmlformats.org/officeDocument/2006/relationships/externalLink" Target="externalLinks/externalLink43.xml" Id="rId50" /><Relationship Type="http://schemas.openxmlformats.org/officeDocument/2006/relationships/pivotCacheDefinition" Target="pivotCache/pivotCacheDefinition2.xml" Id="rId55" /><Relationship Type="http://schemas.openxmlformats.org/officeDocument/2006/relationships/customXml" Target="../customXml/item4.xml" Id="rId6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9.xml" Id="rId16" /><Relationship Type="http://schemas.openxmlformats.org/officeDocument/2006/relationships/externalLink" Target="externalLinks/externalLink22.xml" Id="rId29" /><Relationship Type="http://schemas.openxmlformats.org/officeDocument/2006/relationships/externalLink" Target="externalLinks/externalLink4.xml" Id="rId11" /><Relationship Type="http://schemas.openxmlformats.org/officeDocument/2006/relationships/externalLink" Target="externalLinks/externalLink17.xml" Id="rId24" /><Relationship Type="http://schemas.openxmlformats.org/officeDocument/2006/relationships/externalLink" Target="externalLinks/externalLink25.xml" Id="rId32" /><Relationship Type="http://schemas.openxmlformats.org/officeDocument/2006/relationships/externalLink" Target="externalLinks/externalLink30.xml" Id="rId37" /><Relationship Type="http://schemas.openxmlformats.org/officeDocument/2006/relationships/externalLink" Target="externalLinks/externalLink33.xml" Id="rId40" /><Relationship Type="http://schemas.openxmlformats.org/officeDocument/2006/relationships/externalLink" Target="externalLinks/externalLink38.xml" Id="rId45" /><Relationship Type="http://schemas.openxmlformats.org/officeDocument/2006/relationships/externalLink" Target="externalLinks/externalLink46.xml" Id="rId53" /><Relationship Type="http://schemas.openxmlformats.org/officeDocument/2006/relationships/sharedStrings" Target="sharedStrings.xml" Id="rId58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12.xml" Id="rId19" /><Relationship Type="http://schemas.openxmlformats.org/officeDocument/2006/relationships/externalLink" Target="externalLinks/externalLink7.xml" Id="rId14" /><Relationship Type="http://schemas.openxmlformats.org/officeDocument/2006/relationships/externalLink" Target="externalLinks/externalLink15.xml" Id="rId22" /><Relationship Type="http://schemas.openxmlformats.org/officeDocument/2006/relationships/externalLink" Target="externalLinks/externalLink20.xml" Id="rId27" /><Relationship Type="http://schemas.openxmlformats.org/officeDocument/2006/relationships/externalLink" Target="externalLinks/externalLink23.xml" Id="rId30" /><Relationship Type="http://schemas.openxmlformats.org/officeDocument/2006/relationships/externalLink" Target="externalLinks/externalLink28.xml" Id="rId35" /><Relationship Type="http://schemas.openxmlformats.org/officeDocument/2006/relationships/externalLink" Target="externalLinks/externalLink36.xml" Id="rId43" /><Relationship Type="http://schemas.openxmlformats.org/officeDocument/2006/relationships/externalLink" Target="externalLinks/externalLink41.xml" Id="rId48" /><Relationship Type="http://schemas.openxmlformats.org/officeDocument/2006/relationships/theme" Target="theme/theme1.xml" Id="rId56" /><Relationship Type="http://schemas.openxmlformats.org/officeDocument/2006/relationships/externalLink" Target="externalLinks/externalLink1.xml" Id="rId8" /><Relationship Type="http://schemas.openxmlformats.org/officeDocument/2006/relationships/externalLink" Target="externalLinks/externalLink44.xml" Id="rId51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5.xml" Id="rId12" /><Relationship Type="http://schemas.openxmlformats.org/officeDocument/2006/relationships/externalLink" Target="externalLinks/externalLink10.xml" Id="rId17" /><Relationship Type="http://schemas.openxmlformats.org/officeDocument/2006/relationships/externalLink" Target="externalLinks/externalLink18.xml" Id="rId25" /><Relationship Type="http://schemas.openxmlformats.org/officeDocument/2006/relationships/externalLink" Target="externalLinks/externalLink26.xml" Id="rId33" /><Relationship Type="http://schemas.openxmlformats.org/officeDocument/2006/relationships/externalLink" Target="externalLinks/externalLink31.xml" Id="rId38" /><Relationship Type="http://schemas.openxmlformats.org/officeDocument/2006/relationships/externalLink" Target="externalLinks/externalLink39.xml" Id="rId46" /><Relationship Type="http://schemas.openxmlformats.org/officeDocument/2006/relationships/calcChain" Target="calcChain.xml" Id="rId59" /><Relationship Type="http://schemas.openxmlformats.org/officeDocument/2006/relationships/externalLink" Target="externalLinks/externalLink13.xml" Id="rId20" /><Relationship Type="http://schemas.openxmlformats.org/officeDocument/2006/relationships/externalLink" Target="externalLinks/externalLink34.xml" Id="rId41" /><Relationship Type="http://schemas.openxmlformats.org/officeDocument/2006/relationships/pivotCacheDefinition" Target="pivotCache/pivotCacheDefinition1.xml" Id="rId54" /><Relationship Type="http://schemas.openxmlformats.org/officeDocument/2006/relationships/customXml" Target="../customXml/item3.xml" Id="rId6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externalLink" Target="externalLinks/externalLink8.xml" Id="rId15" /><Relationship Type="http://schemas.openxmlformats.org/officeDocument/2006/relationships/externalLink" Target="externalLinks/externalLink16.xml" Id="rId23" /><Relationship Type="http://schemas.openxmlformats.org/officeDocument/2006/relationships/externalLink" Target="externalLinks/externalLink21.xml" Id="rId28" /><Relationship Type="http://schemas.openxmlformats.org/officeDocument/2006/relationships/externalLink" Target="externalLinks/externalLink29.xml" Id="rId36" /><Relationship Type="http://schemas.openxmlformats.org/officeDocument/2006/relationships/externalLink" Target="externalLinks/externalLink42.xml" Id="rId49" /><Relationship Type="http://schemas.openxmlformats.org/officeDocument/2006/relationships/styles" Target="styles.xml" Id="rId57" /><Relationship Type="http://schemas.openxmlformats.org/officeDocument/2006/relationships/externalLink" Target="externalLinks/externalLink3.xml" Id="rId10" /><Relationship Type="http://schemas.openxmlformats.org/officeDocument/2006/relationships/externalLink" Target="externalLinks/externalLink24.xml" Id="rId31" /><Relationship Type="http://schemas.openxmlformats.org/officeDocument/2006/relationships/externalLink" Target="externalLinks/externalLink37.xml" Id="rId44" /><Relationship Type="http://schemas.openxmlformats.org/officeDocument/2006/relationships/externalLink" Target="externalLinks/externalLink45.xml" Id="rId52" /><Relationship Type="http://schemas.openxmlformats.org/officeDocument/2006/relationships/customXml" Target="../customXml/item1.xml" Id="rId60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2.xml" Id="rId9" /><Relationship Type="http://schemas.openxmlformats.org/officeDocument/2006/relationships/customXml" Target="/customXML/item5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rtis_young.CPK/AppData/Local/Microsoft/Windows/Temporary%20Internet%20Files/Content.Outlook/4BJ31546/Cash%20Projections/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Forecast\2015\Gas\Gas%20Gross%20Margin%20Forecast%20-%2006-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camfield/My%20Documents/FPU/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Budget\2016\FINAL%202016%20Electric%20Margin%20Budget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0557-NIPSCO2021RateCaseSupport/Shared%20Documents/General/COSA%20Model/NIPSCO%20COSA%20Model%20DRAFT_2021_09_07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 refreshError="1"/>
      <sheetData sheetId="12" refreshError="1"/>
      <sheetData sheetId="13">
        <row r="14">
          <cell r="BA14">
            <v>24037.666666666668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eneral Inputs"/>
      <sheetName val="Input-Allocators"/>
      <sheetName val="Input-Accounts"/>
      <sheetName val="Functionalization"/>
      <sheetName val="Classification"/>
      <sheetName val="Template"/>
      <sheetName val="Accts_Cust"/>
      <sheetName val="OnSite_Cust"/>
      <sheetName val="Dist_Cust"/>
      <sheetName val="Storage_Comm"/>
      <sheetName val="Dist_Dem"/>
      <sheetName val="Trans_Dem"/>
      <sheetName val="LNG_Dem"/>
      <sheetName val="Storage_Dem"/>
      <sheetName val="DemandTotal"/>
      <sheetName val="EnergyTotal"/>
      <sheetName val="CustomerTotal"/>
      <sheetName val="GrandTotal"/>
      <sheetName val="Summary"/>
      <sheetName val="UnitCost"/>
      <sheetName val="Rev Apportionment"/>
      <sheetName val="Last Case v. This Case"/>
      <sheetName val="Revenue Aport. Values"/>
      <sheetName val="Summary Values"/>
      <sheetName val="Rev Apportionment_alternate"/>
      <sheetName val="Comparison"/>
      <sheetName val="Tables for Testimony"/>
      <sheetName val="ErrorCheck"/>
      <sheetName val="Required Sheets"/>
    </sheetNames>
    <sheetDataSet>
      <sheetData sheetId="0"/>
      <sheetData sheetId="1">
        <row r="19">
          <cell r="D19">
            <v>6.8699999999999997E-2</v>
          </cell>
        </row>
        <row r="32">
          <cell r="D32">
            <v>1</v>
          </cell>
        </row>
      </sheetData>
      <sheetData sheetId="2">
        <row r="9">
          <cell r="B9" t="str">
            <v>STORAGE</v>
          </cell>
        </row>
        <row r="10">
          <cell r="B10" t="str">
            <v>LNG</v>
          </cell>
        </row>
        <row r="11">
          <cell r="B11" t="str">
            <v>TRANSMISSION</v>
          </cell>
        </row>
        <row r="12">
          <cell r="B12" t="str">
            <v>DISTRIBUTION</v>
          </cell>
        </row>
        <row r="13">
          <cell r="B13" t="str">
            <v>ON-SITE</v>
          </cell>
        </row>
        <row r="14">
          <cell r="B14" t="str">
            <v>CUST. ACCOUNTS</v>
          </cell>
        </row>
        <row r="15">
          <cell r="B15"/>
        </row>
        <row r="16">
          <cell r="B16"/>
        </row>
        <row r="19">
          <cell r="B19" t="str">
            <v>DEMAND</v>
          </cell>
        </row>
        <row r="20">
          <cell r="B20" t="str">
            <v>COMMODITY</v>
          </cell>
        </row>
        <row r="21">
          <cell r="B21" t="str">
            <v>CUSTOMER</v>
          </cell>
        </row>
        <row r="22">
          <cell r="B22" t="str">
            <v>MIN_SYS</v>
          </cell>
        </row>
        <row r="23">
          <cell r="B23"/>
        </row>
        <row r="24">
          <cell r="B24"/>
        </row>
        <row r="27">
          <cell r="B27"/>
        </row>
        <row r="28">
          <cell r="B28" t="str">
            <v>DESIGN_DAY</v>
          </cell>
        </row>
        <row r="29">
          <cell r="B29" t="str">
            <v>DIST_DESIGN_DAY</v>
          </cell>
        </row>
        <row r="30">
          <cell r="B30" t="str">
            <v>PEAK_AVG</v>
          </cell>
        </row>
        <row r="31">
          <cell r="B31" t="str">
            <v>SEASxTRANSPORT</v>
          </cell>
        </row>
        <row r="32">
          <cell r="B32" t="str">
            <v>3-DAYxTRANSPORT</v>
          </cell>
        </row>
        <row r="33">
          <cell r="B33" t="str">
            <v>CUSTOMERS</v>
          </cell>
        </row>
        <row r="34">
          <cell r="B34" t="str">
            <v>DIST_CUST</v>
          </cell>
        </row>
        <row r="35">
          <cell r="B35" t="str">
            <v>METERS</v>
          </cell>
        </row>
        <row r="36">
          <cell r="B36" t="str">
            <v>SERVICES</v>
          </cell>
        </row>
        <row r="37">
          <cell r="B37" t="str">
            <v>ACCT_385</v>
          </cell>
        </row>
        <row r="38">
          <cell r="B38" t="str">
            <v>UNCOLLECT</v>
          </cell>
        </row>
        <row r="39">
          <cell r="B39" t="str">
            <v>METER_READ</v>
          </cell>
        </row>
        <row r="40">
          <cell r="B40" t="str">
            <v>CUST_RECORDS</v>
          </cell>
        </row>
        <row r="41">
          <cell r="B41" t="str">
            <v>ACCT_901</v>
          </cell>
        </row>
        <row r="42">
          <cell r="B42" t="str">
            <v>ACCT_910</v>
          </cell>
        </row>
        <row r="43">
          <cell r="B43" t="str">
            <v>ACCT_879</v>
          </cell>
        </row>
        <row r="44">
          <cell r="B44" t="str">
            <v>TOTAL_VOLUME</v>
          </cell>
        </row>
        <row r="45">
          <cell r="B45" t="str">
            <v>WINTER_SEASxT</v>
          </cell>
        </row>
        <row r="46">
          <cell r="B46" t="str">
            <v>BASE_REVENUE</v>
          </cell>
        </row>
        <row r="47">
          <cell r="B47" t="str">
            <v>TDSIC_REVENUE</v>
          </cell>
        </row>
        <row r="48">
          <cell r="B48" t="str">
            <v>FMCA_REVENUE</v>
          </cell>
        </row>
        <row r="49">
          <cell r="B49" t="str">
            <v>RIDERS</v>
          </cell>
        </row>
        <row r="50">
          <cell r="B50" t="str">
            <v>GAS_REVENUE</v>
          </cell>
        </row>
        <row r="51">
          <cell r="B51" t="str">
            <v>TOTAL_REVENUE</v>
          </cell>
        </row>
        <row r="52">
          <cell r="B52" t="str">
            <v>NONGAS_REVENUE</v>
          </cell>
        </row>
        <row r="53">
          <cell r="B53" t="str">
            <v>LATE_FEES</v>
          </cell>
        </row>
        <row r="54">
          <cell r="B54" t="str">
            <v>MISC_REVENUE</v>
          </cell>
        </row>
        <row r="55">
          <cell r="B55" t="str">
            <v>DEFERRED</v>
          </cell>
        </row>
        <row r="56">
          <cell r="B56" t="str">
            <v>SHUTOFF_RECONNECT</v>
          </cell>
        </row>
        <row r="57">
          <cell r="B57"/>
        </row>
        <row r="58">
          <cell r="B58"/>
        </row>
        <row r="59">
          <cell r="B59"/>
        </row>
        <row r="60">
          <cell r="B60"/>
        </row>
        <row r="61">
          <cell r="B61"/>
        </row>
        <row r="62">
          <cell r="B62"/>
        </row>
        <row r="63">
          <cell r="B63"/>
        </row>
        <row r="64">
          <cell r="B64"/>
        </row>
        <row r="65">
          <cell r="B65"/>
        </row>
        <row r="66">
          <cell r="B66"/>
        </row>
        <row r="67">
          <cell r="B67"/>
        </row>
        <row r="68">
          <cell r="B68"/>
        </row>
        <row r="69">
          <cell r="B69"/>
        </row>
        <row r="70">
          <cell r="B70"/>
        </row>
        <row r="71">
          <cell r="B71"/>
        </row>
        <row r="72">
          <cell r="B72"/>
        </row>
        <row r="73">
          <cell r="B73"/>
        </row>
        <row r="74">
          <cell r="B74"/>
        </row>
        <row r="75">
          <cell r="B75"/>
        </row>
        <row r="76">
          <cell r="B76"/>
        </row>
        <row r="77">
          <cell r="B77"/>
        </row>
        <row r="78">
          <cell r="B78"/>
        </row>
        <row r="79">
          <cell r="B79"/>
        </row>
        <row r="80">
          <cell r="B80"/>
        </row>
        <row r="81">
          <cell r="B81"/>
        </row>
        <row r="82">
          <cell r="B82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4">
          <cell r="G24" t="str">
            <v>Storage_Dem</v>
          </cell>
          <cell r="H24" t="str">
            <v>Storage_Comm</v>
          </cell>
          <cell r="I24" t="str">
            <v>Dist_Cust</v>
          </cell>
        </row>
        <row r="25">
          <cell r="G25" t="str">
            <v>LNG_Dem</v>
          </cell>
          <cell r="H25" t="str">
            <v/>
          </cell>
          <cell r="I25" t="str">
            <v>OnSite_Cust</v>
          </cell>
        </row>
        <row r="26">
          <cell r="G26" t="str">
            <v>Trans_Dem</v>
          </cell>
          <cell r="H26" t="str">
            <v/>
          </cell>
          <cell r="I26" t="str">
            <v>Accts_Cust</v>
          </cell>
        </row>
        <row r="27">
          <cell r="G27" t="str">
            <v>Dist_Dem</v>
          </cell>
          <cell r="H27" t="str">
            <v/>
          </cell>
          <cell r="I27" t="str">
            <v/>
          </cell>
        </row>
        <row r="28">
          <cell r="G28" t="str">
            <v/>
          </cell>
          <cell r="H28" t="str">
            <v/>
          </cell>
          <cell r="I28" t="str">
            <v/>
          </cell>
        </row>
        <row r="29">
          <cell r="G29" t="str">
            <v/>
          </cell>
          <cell r="H29" t="str">
            <v/>
          </cell>
          <cell r="I29" t="str">
            <v/>
          </cell>
        </row>
        <row r="30">
          <cell r="G30" t="str">
            <v/>
          </cell>
          <cell r="H30" t="str">
            <v/>
          </cell>
          <cell r="I30" t="str">
            <v/>
          </cell>
        </row>
        <row r="31">
          <cell r="G31" t="str">
            <v/>
          </cell>
          <cell r="H31" t="str">
            <v/>
          </cell>
          <cell r="I31" t="str">
            <v/>
          </cell>
        </row>
        <row r="32">
          <cell r="G32" t="str">
            <v/>
          </cell>
          <cell r="H32" t="str">
            <v/>
          </cell>
          <cell r="I32" t="str">
            <v/>
          </cell>
        </row>
        <row r="33">
          <cell r="G33" t="str">
            <v/>
          </cell>
          <cell r="H33" t="str">
            <v/>
          </cell>
          <cell r="I33" t="str">
            <v/>
          </cell>
        </row>
        <row r="34">
          <cell r="G34" t="str">
            <v/>
          </cell>
          <cell r="H34" t="str">
            <v/>
          </cell>
          <cell r="I34" t="str">
            <v/>
          </cell>
        </row>
        <row r="35">
          <cell r="G35" t="str">
            <v/>
          </cell>
          <cell r="H35" t="str">
            <v/>
          </cell>
          <cell r="I35" t="str">
            <v/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19.74835671296" createdVersion="7" refreshedVersion="7" minRefreshableVersion="3" recordCount="160" xr:uid="{E9083BD0-1F53-485E-B6B3-1EA61A5193A6}">
  <cacheSource type="worksheet">
    <worksheetSource ref="A6:AZ166" sheet="Bill Impact Detail"/>
  </cacheSource>
  <cacheFields count="52">
    <cacheField name="Division" numFmtId="0">
      <sharedItems containsBlank="1"/>
    </cacheField>
    <cacheField name="Customer Type" numFmtId="0">
      <sharedItems containsBlank="1"/>
    </cacheField>
    <cacheField name="Rate Code" numFmtId="0">
      <sharedItems containsBlank="1"/>
    </cacheField>
    <cacheField name="Division2" numFmtId="0">
      <sharedItems containsBlank="1"/>
    </cacheField>
    <cacheField name="Customer Class" numFmtId="0">
      <sharedItems containsBlank="1"/>
    </cacheField>
    <cacheField name="Proposed Code" numFmtId="0">
      <sharedItems containsBlank="1"/>
    </cacheField>
    <cacheField name="Proposed Customer Class" numFmtId="0">
      <sharedItems containsBlank="1" count="19">
        <s v="Residential - 2"/>
        <s v="Residential - 3"/>
        <s v="Residential - 1"/>
        <s v="General Service - 2"/>
        <s v="General Service - 3"/>
        <s v="General Service - 4"/>
        <s v="General Service - 1"/>
        <s v="General Service - 5"/>
        <s v="Commercial Standby Generator"/>
        <s v="Commercial - Outdoor Lighting"/>
        <s v="Commercial - Interruptible"/>
        <s v="General Service - 6"/>
        <s v="General Service - 7"/>
        <s v="General Service - 8"/>
        <s v="Commercial - NGV"/>
        <s v="Residential Standby Generator"/>
        <m/>
        <s v="Residential - (Low Use Fixed)" u="1"/>
        <s v="General Service - (Low Use Fixed)" u="1"/>
      </sharedItems>
    </cacheField>
    <cacheField name="Proposed Group Code" numFmtId="0">
      <sharedItems containsBlank="1"/>
    </cacheField>
    <cacheField name="Proposed Customer Croup" numFmtId="0">
      <sharedItems containsBlank="1" count="20">
        <s v="Residential - 2"/>
        <s v="Residential - 3"/>
        <s v="Residential - 1"/>
        <s v="General Service - 2"/>
        <s v="General Service - 3"/>
        <s v="General Service - 4"/>
        <s v="General Service - 1"/>
        <s v="General Service - 5"/>
        <s v="Commercial Standby Generator"/>
        <s v="Commercial - Outdoor Lighting"/>
        <s v="Commercial - Interruptible"/>
        <s v="General Service - 6"/>
        <s v="General Service - 7"/>
        <s v="General Service - 8 - A"/>
        <s v="General Service - 8 - B"/>
        <s v="Commercial - NGV"/>
        <s v="Residential Standby Generator"/>
        <s v="General Service - 8 - D"/>
        <s v="General Service - 8 - C"/>
        <m/>
      </sharedItems>
    </cacheField>
    <cacheField name="Applicability" numFmtId="0">
      <sharedItems containsBlank="1"/>
    </cacheField>
    <cacheField name="Lookup" numFmtId="0">
      <sharedItems containsBlank="1"/>
    </cacheField>
    <cacheField name="Proposed Code Sort" numFmtId="0">
      <sharedItems containsString="0" containsBlank="1" containsNumber="1" containsInteger="1" minValue="1" maxValue="16" count="17">
        <n v="2"/>
        <n v="3"/>
        <n v="1"/>
        <n v="6"/>
        <n v="7"/>
        <n v="8"/>
        <n v="5"/>
        <n v="9"/>
        <n v="16"/>
        <n v="15"/>
        <n v="13"/>
        <n v="10"/>
        <n v="11"/>
        <n v="12"/>
        <n v="14"/>
        <n v="4"/>
        <m/>
      </sharedItems>
    </cacheField>
    <cacheField name="Rate Division" numFmtId="0">
      <sharedItems containsBlank="1" count="4">
        <s v="FI"/>
        <s v="FT"/>
        <s v="CF &amp; FN"/>
        <m/>
      </sharedItems>
    </cacheField>
    <cacheField name="Annual UPC" numFmtId="164">
      <sharedItems containsString="0" containsBlank="1" containsNumber="1" containsInteger="1" minValue="7" maxValue="6667307"/>
    </cacheField>
    <cacheField name="Current Customer Charge (CC)" numFmtId="0">
      <sharedItems containsString="0" containsBlank="1" containsNumber="1" minValue="0" maxValue="9000"/>
    </cacheField>
    <cacheField name="Proposed Customer Charge (CC)" numFmtId="0">
      <sharedItems containsString="0" containsBlank="1" containsNumber="1" minValue="0" maxValue="9500"/>
    </cacheField>
    <cacheField name="x" numFmtId="0">
      <sharedItems containsNonDate="0" containsString="0" containsBlank="1"/>
    </cacheField>
    <cacheField name="Current VM Charge + GRIP" numFmtId="0">
      <sharedItems containsString="0" containsBlank="1" containsNumber="1" minValue="4.7849999999999997E-2" maxValue="1.3826100000000003"/>
    </cacheField>
    <cacheField name="Current VM Charge" numFmtId="0">
      <sharedItems containsString="0" containsBlank="1" containsNumber="1" minValue="0" maxValue="0.55700000000000005"/>
    </cacheField>
    <cacheField name="Proposed VM Charge" numFmtId="0">
      <sharedItems containsString="0" containsBlank="1" containsNumber="1" minValue="4.9619999999999997E-2" maxValue="0.70123999999999997"/>
    </cacheField>
    <cacheField name="x2" numFmtId="0">
      <sharedItems containsNonDate="0" containsString="0" containsBlank="1"/>
    </cacheField>
    <cacheField name="x3" numFmtId="0">
      <sharedItems containsNonDate="0" containsString="0" containsBlank="1"/>
    </cacheField>
    <cacheField name="GRIP Rate" numFmtId="0">
      <sharedItems containsString="0" containsBlank="1" containsNumber="1" minValue="0" maxValue="1.1405100000000004"/>
    </cacheField>
    <cacheField name="Conservation Rate" numFmtId="0">
      <sharedItems containsNonDate="0" containsString="0" containsBlank="1"/>
    </cacheField>
    <cacheField name="PGA rate" numFmtId="0">
      <sharedItems containsNonDate="0" containsString="0" containsBlank="1"/>
    </cacheField>
    <cacheField name="SWING Rate" numFmtId="0">
      <sharedItems containsNonDate="0" containsString="0" containsBlank="1"/>
    </cacheField>
    <cacheField name="x4" numFmtId="0">
      <sharedItems containsNonDate="0" containsString="0" containsBlank="1"/>
    </cacheField>
    <cacheField name=" Customer Charge (CC)" numFmtId="0">
      <sharedItems containsString="0" containsBlank="1" containsNumber="1" minValue="0" maxValue="108000"/>
    </cacheField>
    <cacheField name="VM Charge" numFmtId="0">
      <sharedItems containsString="0" containsBlank="1" containsNumber="1" minValue="0" maxValue="600992.47465999995"/>
    </cacheField>
    <cacheField name="GRIP " numFmtId="0">
      <sharedItems containsString="0" containsBlank="1" containsNumber="1" minValue="0" maxValue="272032.10807999998"/>
    </cacheField>
    <cacheField name="Conservation" numFmtId="0">
      <sharedItems containsString="0" containsBlank="1" containsNumber="1" containsInteger="1" minValue="0" maxValue="0"/>
    </cacheField>
    <cacheField name="PGA" numFmtId="0">
      <sharedItems containsString="0" containsBlank="1" containsNumber="1" containsInteger="1" minValue="0" maxValue="0"/>
    </cacheField>
    <cacheField name="SWING" numFmtId="0">
      <sharedItems containsString="0" containsBlank="1" containsNumber="1" containsInteger="1" minValue="0" maxValue="0"/>
    </cacheField>
    <cacheField name="Total Bill" numFmtId="0">
      <sharedItems containsString="0" containsBlank="1" containsNumber="1" minValue="128.05255" maxValue="874104.58273999998"/>
    </cacheField>
    <cacheField name="x5" numFmtId="0">
      <sharedItems containsNonDate="0" containsString="0" containsBlank="1"/>
    </cacheField>
    <cacheField name=" Customer Charge (CC)2" numFmtId="0">
      <sharedItems containsString="0" containsBlank="1" containsNumber="1" containsInteger="1" minValue="0" maxValue="114000"/>
    </cacheField>
    <cacheField name="VM Charge2" numFmtId="0">
      <sharedItems containsString="0" containsBlank="1" containsNumber="1" minValue="4.5660300000000005" maxValue="1154910.91854"/>
    </cacheField>
    <cacheField name="GRIP 2" numFmtId="0">
      <sharedItems containsNonDate="0" containsString="0" containsBlank="1"/>
    </cacheField>
    <cacheField name="Conservation2" numFmtId="0">
      <sharedItems containsString="0" containsBlank="1" containsNumber="1" containsInteger="1" minValue="0" maxValue="0"/>
    </cacheField>
    <cacheField name="PGA2" numFmtId="0">
      <sharedItems containsString="0" containsBlank="1" containsNumber="1" containsInteger="1" minValue="0" maxValue="0"/>
    </cacheField>
    <cacheField name="SWING2" numFmtId="0">
      <sharedItems containsString="0" containsBlank="1" containsNumber="1" containsInteger="1" minValue="0" maxValue="0"/>
    </cacheField>
    <cacheField name="Total Bill2" numFmtId="0">
      <sharedItems containsString="0" containsBlank="1" containsNumber="1" minValue="158.05255" maxValue="1268910.91854"/>
    </cacheField>
    <cacheField name="$ Annual Bill Change" numFmtId="0">
      <sharedItems containsString="0" containsBlank="1" containsNumber="1" minValue="-168781.41527000011" maxValue="505394.628914"/>
    </cacheField>
    <cacheField name="% Annual Bill Change" numFmtId="0">
      <sharedItems containsString="0" containsBlank="1" containsNumber="1" minValue="-0.92923372342709099" maxValue="2.6464425149881694"/>
    </cacheField>
    <cacheField name="x6" numFmtId="0">
      <sharedItems containsNonDate="0" containsString="0" containsBlank="1"/>
    </cacheField>
    <cacheField name="Customer Count" numFmtId="43">
      <sharedItems containsSemiMixedTypes="0" containsString="0" containsNumber="1" containsInteger="1" minValue="1" maxValue="94386"/>
    </cacheField>
    <cacheField name="% To total Customer Count" numFmtId="0">
      <sharedItems containsString="0" containsBlank="1" containsNumber="1" minValue="3.5938903863432166E-5" maxValue="1"/>
    </cacheField>
    <cacheField name="x7" numFmtId="0">
      <sharedItems containsNonDate="0" containsString="0" containsBlank="1"/>
    </cacheField>
    <cacheField name="Consolidated Weighted Average Bill Change $" numFmtId="164">
      <sharedItems containsString="0" containsBlank="1" containsNumber="1" minValue="-21097.68" maxValue="126348.66"/>
    </cacheField>
    <cacheField name="Consolidated Weighted Average Bill Change %" numFmtId="0">
      <sharedItems containsString="0" containsBlank="1" containsNumber="1" minValue="-0.5202" maxValue="0.56269999999999998"/>
    </cacheField>
    <cacheField name="x8" numFmtId="0">
      <sharedItems containsNonDate="0" containsString="0" containsBlank="1"/>
    </cacheField>
    <cacheField name="x9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19.750283449073" createdVersion="7" refreshedVersion="7" minRefreshableVersion="3" recordCount="161" xr:uid="{265EB513-D13F-4740-8B85-5083948D3546}">
  <cacheSource type="worksheet">
    <worksheetSource ref="A6:AZ167" sheet="Bill Impact Detail"/>
  </cacheSource>
  <cacheFields count="52">
    <cacheField name="Division" numFmtId="0">
      <sharedItems containsBlank="1" count="5">
        <s v="Indiantown"/>
        <s v="Ft. Meade "/>
        <s v="FPUC"/>
        <s v="CFG"/>
        <m/>
      </sharedItems>
    </cacheField>
    <cacheField name="Customer Type" numFmtId="0">
      <sharedItems containsBlank="1" count="3">
        <s v="Residential"/>
        <s v="Commercial"/>
        <m/>
      </sharedItems>
    </cacheField>
    <cacheField name="Rate Code" numFmtId="0">
      <sharedItems containsBlank="1"/>
    </cacheField>
    <cacheField name="Division2" numFmtId="0">
      <sharedItems containsBlank="1"/>
    </cacheField>
    <cacheField name="Customer Class" numFmtId="0">
      <sharedItems containsBlank="1" count="55">
        <s v="Indiantown - Transportation Service 1"/>
        <s v="Indiantown - Transportation Service 2"/>
        <s v="Indiantown - Transportation Service 3"/>
        <s v="Ft. Meade - General Service-1"/>
        <s v="Ft. Meade - General Transportation Service-1"/>
        <s v="Ft. Meade - Large Volume Service"/>
        <s v="Ft. Meade - Large Volume Transportation Service"/>
        <s v="Ft. Meade - Residential Service"/>
        <s v="FPUC - Commercial Standby Generator Service"/>
        <s v="FPUC - Gas Lighting Service"/>
        <s v="FPUC - General Service-1"/>
        <s v="FPUC - General Service - 2"/>
        <s v="FPUC - General Transportation Service -1"/>
        <s v="FPUC - General Transportation Service-2"/>
        <s v="FPUC - Interruptible Transportation Service (ITS)"/>
        <s v="FPUC - Large Volume Service"/>
        <s v="FPUC - Large Volume Transportation Service"/>
        <s v="FPUC - Natural Gas Vehicle Transportation Service"/>
        <s v="FPUC - Residential Service"/>
        <s v="FPUC - Residential Standby Generator Service"/>
        <s v="CFG - Firm Transportation Service - 1 (Fixed Non-Residential)"/>
        <s v="CFG - Firm Transportation Service - 1 (Fixed Residential)"/>
        <s v="CFG - Firm Transportation Service - 1 Non-Residential"/>
        <s v="CFG - Firm Transportation Service - 1 Residential"/>
        <s v="CFG - Firm Transportation Service - 10"/>
        <s v="CFG - Firm Transportation Service - 11"/>
        <s v="CFG - Firm Transportation Service - 12"/>
        <s v="CFG - Firm Transportation Service - 2 (Fixed Non-Residential)"/>
        <s v="CFG - Firm Transportation Service - 2 (Fixed Residential)"/>
        <s v="CFG - Firm Transportation Service - 2 Non-Residential"/>
        <s v="CFG - Firm Transportation Service - 2 Residential"/>
        <s v="CFG - Firm Transportation Service - 2.1 (Fixed Non-Residential)"/>
        <s v="CFG - Firm Transportation Service - 2.1 (Fixed Residential)"/>
        <s v="CFG - Firm Transportation Service - 2.1 Non-Residential"/>
        <s v="CFG - Firm Transportation Service - 2.1 Residential"/>
        <s v="CFG - Firm Transportation Service - 3 (Fixed Non-Residential)"/>
        <s v="CFG - Firm Transportation Service - 3 Non-Residential"/>
        <s v="CFG - Firm Transportation Service - 3 Residential"/>
        <s v="CFG - Firm Transportation Service - 3.1 (Fixed Non-Residential)"/>
        <s v="CFG - Firm Transportation Service - 3.1 Non-Residential"/>
        <s v="CFG - Firm Transportation Service - 4"/>
        <s v="CFG - Firm Transportation Service - 5"/>
        <s v="CFG - Firm Transportation Service - 6"/>
        <s v="CFG - Firm Transportation Service - 7"/>
        <s v="CFG - Firm Transportation Service - 8"/>
        <s v="CFG - Firm Transportation Service - 9"/>
        <s v="CFG - Firm Transportation Service - A (Fixed Residential)"/>
        <s v="CFG - Firm Transportation Service - A Non-Residential"/>
        <s v="CFG - Firm Transportation Service - A Residential"/>
        <s v="CFG - Firm Transportation Service - B (Fixed Non-Residential)"/>
        <s v="CFG - Firm Transportation Service - B (Fixed Residential)"/>
        <s v="CFG - Firm Transportation Service - B Non-Residential"/>
        <s v="CFG - Firm Transportation Service - B Residential"/>
        <s v="CFG - Firm Transportation Service - NGV"/>
        <m/>
      </sharedItems>
    </cacheField>
    <cacheField name="Proposed Code" numFmtId="0">
      <sharedItems containsBlank="1"/>
    </cacheField>
    <cacheField name="Proposed Customer Class" numFmtId="0">
      <sharedItems containsBlank="1" count="19">
        <s v="Residential - 2"/>
        <s v="Residential - 3"/>
        <s v="Residential - 1"/>
        <s v="General Service - 2"/>
        <s v="General Service - 3"/>
        <s v="General Service - 4"/>
        <s v="General Service - 1"/>
        <s v="General Service - 5"/>
        <s v="Commercial Standby Generator"/>
        <s v="Commercial - Outdoor Lighting"/>
        <s v="Commercial - Interruptible"/>
        <s v="General Service - 6"/>
        <s v="General Service - 7"/>
        <s v="General Service - 8"/>
        <s v="Commercial - NGV"/>
        <s v="Residential Standby Generator"/>
        <m/>
        <s v="Residential - (Low Use Fixed)" u="1"/>
        <s v="General Service - (Low Use Fixed)" u="1"/>
      </sharedItems>
    </cacheField>
    <cacheField name="Proposed Group Code" numFmtId="0">
      <sharedItems containsBlank="1"/>
    </cacheField>
    <cacheField name="Proposed Customer Croup" numFmtId="0">
      <sharedItems containsBlank="1" count="20">
        <s v="Residential - 2"/>
        <s v="Residential - 3"/>
        <s v="Residential - 1"/>
        <s v="General Service - 2"/>
        <s v="General Service - 3"/>
        <s v="General Service - 4"/>
        <s v="General Service - 1"/>
        <s v="General Service - 5"/>
        <s v="Commercial Standby Generator"/>
        <s v="Commercial - Outdoor Lighting"/>
        <s v="Commercial - Interruptible"/>
        <s v="General Service - 6"/>
        <s v="General Service - 7"/>
        <s v="General Service - 8 - A"/>
        <s v="General Service - 8 - B"/>
        <s v="Commercial - NGV"/>
        <s v="Residential Standby Generator"/>
        <s v="General Service - 8 - D"/>
        <s v="General Service - 8 - C"/>
        <m/>
      </sharedItems>
    </cacheField>
    <cacheField name="Applicability" numFmtId="0">
      <sharedItems containsBlank="1" count="20">
        <s v="&gt; 100 &lt; = 250"/>
        <s v="n/a"/>
        <s v="&lt; = 100"/>
        <s v="&gt; 1000 &lt; = 5,000"/>
        <s v="&gt; 5,000 &lt; = 10,000"/>
        <s v="&gt; 10,000 &lt; = 50,000"/>
        <s v="&lt; = 1000"/>
        <s v="&gt; 50,000 &lt; = 250,000"/>
        <s v="&gt; 100,000"/>
        <s v="&gt; 250,000 &lt; = 500,000"/>
        <s v="&gt; 500,000 &lt; = 1,000,000"/>
        <s v="&gt; 1,000,000 &lt; = 1,500,000"/>
        <s v="&gt; 1,500,000 &lt; = 2,000,000"/>
        <s v="&gt; 4,000,000"/>
        <s v="&gt; 2,000,000 &lt; = 4,000,000"/>
        <m/>
        <s v="&gt; 2,000,000 &lt; = 2,500,000" u="1"/>
        <s v="&gt; 2,000,000" u="1"/>
        <s v="&gt; 2,500,000" u="1"/>
        <s v="&gt; 250" u="1"/>
      </sharedItems>
    </cacheField>
    <cacheField name="Lookup" numFmtId="0">
      <sharedItems containsBlank="1"/>
    </cacheField>
    <cacheField name="Proposed Code Sort" numFmtId="0">
      <sharedItems containsString="0" containsBlank="1" containsNumber="1" containsInteger="1" minValue="1" maxValue="16" count="17">
        <n v="2"/>
        <n v="3"/>
        <n v="1"/>
        <n v="6"/>
        <n v="7"/>
        <n v="8"/>
        <n v="5"/>
        <n v="9"/>
        <n v="16"/>
        <n v="15"/>
        <n v="13"/>
        <n v="10"/>
        <n v="11"/>
        <n v="12"/>
        <n v="14"/>
        <n v="4"/>
        <m/>
      </sharedItems>
    </cacheField>
    <cacheField name="Rate Division" numFmtId="0">
      <sharedItems containsBlank="1"/>
    </cacheField>
    <cacheField name="Annual UPC" numFmtId="164">
      <sharedItems containsString="0" containsBlank="1" containsNumber="1" containsInteger="1" minValue="7" maxValue="6667307"/>
    </cacheField>
    <cacheField name="Current Customer Charge (CC)" numFmtId="0">
      <sharedItems containsString="0" containsBlank="1" containsNumber="1" minValue="0" maxValue="9000"/>
    </cacheField>
    <cacheField name="Proposed Customer Charge (CC)" numFmtId="0">
      <sharedItems containsString="0" containsBlank="1" containsNumber="1" minValue="0" maxValue="9500"/>
    </cacheField>
    <cacheField name="x" numFmtId="0">
      <sharedItems containsNonDate="0" containsString="0" containsBlank="1"/>
    </cacheField>
    <cacheField name="Current VM Charge + GRIP" numFmtId="0">
      <sharedItems containsString="0" containsBlank="1" containsNumber="1" minValue="4.7849999999999997E-2" maxValue="1.3826100000000003"/>
    </cacheField>
    <cacheField name="Current VM Charge" numFmtId="0">
      <sharedItems containsString="0" containsBlank="1" containsNumber="1" minValue="0" maxValue="0.55700000000000005"/>
    </cacheField>
    <cacheField name="Proposed VM Charge" numFmtId="0">
      <sharedItems containsString="0" containsBlank="1" containsNumber="1" minValue="4.9619999999999997E-2" maxValue="0.70123999999999997"/>
    </cacheField>
    <cacheField name="x2" numFmtId="0">
      <sharedItems containsNonDate="0" containsString="0" containsBlank="1"/>
    </cacheField>
    <cacheField name="x3" numFmtId="0">
      <sharedItems containsNonDate="0" containsString="0" containsBlank="1"/>
    </cacheField>
    <cacheField name="GRIP Rate" numFmtId="0">
      <sharedItems containsString="0" containsBlank="1" containsNumber="1" minValue="0" maxValue="1.1405100000000004"/>
    </cacheField>
    <cacheField name="Conservation Rate" numFmtId="0">
      <sharedItems containsNonDate="0" containsString="0" containsBlank="1"/>
    </cacheField>
    <cacheField name="PGA rate" numFmtId="0">
      <sharedItems containsNonDate="0" containsString="0" containsBlank="1"/>
    </cacheField>
    <cacheField name="SWING Rate" numFmtId="0">
      <sharedItems containsNonDate="0" containsString="0" containsBlank="1"/>
    </cacheField>
    <cacheField name="x4" numFmtId="0">
      <sharedItems containsNonDate="0" containsString="0" containsBlank="1"/>
    </cacheField>
    <cacheField name=" Customer Charge (CC)" numFmtId="0">
      <sharedItems containsString="0" containsBlank="1" containsNumber="1" minValue="0" maxValue="108000"/>
    </cacheField>
    <cacheField name="VM Charge" numFmtId="0">
      <sharedItems containsString="0" containsBlank="1" containsNumber="1" minValue="0" maxValue="600992.47465999995"/>
    </cacheField>
    <cacheField name="GRIP " numFmtId="0">
      <sharedItems containsString="0" containsBlank="1" containsNumber="1" minValue="0" maxValue="272032.10807999998"/>
    </cacheField>
    <cacheField name="Conservation" numFmtId="0">
      <sharedItems containsString="0" containsBlank="1" containsNumber="1" containsInteger="1" minValue="0" maxValue="0"/>
    </cacheField>
    <cacheField name="PGA" numFmtId="0">
      <sharedItems containsString="0" containsBlank="1" containsNumber="1" containsInteger="1" minValue="0" maxValue="0"/>
    </cacheField>
    <cacheField name="SWING" numFmtId="0">
      <sharedItems containsString="0" containsBlank="1" containsNumber="1" containsInteger="1" minValue="0" maxValue="0"/>
    </cacheField>
    <cacheField name="Total Bill" numFmtId="0">
      <sharedItems containsString="0" containsBlank="1" containsNumber="1" minValue="128.05255" maxValue="874104.58273999998"/>
    </cacheField>
    <cacheField name="x5" numFmtId="0">
      <sharedItems containsNonDate="0" containsString="0" containsBlank="1"/>
    </cacheField>
    <cacheField name=" Customer Charge (CC)2" numFmtId="0">
      <sharedItems containsString="0" containsBlank="1" containsNumber="1" containsInteger="1" minValue="0" maxValue="114000"/>
    </cacheField>
    <cacheField name="VM Charge2" numFmtId="0">
      <sharedItems containsString="0" containsBlank="1" containsNumber="1" minValue="4.5660300000000005" maxValue="1154910.91854"/>
    </cacheField>
    <cacheField name="GRIP 2" numFmtId="0">
      <sharedItems containsNonDate="0" containsString="0" containsBlank="1"/>
    </cacheField>
    <cacheField name="Conservation2" numFmtId="0">
      <sharedItems containsString="0" containsBlank="1" containsNumber="1" containsInteger="1" minValue="0" maxValue="0"/>
    </cacheField>
    <cacheField name="PGA2" numFmtId="0">
      <sharedItems containsString="0" containsBlank="1" containsNumber="1" containsInteger="1" minValue="0" maxValue="0"/>
    </cacheField>
    <cacheField name="SWING2" numFmtId="0">
      <sharedItems containsString="0" containsBlank="1" containsNumber="1" containsInteger="1" minValue="0" maxValue="0"/>
    </cacheField>
    <cacheField name="Total Bill2" numFmtId="0">
      <sharedItems containsString="0" containsBlank="1" containsNumber="1" minValue="158.05255" maxValue="1268910.91854"/>
    </cacheField>
    <cacheField name="$ Annual Bill Change" numFmtId="0">
      <sharedItems containsString="0" containsBlank="1" containsNumber="1" minValue="-168781.41527000011" maxValue="505394.628914"/>
    </cacheField>
    <cacheField name="% Annual Bill Change" numFmtId="0">
      <sharedItems containsString="0" containsBlank="1" containsNumber="1" minValue="-0.92923372342709099" maxValue="2.6464425149881694"/>
    </cacheField>
    <cacheField name="x6" numFmtId="0">
      <sharedItems containsNonDate="0" containsString="0" containsBlank="1"/>
    </cacheField>
    <cacheField name="Customer Count" numFmtId="43">
      <sharedItems containsString="0" containsBlank="1" containsNumber="1" containsInteger="1" minValue="1" maxValue="94386"/>
    </cacheField>
    <cacheField name="% To total Customer Count" numFmtId="0">
      <sharedItems containsString="0" containsBlank="1" containsNumber="1" minValue="3.5938903863432166E-5" maxValue="1"/>
    </cacheField>
    <cacheField name="x7" numFmtId="0">
      <sharedItems containsNonDate="0" containsString="0" containsBlank="1"/>
    </cacheField>
    <cacheField name="Consolidated Weighted Average Bill Change $" numFmtId="164">
      <sharedItems containsString="0" containsBlank="1" containsNumber="1" minValue="-21097.68" maxValue="126348.66"/>
    </cacheField>
    <cacheField name="Consolidated Weighted Average Bill Change %" numFmtId="0">
      <sharedItems containsString="0" containsBlank="1" containsNumber="1" minValue="-0.5202" maxValue="0.56269999999999998"/>
    </cacheField>
    <cacheField name="x8" numFmtId="0">
      <sharedItems containsNonDate="0" containsString="0" containsBlank="1"/>
    </cacheField>
    <cacheField name="x9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s v="Indiantown"/>
    <s v="Residential"/>
    <s v="TS-1"/>
    <s v="FI"/>
    <s v="Indiantown - Transportation Service 1"/>
    <s v="RES-2"/>
    <x v="0"/>
    <s v="RES-2"/>
    <x v="0"/>
    <s v="&gt; 100 &lt; = 250"/>
    <s v="Indiantown-Indiantown - Transportation Service 1-RES-2"/>
    <x v="0"/>
    <x v="0"/>
    <n v="144"/>
    <n v="9"/>
    <n v="12.5"/>
    <m/>
    <n v="0.37835000000000002"/>
    <n v="0.37835000000000002"/>
    <n v="0.37835000000000002"/>
    <m/>
    <m/>
    <n v="0"/>
    <m/>
    <m/>
    <m/>
    <m/>
    <n v="108"/>
    <n v="54.482400000000005"/>
    <n v="0"/>
    <n v="0"/>
    <n v="0"/>
    <n v="0"/>
    <n v="162.48240000000001"/>
    <m/>
    <n v="150"/>
    <n v="54.482400000000005"/>
    <m/>
    <n v="0"/>
    <n v="0"/>
    <n v="0"/>
    <n v="204.48240000000001"/>
    <n v="42"/>
    <n v="0.25848953486654552"/>
    <m/>
    <n v="378"/>
    <n v="1"/>
    <m/>
    <n v="42"/>
    <n v="0.25850000000000001"/>
    <m/>
    <m/>
  </r>
  <r>
    <s v="Indiantown"/>
    <s v="Residential"/>
    <s v="TS-1"/>
    <s v="FI"/>
    <s v="Indiantown - Transportation Service 1"/>
    <s v="RES-3"/>
    <x v="1"/>
    <s v="RES-3"/>
    <x v="1"/>
    <s v="n/a"/>
    <s v="Indiantown-Indiantown - Transportation Service 1-RES-3"/>
    <x v="1"/>
    <x v="0"/>
    <n v="306"/>
    <n v="9"/>
    <n v="16.5"/>
    <m/>
    <n v="0.37835000000000002"/>
    <n v="0.37835000000000002"/>
    <n v="0.25219999999999998"/>
    <m/>
    <m/>
    <n v="0"/>
    <m/>
    <m/>
    <m/>
    <m/>
    <n v="108"/>
    <n v="115.77510000000001"/>
    <n v="0"/>
    <n v="0"/>
    <n v="0"/>
    <n v="0"/>
    <n v="223.77510000000001"/>
    <m/>
    <n v="198"/>
    <n v="77.173199999999994"/>
    <m/>
    <n v="0"/>
    <n v="0"/>
    <n v="0"/>
    <n v="275.17320000000001"/>
    <n v="51.398099999999999"/>
    <n v="0.22968641283145444"/>
    <m/>
    <n v="119"/>
    <n v="1"/>
    <m/>
    <n v="51.4"/>
    <n v="0.22969999999999999"/>
    <m/>
    <m/>
  </r>
  <r>
    <s v="Indiantown"/>
    <s v="Residential"/>
    <s v="TS-1"/>
    <s v="FI"/>
    <s v="Indiantown - Transportation Service 1"/>
    <s v="RES-1"/>
    <x v="2"/>
    <s v="RES-1"/>
    <x v="2"/>
    <s v="&lt; = 100"/>
    <s v="Indiantown-Indiantown - Transportation Service 1-RES-1"/>
    <x v="2"/>
    <x v="0"/>
    <n v="53"/>
    <n v="9"/>
    <n v="11.5"/>
    <m/>
    <n v="0.37835000000000002"/>
    <n v="0.37835000000000002"/>
    <n v="0.37835000000000002"/>
    <m/>
    <m/>
    <n v="0"/>
    <m/>
    <m/>
    <m/>
    <m/>
    <n v="108"/>
    <n v="20.05255"/>
    <n v="0"/>
    <n v="0"/>
    <n v="0"/>
    <n v="0"/>
    <n v="128.05255"/>
    <m/>
    <n v="138"/>
    <n v="20.05255"/>
    <m/>
    <n v="0"/>
    <n v="0"/>
    <n v="0"/>
    <n v="158.05255"/>
    <n v="30"/>
    <n v="0.23427881756357058"/>
    <m/>
    <n v="181"/>
    <n v="1"/>
    <m/>
    <n v="30"/>
    <n v="0.23430000000000001"/>
    <m/>
    <m/>
  </r>
  <r>
    <s v="Indiantown"/>
    <s v="Commercial"/>
    <s v="TS-2"/>
    <s v="FI"/>
    <s v="Indiantown - Transportation Service 2"/>
    <s v="GS-2"/>
    <x v="3"/>
    <s v="GS-2"/>
    <x v="3"/>
    <s v="&gt; 1000 &lt; = 5,000"/>
    <s v="Indiantown-Indiantown - Transportation Service 2-GS-2"/>
    <x v="3"/>
    <x v="0"/>
    <n v="2445"/>
    <n v="25"/>
    <n v="35"/>
    <m/>
    <n v="5.7619999999999998E-2"/>
    <n v="5.7619999999999998E-2"/>
    <n v="5.7619999999999998E-2"/>
    <m/>
    <m/>
    <n v="0"/>
    <m/>
    <m/>
    <m/>
    <m/>
    <n v="300"/>
    <n v="140.8809"/>
    <n v="0"/>
    <n v="0"/>
    <n v="0"/>
    <n v="0"/>
    <n v="440.8809"/>
    <m/>
    <n v="420"/>
    <n v="140.8809"/>
    <m/>
    <n v="0"/>
    <n v="0"/>
    <n v="0"/>
    <n v="560.8809"/>
    <n v="120"/>
    <n v="0.27218235128806895"/>
    <m/>
    <n v="6"/>
    <n v="1"/>
    <m/>
    <n v="120"/>
    <n v="0.2722"/>
    <m/>
    <m/>
  </r>
  <r>
    <s v="Indiantown"/>
    <s v="Commercial"/>
    <s v="TS-2"/>
    <s v="FI"/>
    <s v="Indiantown - Transportation Service 2"/>
    <s v="GS-3"/>
    <x v="4"/>
    <s v="GS-3"/>
    <x v="4"/>
    <s v="&gt; 5,000 &lt; = 10,000"/>
    <s v="Indiantown-Indiantown - Transportation Service 2-GS-3"/>
    <x v="4"/>
    <x v="0"/>
    <n v="7470"/>
    <n v="25"/>
    <n v="45"/>
    <m/>
    <n v="5.7619999999999998E-2"/>
    <n v="5.7619999999999998E-2"/>
    <n v="5.7619999999999998E-2"/>
    <m/>
    <m/>
    <n v="0"/>
    <m/>
    <m/>
    <m/>
    <m/>
    <n v="300"/>
    <n v="430.42140000000001"/>
    <n v="0"/>
    <n v="0"/>
    <n v="0"/>
    <n v="0"/>
    <n v="730.42139999999995"/>
    <m/>
    <n v="540"/>
    <n v="430.42140000000001"/>
    <m/>
    <n v="0"/>
    <n v="0"/>
    <n v="0"/>
    <n v="970.42139999999995"/>
    <n v="240"/>
    <n v="0.32857744857968291"/>
    <m/>
    <n v="5"/>
    <n v="0.83333333333333337"/>
    <m/>
    <n v="200"/>
    <n v="0.27379999999999999"/>
    <m/>
    <m/>
  </r>
  <r>
    <s v="Indiantown"/>
    <s v="Commercial"/>
    <s v="TS-2"/>
    <s v="FI"/>
    <s v="Indiantown - Transportation Service 2"/>
    <s v="GS-4"/>
    <x v="5"/>
    <s v="GS-4"/>
    <x v="5"/>
    <s v="&gt; 10,000 &lt; = 50,000"/>
    <s v="Indiantown-Indiantown - Transportation Service 2-GS-4"/>
    <x v="5"/>
    <x v="0"/>
    <n v="12486"/>
    <n v="25"/>
    <n v="55"/>
    <m/>
    <n v="5.7619999999999998E-2"/>
    <n v="5.7619999999999998E-2"/>
    <n v="4.9619999999999997E-2"/>
    <m/>
    <m/>
    <n v="0"/>
    <m/>
    <m/>
    <m/>
    <m/>
    <n v="300"/>
    <n v="719.44331999999997"/>
    <n v="0"/>
    <n v="0"/>
    <n v="0"/>
    <n v="0"/>
    <n v="1019.44332"/>
    <m/>
    <n v="660"/>
    <n v="619.55531999999994"/>
    <m/>
    <n v="0"/>
    <n v="0"/>
    <n v="0"/>
    <n v="1279.5553199999999"/>
    <n v="260.11199999999997"/>
    <n v="0.25515101712569954"/>
    <m/>
    <n v="2"/>
    <n v="1"/>
    <m/>
    <n v="260.11"/>
    <n v="0.25519999999999998"/>
    <m/>
    <m/>
  </r>
  <r>
    <s v="Indiantown"/>
    <s v="Commercial"/>
    <s v="TS-2"/>
    <s v="FI"/>
    <s v="Indiantown - Transportation Service 2"/>
    <s v="GS-1"/>
    <x v="6"/>
    <s v="GS-1"/>
    <x v="6"/>
    <s v="&lt; = 1000"/>
    <s v="Indiantown-Indiantown - Transportation Service 2-GS-1"/>
    <x v="6"/>
    <x v="0"/>
    <n v="441"/>
    <n v="25"/>
    <n v="25"/>
    <m/>
    <n v="5.7619999999999998E-2"/>
    <n v="5.7619999999999998E-2"/>
    <n v="5.7619999999999998E-2"/>
    <m/>
    <m/>
    <n v="0"/>
    <m/>
    <m/>
    <m/>
    <m/>
    <n v="300"/>
    <n v="25.410419999999998"/>
    <n v="0"/>
    <n v="0"/>
    <n v="0"/>
    <n v="0"/>
    <n v="325.41041999999999"/>
    <m/>
    <n v="300"/>
    <n v="25.410419999999998"/>
    <m/>
    <n v="0"/>
    <n v="0"/>
    <n v="0"/>
    <n v="325.41041999999999"/>
    <n v="0"/>
    <n v="0"/>
    <m/>
    <n v="9"/>
    <n v="1"/>
    <m/>
    <n v="0"/>
    <n v="0"/>
    <m/>
    <m/>
  </r>
  <r>
    <s v="Indiantown"/>
    <s v="Commercial"/>
    <s v="TS-3"/>
    <s v="FI"/>
    <s v="Indiantown - Transportation Service 3"/>
    <s v="GS-3"/>
    <x v="4"/>
    <s v="GS-3"/>
    <x v="4"/>
    <s v="&gt; 5,000 &lt; = 10,000"/>
    <s v="Indiantown-Indiantown - Transportation Service 3-GS-3"/>
    <x v="4"/>
    <x v="0"/>
    <n v="7986"/>
    <n v="60"/>
    <n v="45"/>
    <m/>
    <n v="4.7849999999999997E-2"/>
    <n v="4.7849999999999997E-2"/>
    <n v="5.7619999999999998E-2"/>
    <m/>
    <m/>
    <n v="0"/>
    <m/>
    <m/>
    <m/>
    <m/>
    <n v="720"/>
    <n v="382.13009999999997"/>
    <n v="0"/>
    <n v="0"/>
    <n v="0"/>
    <n v="0"/>
    <n v="1102.1300999999999"/>
    <m/>
    <n v="540"/>
    <n v="460.15332000000001"/>
    <m/>
    <n v="0"/>
    <n v="0"/>
    <n v="0"/>
    <n v="1000.15332"/>
    <n v="-101.97677999999985"/>
    <n v="-9.2526989327303424E-2"/>
    <m/>
    <n v="1"/>
    <n v="0.16666666666666666"/>
    <m/>
    <n v="-17"/>
    <n v="-1.54E-2"/>
    <m/>
    <m/>
  </r>
  <r>
    <s v="Ft. Meade "/>
    <s v="Commercial"/>
    <s v="GS-1"/>
    <s v="FT"/>
    <s v="Ft. Meade - General Service-1"/>
    <s v="GS-2"/>
    <x v="3"/>
    <s v="GS-2"/>
    <x v="3"/>
    <s v="&gt; 1000 &lt; = 5,000"/>
    <s v="Ft. Meade -Ft. Meade - General Service-1-GS-2"/>
    <x v="3"/>
    <x v="1"/>
    <n v="2601"/>
    <n v="17.5"/>
    <n v="50"/>
    <m/>
    <n v="0.57156000000000007"/>
    <n v="0.55700000000000005"/>
    <n v="0.55700000000000005"/>
    <m/>
    <m/>
    <n v="1.4560000000000002E-2"/>
    <m/>
    <m/>
    <m/>
    <m/>
    <n v="210"/>
    <n v="1448.7570000000001"/>
    <n v="37.870560000000005"/>
    <n v="0"/>
    <n v="0"/>
    <n v="0"/>
    <n v="1696.6275600000001"/>
    <m/>
    <n v="600"/>
    <n v="1448.7570000000001"/>
    <m/>
    <n v="0"/>
    <n v="0"/>
    <n v="0"/>
    <n v="2048.7570000000001"/>
    <n v="352.12943999999993"/>
    <n v="0.20754669339451254"/>
    <m/>
    <n v="6"/>
    <n v="0.54545454545454541"/>
    <m/>
    <n v="192.07"/>
    <n v="0.1132"/>
    <m/>
    <m/>
  </r>
  <r>
    <s v="Ft. Meade "/>
    <s v="Commercial"/>
    <s v="GS-1"/>
    <s v="FT"/>
    <s v="Ft. Meade - General Service-1"/>
    <s v="GS-4"/>
    <x v="5"/>
    <s v="GS-4"/>
    <x v="5"/>
    <s v="&gt; 10,000 &lt; = 50,000"/>
    <s v="Ft. Meade -Ft. Meade - General Service-1-GS-4"/>
    <x v="5"/>
    <x v="1"/>
    <n v="22741"/>
    <n v="17.5"/>
    <n v="225"/>
    <m/>
    <n v="0.57156000000000007"/>
    <n v="0.55700000000000005"/>
    <n v="0.31365999999999999"/>
    <m/>
    <m/>
    <n v="1.4560000000000002E-2"/>
    <m/>
    <m/>
    <m/>
    <m/>
    <n v="210"/>
    <n v="12666.737000000001"/>
    <n v="331.10896000000002"/>
    <n v="0"/>
    <n v="0"/>
    <n v="0"/>
    <n v="13207.845960000001"/>
    <m/>
    <n v="2700"/>
    <n v="7132.9420600000003"/>
    <m/>
    <n v="0"/>
    <n v="0"/>
    <n v="0"/>
    <n v="9832.9420600000012"/>
    <n v="-3374.9038999999993"/>
    <n v="-0.25552265753408282"/>
    <m/>
    <n v="1"/>
    <n v="0.25"/>
    <m/>
    <n v="-843.73"/>
    <n v="-6.3899999999999998E-2"/>
    <m/>
    <m/>
  </r>
  <r>
    <s v="Ft. Meade "/>
    <s v="Commercial"/>
    <s v="GS-1"/>
    <s v="FT"/>
    <s v="Ft. Meade - General Service-1"/>
    <s v="GS-1"/>
    <x v="6"/>
    <s v="GS-1"/>
    <x v="6"/>
    <s v="&lt; = 1000"/>
    <s v="Ft. Meade -Ft. Meade - General Service-1-GS-1"/>
    <x v="6"/>
    <x v="1"/>
    <n v="209"/>
    <n v="17.5"/>
    <n v="25"/>
    <m/>
    <n v="0.57156000000000007"/>
    <n v="0.55700000000000005"/>
    <n v="0.55700000000000005"/>
    <m/>
    <m/>
    <n v="1.4560000000000002E-2"/>
    <m/>
    <m/>
    <m/>
    <m/>
    <n v="210"/>
    <n v="116.41300000000001"/>
    <n v="3.0430400000000004"/>
    <n v="0"/>
    <n v="0"/>
    <n v="0"/>
    <n v="329.45604000000003"/>
    <m/>
    <n v="300"/>
    <n v="116.41300000000001"/>
    <m/>
    <n v="0"/>
    <n v="0"/>
    <n v="0"/>
    <n v="416.41300000000001"/>
    <n v="86.956959999999981"/>
    <n v="0.2639410101572276"/>
    <m/>
    <n v="15"/>
    <n v="0.9375"/>
    <m/>
    <n v="81.52"/>
    <n v="0.24740000000000001"/>
    <m/>
    <m/>
  </r>
  <r>
    <s v="Ft. Meade "/>
    <s v="Commercial"/>
    <s v="GSTS1"/>
    <s v="FT"/>
    <s v="Ft. Meade - General Transportation Service-1"/>
    <s v="GS-2"/>
    <x v="3"/>
    <s v="GS-2"/>
    <x v="3"/>
    <s v="&gt; 1000 &lt; = 5,000"/>
    <s v="Ft. Meade -Ft. Meade - General Transportation Service-1-GS-2"/>
    <x v="3"/>
    <x v="1"/>
    <n v="2343"/>
    <n v="17.5"/>
    <n v="50"/>
    <m/>
    <n v="0.57156000000000007"/>
    <n v="0.55700000000000005"/>
    <n v="0.55700000000000005"/>
    <m/>
    <m/>
    <n v="1.4560000000000003E-2"/>
    <m/>
    <m/>
    <m/>
    <m/>
    <n v="210"/>
    <n v="1305.0510000000002"/>
    <n v="34.114080000000008"/>
    <n v="0"/>
    <n v="0"/>
    <n v="0"/>
    <n v="1549.1650800000002"/>
    <m/>
    <n v="600"/>
    <n v="1305.0510000000002"/>
    <m/>
    <n v="0"/>
    <n v="0"/>
    <n v="0"/>
    <n v="1905.0510000000002"/>
    <n v="355.88591999999994"/>
    <n v="0.22972756395980723"/>
    <m/>
    <n v="5"/>
    <n v="0.45454545454545453"/>
    <m/>
    <n v="161.77000000000001"/>
    <n v="0.10440000000000001"/>
    <m/>
    <m/>
  </r>
  <r>
    <s v="Ft. Meade "/>
    <s v="Commercial"/>
    <s v="GSTS1"/>
    <s v="FT"/>
    <s v="Ft. Meade - General Transportation Service-1"/>
    <s v="GS-3"/>
    <x v="4"/>
    <s v="GS-3"/>
    <x v="4"/>
    <s v="&gt; 5,000 &lt; = 10,000"/>
    <s v="Ft. Meade -Ft. Meade - General Transportation Service-1-GS-3"/>
    <x v="4"/>
    <x v="1"/>
    <n v="6824"/>
    <n v="17.5"/>
    <n v="100"/>
    <m/>
    <n v="0.57156000000000007"/>
    <n v="0.55700000000000005"/>
    <n v="0.55700000000000005"/>
    <m/>
    <m/>
    <n v="1.4560000000000003E-2"/>
    <m/>
    <m/>
    <m/>
    <m/>
    <n v="210"/>
    <n v="3800.9680000000003"/>
    <n v="99.357440000000025"/>
    <n v="0"/>
    <n v="0"/>
    <n v="0"/>
    <n v="4110.3254400000005"/>
    <m/>
    <n v="1200"/>
    <n v="3800.9680000000003"/>
    <m/>
    <n v="0"/>
    <n v="0"/>
    <n v="0"/>
    <n v="5000.9680000000008"/>
    <n v="890.64256000000023"/>
    <n v="0.21668419520572077"/>
    <m/>
    <n v="3"/>
    <n v="1"/>
    <m/>
    <n v="890.64"/>
    <n v="0.2167"/>
    <m/>
    <m/>
  </r>
  <r>
    <s v="Ft. Meade "/>
    <s v="Commercial"/>
    <s v="GSTS1"/>
    <s v="FT"/>
    <s v="Ft. Meade - General Transportation Service-1"/>
    <s v="GS-1"/>
    <x v="6"/>
    <s v="GS-1"/>
    <x v="6"/>
    <s v="&lt; = 1000"/>
    <s v="Ft. Meade -Ft. Meade - General Transportation Service-1-GS-1"/>
    <x v="6"/>
    <x v="1"/>
    <n v="100"/>
    <n v="17.5"/>
    <n v="25"/>
    <m/>
    <n v="0.57156000000000007"/>
    <n v="0.55700000000000005"/>
    <n v="0.55700000000000005"/>
    <m/>
    <m/>
    <n v="1.4560000000000003E-2"/>
    <m/>
    <m/>
    <m/>
    <m/>
    <n v="210"/>
    <n v="55.7"/>
    <n v="1.4560000000000004"/>
    <n v="0"/>
    <n v="0"/>
    <n v="0"/>
    <n v="267.15600000000001"/>
    <m/>
    <n v="300"/>
    <n v="55.7"/>
    <m/>
    <n v="0"/>
    <n v="0"/>
    <n v="0"/>
    <n v="355.7"/>
    <n v="88.543999999999983"/>
    <n v="0.33143182260551879"/>
    <m/>
    <n v="1"/>
    <n v="6.25E-2"/>
    <m/>
    <n v="5.53"/>
    <n v="2.07E-2"/>
    <m/>
    <m/>
  </r>
  <r>
    <s v="Ft. Meade "/>
    <s v="Commercial"/>
    <s v="LVS"/>
    <s v="FT"/>
    <s v="Ft. Meade - Large Volume Service"/>
    <s v="GS-4"/>
    <x v="5"/>
    <s v="GS-4"/>
    <x v="5"/>
    <s v="&gt; 10,000 &lt; = 50,000"/>
    <s v="Ft. Meade -Ft. Meade - Large Volume Service-GS-4"/>
    <x v="5"/>
    <x v="1"/>
    <n v="13663"/>
    <n v="175"/>
    <n v="225"/>
    <m/>
    <n v="0.218"/>
    <n v="0.218"/>
    <n v="0.31365999999999999"/>
    <m/>
    <m/>
    <n v="0"/>
    <m/>
    <m/>
    <m/>
    <m/>
    <n v="2100"/>
    <n v="2978.5340000000001"/>
    <n v="0"/>
    <n v="0"/>
    <n v="0"/>
    <n v="0"/>
    <n v="5078.5339999999997"/>
    <m/>
    <n v="2700"/>
    <n v="4285.53658"/>
    <m/>
    <n v="0"/>
    <n v="0"/>
    <n v="0"/>
    <n v="6985.53658"/>
    <n v="1907.0025800000003"/>
    <n v="0.37550257219898509"/>
    <m/>
    <n v="2"/>
    <n v="0.5"/>
    <m/>
    <n v="953.5"/>
    <n v="0.18779999999999999"/>
    <m/>
    <m/>
  </r>
  <r>
    <s v="Ft. Meade "/>
    <s v="Commercial"/>
    <s v="LVTS"/>
    <s v="FT"/>
    <s v="Ft. Meade - Large Volume Transportation Service"/>
    <s v="GS-4"/>
    <x v="5"/>
    <s v="GS-4"/>
    <x v="5"/>
    <s v="&gt; 10,000 &lt; = 50,000"/>
    <s v="Ft. Meade -Ft. Meade - Large Volume Transportation Service-GS-4"/>
    <x v="5"/>
    <x v="1"/>
    <n v="22010"/>
    <n v="175"/>
    <n v="225"/>
    <m/>
    <n v="0.218"/>
    <n v="0.218"/>
    <n v="0.31365999999999999"/>
    <m/>
    <m/>
    <n v="0"/>
    <m/>
    <m/>
    <m/>
    <m/>
    <n v="2100"/>
    <n v="4798.18"/>
    <n v="0"/>
    <n v="0"/>
    <n v="0"/>
    <n v="0"/>
    <n v="6898.18"/>
    <m/>
    <n v="2700"/>
    <n v="6903.6566000000003"/>
    <m/>
    <n v="0"/>
    <n v="0"/>
    <n v="0"/>
    <n v="9603.6566000000003"/>
    <n v="2705.4766"/>
    <n v="0.39220150822390831"/>
    <m/>
    <n v="1"/>
    <n v="0.25"/>
    <m/>
    <n v="676.37"/>
    <n v="9.8100000000000007E-2"/>
    <m/>
    <m/>
  </r>
  <r>
    <s v="Ft. Meade "/>
    <s v="Commercial"/>
    <s v="LVTS"/>
    <s v="FT"/>
    <s v="Ft. Meade - Large Volume Transportation Service"/>
    <s v="GS-5"/>
    <x v="7"/>
    <s v="GS-5"/>
    <x v="7"/>
    <s v="&gt; 50,000 &lt; = 250,000"/>
    <s v="Ft. Meade -Ft. Meade - Large Volume Transportation Service-GS-5"/>
    <x v="7"/>
    <x v="1"/>
    <n v="119829"/>
    <n v="175"/>
    <n v="300"/>
    <m/>
    <n v="0.218"/>
    <n v="0.218"/>
    <n v="0.26922000000000001"/>
    <m/>
    <m/>
    <n v="0"/>
    <m/>
    <m/>
    <m/>
    <m/>
    <n v="2100"/>
    <n v="26122.722000000002"/>
    <n v="0"/>
    <n v="0"/>
    <n v="0"/>
    <n v="0"/>
    <n v="28222.722000000002"/>
    <m/>
    <n v="3600"/>
    <n v="32260.363380000003"/>
    <m/>
    <n v="0"/>
    <n v="0"/>
    <n v="0"/>
    <n v="35860.363380000003"/>
    <n v="7637.6413800000009"/>
    <n v="0.27062029594452303"/>
    <m/>
    <n v="1"/>
    <n v="1"/>
    <m/>
    <n v="7637.64"/>
    <n v="0.27060000000000001"/>
    <m/>
    <m/>
  </r>
  <r>
    <s v="Ft. Meade "/>
    <s v="Residential"/>
    <s v="RS"/>
    <s v="FT"/>
    <s v="Ft. Meade - Residential Service"/>
    <s v="RES-2"/>
    <x v="0"/>
    <s v="RES-2"/>
    <x v="0"/>
    <s v="&gt; 100 &lt; = 250"/>
    <s v="Ft. Meade -Ft. Meade - Residential Service-RES-2"/>
    <x v="0"/>
    <x v="1"/>
    <n v="147"/>
    <n v="8.5"/>
    <n v="12.5"/>
    <m/>
    <n v="0.70945000000000014"/>
    <n v="0.55700000000000005"/>
    <n v="0.58026"/>
    <m/>
    <m/>
    <n v="0.15245000000000003"/>
    <m/>
    <m/>
    <m/>
    <m/>
    <n v="102"/>
    <n v="81.879000000000005"/>
    <n v="22.410150000000005"/>
    <n v="0"/>
    <n v="0"/>
    <n v="0"/>
    <n v="206.28915000000003"/>
    <m/>
    <n v="150"/>
    <n v="85.298220000000001"/>
    <m/>
    <n v="0"/>
    <n v="0"/>
    <n v="0"/>
    <n v="235.29822000000001"/>
    <n v="29.00906999999998"/>
    <n v="0.14062334349625258"/>
    <m/>
    <n v="205"/>
    <n v="1"/>
    <m/>
    <n v="29.01"/>
    <n v="0.1406"/>
    <m/>
    <m/>
  </r>
  <r>
    <s v="Ft. Meade "/>
    <s v="Residential"/>
    <s v="RS"/>
    <s v="FT"/>
    <s v="Ft. Meade - Residential Service"/>
    <s v="RES-3"/>
    <x v="1"/>
    <s v="RES-3"/>
    <x v="1"/>
    <s v="n/a"/>
    <s v="Ft. Meade -Ft. Meade - Residential Service-RES-3"/>
    <x v="1"/>
    <x v="1"/>
    <n v="373"/>
    <n v="8.5"/>
    <n v="16.5"/>
    <m/>
    <n v="0.70945000000000014"/>
    <n v="0.55700000000000005"/>
    <n v="0.58026"/>
    <m/>
    <m/>
    <n v="0.15245000000000003"/>
    <m/>
    <m/>
    <m/>
    <m/>
    <n v="102"/>
    <n v="207.76100000000002"/>
    <n v="56.863850000000014"/>
    <n v="0"/>
    <n v="0"/>
    <n v="0"/>
    <n v="366.62485000000004"/>
    <m/>
    <n v="198"/>
    <n v="216.43698000000001"/>
    <m/>
    <n v="0"/>
    <n v="0"/>
    <n v="0"/>
    <n v="414.43698000000001"/>
    <n v="47.812129999999968"/>
    <n v="0.1304115910309952"/>
    <m/>
    <n v="42"/>
    <n v="1"/>
    <m/>
    <n v="47.81"/>
    <n v="0.13039999999999999"/>
    <m/>
    <m/>
  </r>
  <r>
    <s v="Ft. Meade "/>
    <s v="Residential"/>
    <s v="RS"/>
    <s v="FT"/>
    <s v="Ft. Meade - Residential Service"/>
    <s v="RES-1"/>
    <x v="2"/>
    <s v="RES-1"/>
    <x v="2"/>
    <s v="&lt; = 100"/>
    <s v="Ft. Meade -Ft. Meade - Residential Service-RES-1"/>
    <x v="2"/>
    <x v="1"/>
    <n v="45"/>
    <n v="8.5"/>
    <n v="11.5"/>
    <m/>
    <n v="0.70945000000000014"/>
    <n v="0.55700000000000005"/>
    <n v="0.58026"/>
    <m/>
    <m/>
    <n v="0.15245000000000003"/>
    <m/>
    <m/>
    <m/>
    <m/>
    <n v="102"/>
    <n v="25.065000000000001"/>
    <n v="6.8602500000000015"/>
    <n v="0"/>
    <n v="0"/>
    <n v="0"/>
    <n v="133.92525000000001"/>
    <m/>
    <n v="138"/>
    <n v="26.111699999999999"/>
    <m/>
    <n v="0"/>
    <n v="0"/>
    <n v="0"/>
    <n v="164.11169999999998"/>
    <n v="30.186449999999979"/>
    <n v="0.22539774986419647"/>
    <m/>
    <n v="249"/>
    <n v="1"/>
    <m/>
    <n v="30.19"/>
    <n v="0.22539999999999999"/>
    <m/>
    <m/>
  </r>
  <r>
    <s v="FPUC"/>
    <s v="Commercial"/>
    <s v="CS-GS"/>
    <s v="FN"/>
    <s v="FPUC - Commercial Standby Generator Service"/>
    <s v="COM-SG"/>
    <x v="8"/>
    <s v="COM-SG"/>
    <x v="8"/>
    <s v="n/a"/>
    <s v="FPUC-FPUC - Commercial Standby Generator Service-COM-SG"/>
    <x v="8"/>
    <x v="2"/>
    <n v="207"/>
    <n v="35.81"/>
    <n v="65"/>
    <m/>
    <n v="0.62102000000000002"/>
    <n v="0.39135999999999999"/>
    <n v="0.18104999999999999"/>
    <m/>
    <m/>
    <n v="0.22966000000000003"/>
    <m/>
    <m/>
    <m/>
    <m/>
    <n v="429.72"/>
    <n v="81.01151999999999"/>
    <n v="47.539620000000006"/>
    <n v="0"/>
    <n v="0"/>
    <n v="0"/>
    <n v="558.27114000000006"/>
    <m/>
    <n v="780"/>
    <n v="37.477349999999994"/>
    <m/>
    <n v="0"/>
    <n v="0"/>
    <n v="0"/>
    <n v="817.47735"/>
    <n v="259.20620999999994"/>
    <n v="0.46430164740380436"/>
    <m/>
    <n v="303"/>
    <n v="1"/>
    <m/>
    <n v="259.20999999999998"/>
    <n v="0.46429999999999999"/>
    <m/>
    <m/>
  </r>
  <r>
    <s v="FPUC"/>
    <s v="Commercial"/>
    <s v="GLS"/>
    <s v="FN"/>
    <s v="FPUC - Gas Lighting Service"/>
    <s v="COM - OL"/>
    <x v="9"/>
    <s v="COM - OL"/>
    <x v="9"/>
    <s v="n/a"/>
    <s v="FPUC-FPUC - Gas Lighting Service-COM - OL"/>
    <x v="9"/>
    <x v="2"/>
    <n v="3439"/>
    <n v="0"/>
    <n v="0"/>
    <m/>
    <n v="1.3826100000000003"/>
    <n v="0.24210000000000001"/>
    <n v="0.66344000000000003"/>
    <m/>
    <m/>
    <n v="1.1405100000000004"/>
    <m/>
    <m/>
    <m/>
    <m/>
    <n v="0"/>
    <n v="832.58190000000002"/>
    <n v="3922.2138900000014"/>
    <n v="0"/>
    <n v="0"/>
    <n v="0"/>
    <n v="4754.795790000001"/>
    <m/>
    <n v="0"/>
    <n v="2281.5701600000002"/>
    <m/>
    <n v="0"/>
    <n v="0"/>
    <n v="0"/>
    <n v="2281.5701600000002"/>
    <n v="-2473.2256300000008"/>
    <n v="-0.52015391180448578"/>
    <m/>
    <n v="29"/>
    <n v="1"/>
    <m/>
    <n v="-2473.23"/>
    <n v="-0.5202"/>
    <m/>
    <m/>
  </r>
  <r>
    <s v="FPUC"/>
    <s v="Commercial"/>
    <s v="GS-1"/>
    <s v="FN"/>
    <s v="FPUC - General Service-1"/>
    <s v="GS-2"/>
    <x v="3"/>
    <s v="GS-2"/>
    <x v="3"/>
    <s v="&gt; 1000 &lt; = 5,000"/>
    <s v="FPUC-FPUC - General Service-1-GS-2"/>
    <x v="3"/>
    <x v="2"/>
    <n v="2353"/>
    <n v="20"/>
    <n v="70"/>
    <m/>
    <n v="0.62102000000000002"/>
    <n v="0.39135999999999999"/>
    <n v="0.69901999999999997"/>
    <m/>
    <m/>
    <n v="0.22966"/>
    <m/>
    <m/>
    <m/>
    <m/>
    <n v="240"/>
    <n v="920.87007999999992"/>
    <n v="540.38998000000004"/>
    <n v="0"/>
    <n v="0"/>
    <n v="0"/>
    <n v="1701.2600600000001"/>
    <m/>
    <n v="840"/>
    <n v="1644.7940599999999"/>
    <m/>
    <n v="0"/>
    <n v="0"/>
    <n v="0"/>
    <n v="2484.7940600000002"/>
    <n v="783.53400000000011"/>
    <n v="0.46056097972464016"/>
    <m/>
    <n v="127"/>
    <n v="5.1333872271624899E-2"/>
    <m/>
    <n v="40.22"/>
    <n v="2.3599999999999999E-2"/>
    <m/>
    <m/>
  </r>
  <r>
    <s v="FPUC"/>
    <s v="Commercial"/>
    <s v="GS-1"/>
    <s v="FN"/>
    <s v="FPUC - General Service-1"/>
    <s v="GS-3"/>
    <x v="4"/>
    <s v="GS-3"/>
    <x v="4"/>
    <s v="&gt; 5,000 &lt; = 10,000"/>
    <s v="FPUC-FPUC - General Service-1-GS-3"/>
    <x v="4"/>
    <x v="2"/>
    <n v="7116"/>
    <n v="20"/>
    <n v="150"/>
    <m/>
    <n v="0.62102000000000002"/>
    <n v="0.39135999999999999"/>
    <n v="0.62475000000000003"/>
    <m/>
    <m/>
    <n v="0.22966"/>
    <m/>
    <m/>
    <m/>
    <m/>
    <n v="240"/>
    <n v="2784.9177599999998"/>
    <n v="1634.2605599999999"/>
    <n v="0"/>
    <n v="0"/>
    <n v="0"/>
    <n v="4659.17832"/>
    <m/>
    <n v="1800"/>
    <n v="4445.7210000000005"/>
    <m/>
    <n v="0"/>
    <n v="0"/>
    <n v="0"/>
    <n v="6245.7210000000005"/>
    <n v="1586.5426800000005"/>
    <n v="0.34051984513870259"/>
    <m/>
    <n v="27"/>
    <n v="1.6864459712679577E-2"/>
    <m/>
    <n v="26.76"/>
    <n v="5.7000000000000002E-3"/>
    <m/>
    <m/>
  </r>
  <r>
    <s v="FPUC"/>
    <s v="Commercial"/>
    <s v="GS-1"/>
    <s v="FN"/>
    <s v="FPUC - General Service-1"/>
    <s v="GS-4"/>
    <x v="5"/>
    <s v="GS-4"/>
    <x v="5"/>
    <s v="&gt; 10,000 &lt; = 50,000"/>
    <s v="FPUC-FPUC - General Service-1-GS-4"/>
    <x v="5"/>
    <x v="2"/>
    <n v="17413"/>
    <n v="20"/>
    <n v="275"/>
    <m/>
    <n v="0.62102000000000002"/>
    <n v="0.39135999999999999"/>
    <n v="0.59182999999999997"/>
    <m/>
    <m/>
    <n v="0.22966"/>
    <m/>
    <m/>
    <m/>
    <m/>
    <n v="240"/>
    <n v="6814.7516799999994"/>
    <n v="3999.0695799999999"/>
    <n v="0"/>
    <n v="0"/>
    <n v="0"/>
    <n v="11053.821259999999"/>
    <m/>
    <n v="3300"/>
    <n v="10305.53579"/>
    <m/>
    <n v="0"/>
    <n v="0"/>
    <n v="0"/>
    <n v="13605.53579"/>
    <n v="2551.7145300000011"/>
    <n v="0.23084456225412148"/>
    <m/>
    <n v="13"/>
    <n v="9.3189964157706102E-3"/>
    <m/>
    <n v="23.78"/>
    <n v="2.2000000000000001E-3"/>
    <m/>
    <m/>
  </r>
  <r>
    <s v="FPUC"/>
    <s v="Commercial"/>
    <s v="GS-1"/>
    <s v="FN"/>
    <s v="FPUC - General Service-1"/>
    <s v="GS-5"/>
    <x v="7"/>
    <s v="GS-5"/>
    <x v="7"/>
    <s v="&gt; 50,000 &lt; = 250,000"/>
    <s v="FPUC-FPUC - General Service-1-GS-5"/>
    <x v="7"/>
    <x v="2"/>
    <n v="128788"/>
    <n v="20"/>
    <n v="750"/>
    <m/>
    <n v="0.62102000000000002"/>
    <n v="0.39135999999999999"/>
    <n v="0.52"/>
    <m/>
    <m/>
    <n v="0.22966"/>
    <m/>
    <m/>
    <m/>
    <m/>
    <n v="240"/>
    <n v="50402.471679999995"/>
    <n v="29577.452079999999"/>
    <n v="0"/>
    <n v="0"/>
    <n v="0"/>
    <n v="80219.923759999991"/>
    <m/>
    <n v="9000"/>
    <n v="66969.760000000009"/>
    <m/>
    <n v="0"/>
    <n v="0"/>
    <n v="0"/>
    <n v="75969.760000000009"/>
    <n v="-4250.1637599999813"/>
    <n v="-5.2981398644998935E-2"/>
    <m/>
    <n v="1"/>
    <n v="8.8495575221238937E-3"/>
    <m/>
    <n v="-37.61"/>
    <n v="-5.0000000000000001E-4"/>
    <m/>
    <m/>
  </r>
  <r>
    <s v="FPUC"/>
    <s v="Commercial"/>
    <s v="GS-1"/>
    <s v="FN"/>
    <s v="FPUC - General Service-1"/>
    <s v="GS-1"/>
    <x v="6"/>
    <s v="GS-1"/>
    <x v="6"/>
    <s v="&lt; = 1000"/>
    <s v="FPUC-FPUC - General Service-1-GS-1"/>
    <x v="6"/>
    <x v="2"/>
    <n v="227"/>
    <n v="20"/>
    <n v="40"/>
    <m/>
    <n v="0.62102000000000002"/>
    <n v="0.39135999999999999"/>
    <n v="0.70123999999999997"/>
    <m/>
    <m/>
    <n v="0.22966"/>
    <m/>
    <m/>
    <m/>
    <m/>
    <n v="240"/>
    <n v="88.838719999999995"/>
    <n v="52.132820000000002"/>
    <n v="0"/>
    <n v="0"/>
    <n v="0"/>
    <n v="380.97153999999995"/>
    <m/>
    <n v="480"/>
    <n v="159.18147999999999"/>
    <m/>
    <n v="0"/>
    <n v="0"/>
    <n v="0"/>
    <n v="639.18147999999997"/>
    <n v="258.20994000000002"/>
    <n v="0.67776700590285577"/>
    <m/>
    <n v="653"/>
    <n v="0.30758360810174279"/>
    <m/>
    <n v="79.42"/>
    <n v="0.20849999999999999"/>
    <m/>
    <m/>
  </r>
  <r>
    <s v="FPUC"/>
    <s v="Commercial"/>
    <s v="GS-2"/>
    <s v="FN"/>
    <s v="FPUC - General Service - 2"/>
    <s v="GS-2"/>
    <x v="3"/>
    <s v="GS-2"/>
    <x v="3"/>
    <s v="&gt; 1000 &lt; = 5,000"/>
    <s v="FPUC-FPUC - General Service - 2-GS-2"/>
    <x v="3"/>
    <x v="2"/>
    <n v="2583"/>
    <n v="33"/>
    <n v="70"/>
    <m/>
    <n v="0.62101999999999991"/>
    <n v="0.39135999999999999"/>
    <n v="0.69901999999999997"/>
    <m/>
    <m/>
    <n v="0.22965999999999995"/>
    <m/>
    <m/>
    <m/>
    <m/>
    <n v="396"/>
    <n v="1010.88288"/>
    <n v="593.21177999999986"/>
    <n v="0"/>
    <n v="0"/>
    <n v="0"/>
    <n v="2000.09466"/>
    <m/>
    <n v="840"/>
    <n v="1805.5686599999999"/>
    <m/>
    <n v="0"/>
    <n v="0"/>
    <n v="0"/>
    <n v="2645.5686599999999"/>
    <n v="645.47399999999993"/>
    <n v="0.32272172558072826"/>
    <m/>
    <n v="1086"/>
    <n v="0.43896523848019403"/>
    <m/>
    <n v="283.33999999999997"/>
    <n v="0.14169999999999999"/>
    <m/>
    <m/>
  </r>
  <r>
    <s v="FPUC"/>
    <s v="Commercial"/>
    <s v="GS-2"/>
    <s v="FN"/>
    <s v="FPUC - General Service - 2"/>
    <s v="GS-3"/>
    <x v="4"/>
    <s v="GS-3"/>
    <x v="4"/>
    <s v="&gt; 5,000 &lt; = 10,000"/>
    <s v="FPUC-FPUC - General Service - 2-GS-3"/>
    <x v="4"/>
    <x v="2"/>
    <n v="6706"/>
    <n v="33"/>
    <n v="150"/>
    <m/>
    <n v="0.62101999999999991"/>
    <n v="0.39135999999999999"/>
    <n v="0.62475000000000003"/>
    <m/>
    <m/>
    <n v="0.22965999999999995"/>
    <m/>
    <m/>
    <m/>
    <m/>
    <n v="396"/>
    <n v="2624.4601600000001"/>
    <n v="1540.0999599999996"/>
    <n v="0"/>
    <n v="0"/>
    <n v="0"/>
    <n v="4560.5601200000001"/>
    <m/>
    <n v="1800"/>
    <n v="4189.5735000000004"/>
    <m/>
    <n v="0"/>
    <n v="0"/>
    <n v="0"/>
    <n v="5989.5735000000004"/>
    <n v="1429.0133800000003"/>
    <n v="0.31334163839506635"/>
    <m/>
    <n v="310"/>
    <n v="0.19362898188632105"/>
    <m/>
    <n v="276.7"/>
    <n v="6.0699999999999997E-2"/>
    <m/>
    <m/>
  </r>
  <r>
    <s v="FPUC"/>
    <s v="Commercial"/>
    <s v="GS-2"/>
    <s v="FN"/>
    <s v="FPUC - General Service - 2"/>
    <s v="GS-4"/>
    <x v="5"/>
    <s v="GS-4"/>
    <x v="5"/>
    <s v="&gt; 10,000 &lt; = 50,000"/>
    <s v="FPUC-FPUC - General Service - 2-GS-4"/>
    <x v="5"/>
    <x v="2"/>
    <n v="14962"/>
    <n v="33"/>
    <n v="275"/>
    <m/>
    <n v="0.62101999999999991"/>
    <n v="0.39135999999999999"/>
    <n v="0.59182999999999997"/>
    <m/>
    <m/>
    <n v="0.22965999999999995"/>
    <m/>
    <m/>
    <m/>
    <m/>
    <n v="396"/>
    <n v="5855.5283199999994"/>
    <n v="3436.1729199999991"/>
    <n v="0"/>
    <n v="0"/>
    <n v="0"/>
    <n v="9687.7012399999985"/>
    <m/>
    <n v="3300"/>
    <n v="8854.9604600000002"/>
    <m/>
    <n v="0"/>
    <n v="0"/>
    <n v="0"/>
    <n v="12154.96046"/>
    <n v="2467.2592200000017"/>
    <n v="0.25467953221067768"/>
    <m/>
    <n v="80"/>
    <n v="5.7347670250896057E-2"/>
    <m/>
    <n v="141.49"/>
    <n v="1.46E-2"/>
    <m/>
    <m/>
  </r>
  <r>
    <s v="FPUC"/>
    <s v="Commercial"/>
    <s v="GS-2"/>
    <s v="FN"/>
    <s v="FPUC - General Service - 2"/>
    <s v="GS-5"/>
    <x v="7"/>
    <s v="GS-5"/>
    <x v="7"/>
    <s v="&gt; 50,000 &lt; = 250,000"/>
    <s v="FPUC-FPUC - General Service - 2-GS-5"/>
    <x v="7"/>
    <x v="2"/>
    <n v="215460"/>
    <n v="33"/>
    <n v="750"/>
    <m/>
    <n v="0.62101999999999991"/>
    <n v="0.39135999999999999"/>
    <n v="0.52"/>
    <m/>
    <m/>
    <n v="0.22965999999999995"/>
    <m/>
    <m/>
    <m/>
    <m/>
    <n v="396"/>
    <n v="84322.425600000002"/>
    <n v="49482.54359999999"/>
    <n v="0"/>
    <n v="0"/>
    <n v="0"/>
    <n v="134200.96919999999"/>
    <m/>
    <n v="9000"/>
    <n v="112039.2"/>
    <m/>
    <n v="0"/>
    <n v="0"/>
    <n v="0"/>
    <n v="121039.2"/>
    <n v="-13161.769199999995"/>
    <n v="-9.8075068149358763E-2"/>
    <m/>
    <n v="1"/>
    <n v="8.8495575221238937E-3"/>
    <m/>
    <n v="-116.48"/>
    <n v="-8.9999999999999998E-4"/>
    <m/>
    <m/>
  </r>
  <r>
    <s v="FPUC"/>
    <s v="Commercial"/>
    <s v="GS-2"/>
    <s v="FN"/>
    <s v="FPUC - General Service - 2"/>
    <s v="GS-1"/>
    <x v="6"/>
    <s v="GS-1"/>
    <x v="6"/>
    <s v="&lt; = 1000"/>
    <s v="FPUC-FPUC - General Service - 2-GS-1"/>
    <x v="6"/>
    <x v="2"/>
    <n v="402"/>
    <n v="33"/>
    <n v="40"/>
    <m/>
    <n v="0.62101999999999991"/>
    <n v="0.39135999999999999"/>
    <n v="0.70123999999999997"/>
    <m/>
    <m/>
    <n v="0.22965999999999995"/>
    <m/>
    <m/>
    <m/>
    <m/>
    <n v="396"/>
    <n v="157.32671999999999"/>
    <n v="92.323319999999981"/>
    <n v="0"/>
    <n v="0"/>
    <n v="0"/>
    <n v="645.65003999999999"/>
    <m/>
    <n v="480"/>
    <n v="281.89848000000001"/>
    <m/>
    <n v="0"/>
    <n v="0"/>
    <n v="0"/>
    <n v="761.89848000000006"/>
    <n v="116.24844000000007"/>
    <n v="0.18004868395888285"/>
    <m/>
    <n v="790"/>
    <n v="0.37211493170042392"/>
    <m/>
    <n v="43.26"/>
    <n v="6.7000000000000004E-2"/>
    <m/>
    <m/>
  </r>
  <r>
    <s v="FPUC"/>
    <s v="Commercial"/>
    <s v="GSTS1"/>
    <s v="FN"/>
    <s v="FPUC - General Transportation Service -1"/>
    <s v="GS-2"/>
    <x v="3"/>
    <s v="GS-2"/>
    <x v="3"/>
    <s v="&gt; 1000 &lt; = 5,000"/>
    <s v="FPUC-FPUC - General Transportation Service -1-GS-2"/>
    <x v="3"/>
    <x v="2"/>
    <n v="2619"/>
    <n v="20"/>
    <n v="70"/>
    <m/>
    <n v="0.62101999999999991"/>
    <n v="0.39135999999999999"/>
    <n v="0.69901999999999997"/>
    <m/>
    <m/>
    <n v="0.22965999999999998"/>
    <m/>
    <m/>
    <m/>
    <m/>
    <n v="240"/>
    <n v="1024.9718399999999"/>
    <n v="601.47953999999993"/>
    <n v="0"/>
    <n v="0"/>
    <n v="0"/>
    <n v="1866.45138"/>
    <m/>
    <n v="840"/>
    <n v="1830.7333799999999"/>
    <m/>
    <n v="0"/>
    <n v="0"/>
    <n v="0"/>
    <n v="2670.7333799999997"/>
    <n v="804.2819999999997"/>
    <n v="0.43091505549959719"/>
    <m/>
    <n v="81"/>
    <n v="3.2740501212611156E-2"/>
    <m/>
    <n v="26.33"/>
    <n v="1.41E-2"/>
    <m/>
    <m/>
  </r>
  <r>
    <s v="FPUC"/>
    <s v="Commercial"/>
    <s v="GSTS1"/>
    <s v="FN"/>
    <s v="FPUC - General Transportation Service -1"/>
    <s v="GS-3"/>
    <x v="4"/>
    <s v="GS-3"/>
    <x v="4"/>
    <s v="&gt; 5,000 &lt; = 10,000"/>
    <s v="FPUC-FPUC - General Transportation Service -1-GS-3"/>
    <x v="4"/>
    <x v="2"/>
    <n v="6093"/>
    <n v="20"/>
    <n v="150"/>
    <m/>
    <n v="0.62101999999999991"/>
    <n v="0.39135999999999999"/>
    <n v="0.62475000000000003"/>
    <m/>
    <m/>
    <n v="0.22965999999999998"/>
    <m/>
    <m/>
    <m/>
    <m/>
    <n v="240"/>
    <n v="2384.5564799999997"/>
    <n v="1399.3183799999999"/>
    <n v="0"/>
    <n v="0"/>
    <n v="0"/>
    <n v="4023.8748599999999"/>
    <m/>
    <n v="1800"/>
    <n v="3806.6017500000003"/>
    <m/>
    <n v="0"/>
    <n v="0"/>
    <n v="0"/>
    <n v="5606.6017499999998"/>
    <n v="1582.7268899999999"/>
    <n v="0.39333402381206256"/>
    <m/>
    <n v="44"/>
    <n v="2.7482823235477825E-2"/>
    <m/>
    <n v="43.5"/>
    <n v="1.0800000000000001E-2"/>
    <m/>
    <m/>
  </r>
  <r>
    <s v="FPUC"/>
    <s v="Commercial"/>
    <s v="GSTS1"/>
    <s v="FN"/>
    <s v="FPUC - General Transportation Service -1"/>
    <s v="GS-4"/>
    <x v="5"/>
    <s v="GS-4"/>
    <x v="5"/>
    <s v="&gt; 10,000 &lt; = 50,000"/>
    <s v="FPUC-FPUC - General Transportation Service -1-GS-4"/>
    <x v="5"/>
    <x v="2"/>
    <n v="14459"/>
    <n v="20"/>
    <n v="275"/>
    <m/>
    <n v="0.62101999999999991"/>
    <n v="0.39135999999999999"/>
    <n v="0.59182999999999997"/>
    <m/>
    <m/>
    <n v="0.22965999999999998"/>
    <m/>
    <m/>
    <m/>
    <m/>
    <n v="240"/>
    <n v="5658.6742399999994"/>
    <n v="3320.6539399999997"/>
    <n v="0"/>
    <n v="0"/>
    <n v="0"/>
    <n v="9219.3281799999986"/>
    <m/>
    <n v="3300"/>
    <n v="8557.2699699999994"/>
    <m/>
    <n v="0"/>
    <n v="0"/>
    <n v="0"/>
    <n v="11857.269969999999"/>
    <n v="2637.9417900000008"/>
    <n v="0.28613167234057624"/>
    <m/>
    <n v="15"/>
    <n v="1.0752688172043012E-2"/>
    <m/>
    <n v="28.36"/>
    <n v="3.0999999999999999E-3"/>
    <m/>
    <m/>
  </r>
  <r>
    <s v="FPUC"/>
    <s v="Commercial"/>
    <s v="GSTS1"/>
    <s v="FN"/>
    <s v="FPUC - General Transportation Service -1"/>
    <s v="GS-1"/>
    <x v="6"/>
    <s v="GS-1"/>
    <x v="6"/>
    <s v="&lt; = 1000"/>
    <s v="FPUC-FPUC - General Transportation Service -1-GS-1"/>
    <x v="6"/>
    <x v="2"/>
    <n v="243"/>
    <n v="20"/>
    <n v="40"/>
    <m/>
    <n v="0.62101999999999991"/>
    <n v="0.39135999999999999"/>
    <n v="0.70123999999999997"/>
    <m/>
    <m/>
    <n v="0.22965999999999998"/>
    <m/>
    <m/>
    <m/>
    <m/>
    <n v="240"/>
    <n v="95.10047999999999"/>
    <n v="55.807379999999995"/>
    <n v="0"/>
    <n v="0"/>
    <n v="0"/>
    <n v="390.90786000000003"/>
    <m/>
    <n v="480"/>
    <n v="170.40132"/>
    <m/>
    <n v="0"/>
    <n v="0"/>
    <n v="0"/>
    <n v="650.40131999999994"/>
    <n v="259.49345999999991"/>
    <n v="0.66382256933897388"/>
    <m/>
    <n v="64"/>
    <n v="3.0146019783325484E-2"/>
    <m/>
    <n v="7.82"/>
    <n v="0.02"/>
    <m/>
    <m/>
  </r>
  <r>
    <s v="FPUC"/>
    <s v="Commercial"/>
    <s v="GSTS2"/>
    <s v="FN"/>
    <s v="FPUC - General Transportation Service-2"/>
    <s v="GS-2"/>
    <x v="3"/>
    <s v="GS-2"/>
    <x v="3"/>
    <s v="&gt; 1000 &lt; = 5,000"/>
    <s v="FPUC-FPUC - General Transportation Service-2-GS-2"/>
    <x v="3"/>
    <x v="2"/>
    <n v="3744"/>
    <n v="33"/>
    <n v="70"/>
    <m/>
    <n v="0.62102000000000002"/>
    <n v="0.39135999999999999"/>
    <n v="0.69901999999999997"/>
    <m/>
    <m/>
    <n v="0.22966"/>
    <m/>
    <m/>
    <m/>
    <m/>
    <n v="396"/>
    <n v="1465.2518399999999"/>
    <n v="859.84703999999999"/>
    <n v="0"/>
    <n v="0"/>
    <n v="0"/>
    <n v="2721.09888"/>
    <m/>
    <n v="840"/>
    <n v="2617.1308799999997"/>
    <m/>
    <n v="0"/>
    <n v="0"/>
    <n v="0"/>
    <n v="3457.1308799999997"/>
    <n v="736.0319999999997"/>
    <n v="0.27049072174841354"/>
    <m/>
    <n v="429"/>
    <n v="0.17340339531123686"/>
    <m/>
    <n v="127.63"/>
    <n v="4.6899999999999997E-2"/>
    <m/>
    <m/>
  </r>
  <r>
    <s v="FPUC"/>
    <s v="Commercial"/>
    <s v="GSTS2"/>
    <s v="FN"/>
    <s v="FPUC - General Transportation Service-2"/>
    <s v="GS-3"/>
    <x v="4"/>
    <s v="GS-3"/>
    <x v="4"/>
    <s v="&gt; 5,000 &lt; = 10,000"/>
    <s v="FPUC-FPUC - General Transportation Service-2-GS-3"/>
    <x v="4"/>
    <x v="2"/>
    <n v="8043"/>
    <n v="33"/>
    <n v="150"/>
    <m/>
    <n v="0.62102000000000002"/>
    <n v="0.39135999999999999"/>
    <n v="0.62475000000000003"/>
    <m/>
    <m/>
    <n v="0.22966"/>
    <m/>
    <m/>
    <m/>
    <m/>
    <n v="396"/>
    <n v="3147.7084799999998"/>
    <n v="1847.1553799999999"/>
    <n v="0"/>
    <n v="0"/>
    <n v="0"/>
    <n v="5390.8638599999995"/>
    <m/>
    <n v="1800"/>
    <n v="5024.8642500000005"/>
    <m/>
    <n v="0"/>
    <n v="0"/>
    <n v="0"/>
    <n v="6824.8642500000005"/>
    <n v="1434.0003900000011"/>
    <n v="0.26600567687123916"/>
    <m/>
    <n v="276"/>
    <n v="0.17239225484072454"/>
    <m/>
    <n v="247.21"/>
    <n v="4.5900000000000003E-2"/>
    <m/>
    <m/>
  </r>
  <r>
    <s v="FPUC"/>
    <s v="Commercial"/>
    <s v="GSTS2"/>
    <s v="FN"/>
    <s v="FPUC - General Transportation Service-2"/>
    <s v="GS-4"/>
    <x v="5"/>
    <s v="GS-4"/>
    <x v="5"/>
    <s v="&gt; 10,000 &lt; = 50,000"/>
    <s v="FPUC-FPUC - General Transportation Service-2-GS-4"/>
    <x v="5"/>
    <x v="2"/>
    <n v="17354"/>
    <n v="33"/>
    <n v="275"/>
    <m/>
    <n v="0.62102000000000002"/>
    <n v="0.39135999999999999"/>
    <n v="0.59182999999999997"/>
    <m/>
    <m/>
    <n v="0.22966"/>
    <m/>
    <m/>
    <m/>
    <m/>
    <n v="396"/>
    <n v="6791.6614399999999"/>
    <n v="3985.51964"/>
    <n v="0"/>
    <n v="0"/>
    <n v="0"/>
    <n v="11173.18108"/>
    <m/>
    <n v="3300"/>
    <n v="10270.617819999999"/>
    <m/>
    <n v="0"/>
    <n v="0"/>
    <n v="0"/>
    <n v="13570.617819999999"/>
    <n v="2397.4367399999992"/>
    <n v="0.21457065117215474"/>
    <m/>
    <n v="99"/>
    <n v="7.0967741935483872E-2"/>
    <m/>
    <n v="170.14"/>
    <n v="1.52E-2"/>
    <m/>
    <m/>
  </r>
  <r>
    <s v="FPUC"/>
    <s v="Commercial"/>
    <s v="GSTS2"/>
    <s v="FN"/>
    <s v="FPUC - General Transportation Service-2"/>
    <s v="GS-5"/>
    <x v="7"/>
    <s v="GS-5"/>
    <x v="7"/>
    <s v="&gt; 50,000 &lt; = 250,000"/>
    <s v="FPUC-FPUC - General Transportation Service-2-GS-5"/>
    <x v="7"/>
    <x v="2"/>
    <n v="62299"/>
    <n v="33"/>
    <n v="750"/>
    <m/>
    <n v="0.62102000000000002"/>
    <n v="0.39135999999999999"/>
    <n v="0.52"/>
    <m/>
    <m/>
    <n v="0.22966"/>
    <m/>
    <m/>
    <m/>
    <m/>
    <n v="396"/>
    <n v="24381.336639999998"/>
    <n v="14307.58834"/>
    <n v="0"/>
    <n v="0"/>
    <n v="0"/>
    <n v="39084.924979999996"/>
    <m/>
    <n v="9000"/>
    <n v="32395.48"/>
    <m/>
    <n v="0"/>
    <n v="0"/>
    <n v="0"/>
    <n v="41395.479999999996"/>
    <n v="2310.5550199999998"/>
    <n v="5.9116271073369732E-2"/>
    <m/>
    <n v="2"/>
    <n v="1.7699115044247787E-2"/>
    <m/>
    <n v="40.89"/>
    <n v="1E-3"/>
    <m/>
    <m/>
  </r>
  <r>
    <s v="FPUC"/>
    <s v="Commercial"/>
    <s v="GSTS2"/>
    <s v="FN"/>
    <s v="FPUC - General Transportation Service-2"/>
    <s v="GS-1"/>
    <x v="6"/>
    <s v="GS-1"/>
    <x v="6"/>
    <s v="&lt; = 1000"/>
    <s v="FPUC-FPUC - General Transportation Service-2-GS-1"/>
    <x v="6"/>
    <x v="2"/>
    <n v="528"/>
    <n v="33"/>
    <n v="40"/>
    <m/>
    <n v="0.62102000000000002"/>
    <n v="0.39135999999999999"/>
    <n v="0.70123999999999997"/>
    <m/>
    <m/>
    <n v="0.22966"/>
    <m/>
    <m/>
    <m/>
    <m/>
    <n v="396"/>
    <n v="206.63808"/>
    <n v="121.26048"/>
    <n v="0"/>
    <n v="0"/>
    <n v="0"/>
    <n v="723.89855999999997"/>
    <m/>
    <n v="480"/>
    <n v="370.25471999999996"/>
    <m/>
    <n v="0"/>
    <n v="0"/>
    <n v="0"/>
    <n v="850.25471999999991"/>
    <n v="126.35615999999993"/>
    <n v="0.17454953909564336"/>
    <m/>
    <n v="66"/>
    <n v="3.1088082901554404E-2"/>
    <m/>
    <n v="3.93"/>
    <n v="5.4000000000000003E-3"/>
    <m/>
    <m/>
  </r>
  <r>
    <s v="FPUC"/>
    <s v="Commercial"/>
    <s v="ITS"/>
    <s v="FN"/>
    <s v="FPUC - Interruptible Transportation Service (ITS)"/>
    <s v="COM - INT"/>
    <x v="10"/>
    <s v="COM - INT"/>
    <x v="10"/>
    <s v="&gt; 100,000"/>
    <s v="FPUC-FPUC - Interruptible Transportation Service (ITS)-COM - INT"/>
    <x v="10"/>
    <x v="2"/>
    <n v="558968"/>
    <n v="280"/>
    <n v="750"/>
    <m/>
    <n v="0.32616000000000001"/>
    <n v="0.23080000000000001"/>
    <n v="0.36749999999999999"/>
    <m/>
    <m/>
    <n v="9.536E-2"/>
    <m/>
    <m/>
    <m/>
    <m/>
    <n v="3360"/>
    <n v="129009.8144"/>
    <n v="53303.188479999997"/>
    <n v="0"/>
    <n v="0"/>
    <n v="0"/>
    <n v="185673.00287999999"/>
    <m/>
    <n v="9000"/>
    <n v="205420.74"/>
    <m/>
    <n v="0"/>
    <n v="0"/>
    <n v="0"/>
    <n v="214420.74"/>
    <n v="28747.737120000005"/>
    <n v="0.15482992505151436"/>
    <m/>
    <n v="17"/>
    <n v="1"/>
    <m/>
    <n v="28747.74"/>
    <n v="0.15479999999999999"/>
    <m/>
    <m/>
  </r>
  <r>
    <s v="FPUC"/>
    <s v="Commercial"/>
    <s v="ITS"/>
    <s v="FN"/>
    <s v="FPUC - Interruptible Transportation Service (ITS)"/>
    <s v="GS-4"/>
    <x v="5"/>
    <s v="GS-4"/>
    <x v="5"/>
    <s v="&gt; 10,000 &lt; = 50,000"/>
    <s v="FPUC-FPUC - Interruptible Transportation Service (ITS)-GS-4"/>
    <x v="5"/>
    <x v="2"/>
    <n v="43262"/>
    <n v="280"/>
    <n v="275"/>
    <m/>
    <n v="0.32616000000000001"/>
    <n v="0.23080000000000001"/>
    <n v="0.59182999999999997"/>
    <m/>
    <m/>
    <n v="9.536E-2"/>
    <m/>
    <m/>
    <m/>
    <m/>
    <n v="3360"/>
    <n v="9984.8696"/>
    <n v="4125.46432"/>
    <n v="0"/>
    <n v="0"/>
    <n v="0"/>
    <n v="17470.333920000001"/>
    <m/>
    <n v="3300"/>
    <n v="25603.749459999999"/>
    <m/>
    <n v="0"/>
    <n v="0"/>
    <n v="0"/>
    <n v="28903.749459999999"/>
    <n v="11433.415539999998"/>
    <n v="0.65444745317151887"/>
    <m/>
    <n v="1"/>
    <n v="7.1684587813620072E-4"/>
    <m/>
    <n v="8.1999999999999993"/>
    <n v="5.0000000000000001E-4"/>
    <m/>
    <m/>
  </r>
  <r>
    <s v="FPUC"/>
    <s v="Commercial"/>
    <s v="LVS"/>
    <s v="FN"/>
    <s v="FPUC - Large Volume Service"/>
    <s v="GS-2"/>
    <x v="3"/>
    <s v="GS-2"/>
    <x v="3"/>
    <s v="&gt; 1000 &lt; = 5,000"/>
    <s v="FPUC-FPUC - Large Volume Service-GS-2"/>
    <x v="3"/>
    <x v="2"/>
    <n v="3359"/>
    <n v="90"/>
    <n v="70"/>
    <m/>
    <n v="0.51373999999999997"/>
    <n v="0.35365999999999997"/>
    <n v="0.69901999999999997"/>
    <m/>
    <m/>
    <n v="0.16008"/>
    <m/>
    <m/>
    <m/>
    <m/>
    <n v="1080"/>
    <n v="1187.9439399999999"/>
    <n v="537.70871999999997"/>
    <n v="0"/>
    <n v="0"/>
    <n v="0"/>
    <n v="2805.6526600000002"/>
    <m/>
    <n v="840"/>
    <n v="2348.0081799999998"/>
    <m/>
    <n v="0"/>
    <n v="0"/>
    <n v="0"/>
    <n v="3188.0081799999998"/>
    <n v="382.35551999999961"/>
    <n v="0.13628041897388665"/>
    <m/>
    <n v="132"/>
    <n v="5.3354890864995959E-2"/>
    <m/>
    <n v="20.399999999999999"/>
    <n v="7.3000000000000001E-3"/>
    <m/>
    <m/>
  </r>
  <r>
    <s v="FPUC"/>
    <s v="Commercial"/>
    <s v="LVS"/>
    <s v="FN"/>
    <s v="FPUC - Large Volume Service"/>
    <s v="GS-3"/>
    <x v="4"/>
    <s v="GS-3"/>
    <x v="4"/>
    <s v="&gt; 5,000 &lt; = 10,000"/>
    <s v="FPUC-FPUC - Large Volume Service-GS-3"/>
    <x v="4"/>
    <x v="2"/>
    <n v="7671"/>
    <n v="90"/>
    <n v="150"/>
    <m/>
    <n v="0.51373999999999997"/>
    <n v="0.35365999999999997"/>
    <n v="0.62475000000000003"/>
    <m/>
    <m/>
    <n v="0.16008"/>
    <m/>
    <m/>
    <m/>
    <m/>
    <n v="1080"/>
    <n v="2712.9258599999998"/>
    <n v="1227.9736800000001"/>
    <n v="0"/>
    <n v="0"/>
    <n v="0"/>
    <n v="5020.8995400000003"/>
    <m/>
    <n v="1800"/>
    <n v="4792.4572500000004"/>
    <m/>
    <n v="0"/>
    <n v="0"/>
    <n v="0"/>
    <n v="6592.4572500000004"/>
    <n v="1571.55771"/>
    <n v="0.31300321734778225"/>
    <m/>
    <n v="220"/>
    <n v="0.13741411617738913"/>
    <m/>
    <n v="215.95"/>
    <n v="4.2999999999999997E-2"/>
    <m/>
    <m/>
  </r>
  <r>
    <s v="FPUC"/>
    <s v="Commercial"/>
    <s v="LVS"/>
    <s v="FN"/>
    <s v="FPUC - Large Volume Service"/>
    <s v="GS-4"/>
    <x v="5"/>
    <s v="GS-4"/>
    <x v="5"/>
    <s v="&gt; 10,000 &lt; = 50,000"/>
    <s v="FPUC-FPUC - Large Volume Service-GS-4"/>
    <x v="5"/>
    <x v="2"/>
    <n v="18010"/>
    <n v="90"/>
    <n v="275"/>
    <m/>
    <n v="0.51373999999999997"/>
    <n v="0.35365999999999997"/>
    <n v="0.59182999999999997"/>
    <m/>
    <m/>
    <n v="0.16008"/>
    <m/>
    <m/>
    <m/>
    <m/>
    <n v="1080"/>
    <n v="6369.4165999999996"/>
    <n v="2883.0408000000002"/>
    <n v="0"/>
    <n v="0"/>
    <n v="0"/>
    <n v="10332.457399999999"/>
    <m/>
    <n v="3300"/>
    <n v="10658.8583"/>
    <m/>
    <n v="0"/>
    <n v="0"/>
    <n v="0"/>
    <n v="13958.8583"/>
    <n v="3626.4009000000005"/>
    <n v="0.35097177366538196"/>
    <m/>
    <n v="249"/>
    <n v="0.17849462365591398"/>
    <m/>
    <n v="647.29"/>
    <n v="6.2600000000000003E-2"/>
    <m/>
    <m/>
  </r>
  <r>
    <s v="FPUC"/>
    <s v="Commercial"/>
    <s v="LVS"/>
    <s v="FN"/>
    <s v="FPUC - Large Volume Service"/>
    <s v="GS-5"/>
    <x v="7"/>
    <s v="GS-5"/>
    <x v="7"/>
    <s v="&gt; 50,000 &lt; = 250,000"/>
    <s v="FPUC-FPUC - Large Volume Service-GS-5"/>
    <x v="7"/>
    <x v="2"/>
    <n v="114592"/>
    <n v="90"/>
    <n v="750"/>
    <m/>
    <n v="0.51373999999999997"/>
    <n v="0.35365999999999997"/>
    <n v="0.52"/>
    <m/>
    <m/>
    <n v="0.16008"/>
    <m/>
    <m/>
    <m/>
    <m/>
    <n v="1080"/>
    <n v="40526.606719999996"/>
    <n v="18343.887360000001"/>
    <n v="0"/>
    <n v="0"/>
    <n v="0"/>
    <n v="59950.494079999997"/>
    <m/>
    <n v="9000"/>
    <n v="59587.840000000004"/>
    <m/>
    <n v="0"/>
    <n v="0"/>
    <n v="0"/>
    <n v="68587.839999999997"/>
    <n v="8637.3459199999998"/>
    <n v="0.14407464112762822"/>
    <m/>
    <n v="7"/>
    <n v="6.1946902654867256E-2"/>
    <m/>
    <n v="535.05999999999995"/>
    <n v="8.8999999999999999E-3"/>
    <m/>
    <m/>
  </r>
  <r>
    <s v="FPUC"/>
    <s v="Commercial"/>
    <s v="LVS"/>
    <s v="FN"/>
    <s v="FPUC - Large Volume Service"/>
    <s v="GS-6"/>
    <x v="11"/>
    <s v="GS-6"/>
    <x v="11"/>
    <s v="&gt; 250,000 &lt; = 500,000"/>
    <s v="FPUC-FPUC - Large Volume Service-GS-6"/>
    <x v="11"/>
    <x v="2"/>
    <n v="327522"/>
    <n v="90"/>
    <n v="2500"/>
    <m/>
    <n v="0.51373999999999997"/>
    <n v="0.35365999999999997"/>
    <n v="0.49419000000000002"/>
    <m/>
    <m/>
    <n v="0.16008"/>
    <m/>
    <m/>
    <m/>
    <m/>
    <n v="1080"/>
    <n v="115831.43051999999"/>
    <n v="52429.72176"/>
    <n v="0"/>
    <n v="0"/>
    <n v="0"/>
    <n v="169341.15227999998"/>
    <m/>
    <n v="30000"/>
    <n v="161858.09718000001"/>
    <m/>
    <n v="0"/>
    <n v="0"/>
    <n v="0"/>
    <n v="191858.09718000001"/>
    <n v="22516.944900000031"/>
    <n v="0.13296794427599623"/>
    <m/>
    <n v="2"/>
    <n v="5.8823529411764705E-2"/>
    <m/>
    <n v="1324.53"/>
    <n v="7.7999999999999996E-3"/>
    <m/>
    <m/>
  </r>
  <r>
    <s v="FPUC"/>
    <s v="Commercial"/>
    <s v="LVS"/>
    <s v="FN"/>
    <s v="FPUC - Large Volume Service"/>
    <s v="GS-1"/>
    <x v="6"/>
    <s v="GS-1"/>
    <x v="6"/>
    <s v="&lt; = 1000"/>
    <s v="FPUC-FPUC - Large Volume Service-GS-1"/>
    <x v="6"/>
    <x v="2"/>
    <n v="398"/>
    <n v="90"/>
    <n v="40"/>
    <m/>
    <n v="0.51373999999999997"/>
    <n v="0.35365999999999997"/>
    <n v="0.70123999999999997"/>
    <m/>
    <m/>
    <n v="0.16008"/>
    <m/>
    <m/>
    <m/>
    <m/>
    <n v="1080"/>
    <n v="140.75667999999999"/>
    <n v="63.711840000000002"/>
    <n v="0"/>
    <n v="0"/>
    <n v="0"/>
    <n v="1284.4685199999999"/>
    <m/>
    <n v="480"/>
    <n v="279.09352000000001"/>
    <m/>
    <n v="0"/>
    <n v="0"/>
    <n v="0"/>
    <n v="759.09352000000001"/>
    <n v="-525.37499999999989"/>
    <n v="-0.40902131256591634"/>
    <m/>
    <n v="63"/>
    <n v="2.9674988224211021E-2"/>
    <m/>
    <n v="-15.59"/>
    <n v="-1.21E-2"/>
    <m/>
    <m/>
  </r>
  <r>
    <s v="FPUC"/>
    <s v="Commercial"/>
    <s v="LVTS"/>
    <s v="FN"/>
    <s v="FPUC - Large Volume Transportation Service"/>
    <s v="GS-2"/>
    <x v="3"/>
    <s v="GS-2"/>
    <x v="3"/>
    <s v="&gt; 1000 &lt; = 5,000"/>
    <s v="FPUC-FPUC - Large Volume Transportation Service-GS-2"/>
    <x v="3"/>
    <x v="2"/>
    <n v="3378"/>
    <n v="90"/>
    <n v="70"/>
    <m/>
    <n v="0.51373999999999997"/>
    <n v="0.35365999999999997"/>
    <n v="0.69901999999999997"/>
    <m/>
    <m/>
    <n v="0.16008"/>
    <m/>
    <m/>
    <m/>
    <m/>
    <n v="1080"/>
    <n v="1194.6634799999999"/>
    <n v="540.75023999999996"/>
    <n v="0"/>
    <n v="0"/>
    <n v="0"/>
    <n v="2815.41372"/>
    <m/>
    <n v="840"/>
    <n v="2361.2895599999997"/>
    <m/>
    <n v="0"/>
    <n v="0"/>
    <n v="0"/>
    <n v="3201.2895599999997"/>
    <n v="385.8758399999997"/>
    <n v="0.13705830772182204"/>
    <m/>
    <n v="123"/>
    <n v="4.9717057396928055E-2"/>
    <m/>
    <n v="19.18"/>
    <n v="6.7999999999999996E-3"/>
    <m/>
    <m/>
  </r>
  <r>
    <s v="FPUC"/>
    <s v="Commercial"/>
    <s v="LVTS"/>
    <s v="FN"/>
    <s v="FPUC - Large Volume Transportation Service"/>
    <s v="GS-3"/>
    <x v="4"/>
    <s v="GS-3"/>
    <x v="4"/>
    <s v="&gt; 5,000 &lt; = 10,000"/>
    <s v="FPUC-FPUC - Large Volume Transportation Service-GS-3"/>
    <x v="4"/>
    <x v="2"/>
    <n v="7260"/>
    <n v="90"/>
    <n v="150"/>
    <m/>
    <n v="0.51373999999999997"/>
    <n v="0.35365999999999997"/>
    <n v="0.62475000000000003"/>
    <m/>
    <m/>
    <n v="0.16008"/>
    <m/>
    <m/>
    <m/>
    <m/>
    <n v="1080"/>
    <n v="2567.5715999999998"/>
    <n v="1162.1808000000001"/>
    <n v="0"/>
    <n v="0"/>
    <n v="0"/>
    <n v="4809.7523999999994"/>
    <m/>
    <n v="1800"/>
    <n v="4535.6850000000004"/>
    <m/>
    <n v="0"/>
    <n v="0"/>
    <n v="0"/>
    <n v="6335.6850000000004"/>
    <n v="1525.932600000001"/>
    <n v="0.31725803598538693"/>
    <m/>
    <n v="377"/>
    <n v="0.23547782635852593"/>
    <m/>
    <n v="359.32"/>
    <n v="7.4700000000000003E-2"/>
    <m/>
    <m/>
  </r>
  <r>
    <s v="FPUC"/>
    <s v="Commercial"/>
    <s v="LVTS"/>
    <s v="FN"/>
    <s v="FPUC - Large Volume Transportation Service"/>
    <s v="GS-4"/>
    <x v="5"/>
    <s v="GS-4"/>
    <x v="5"/>
    <s v="&gt; 10,000 &lt; = 50,000"/>
    <s v="FPUC-FPUC - Large Volume Transportation Service-GS-4"/>
    <x v="5"/>
    <x v="2"/>
    <n v="18058"/>
    <n v="90"/>
    <n v="275"/>
    <m/>
    <n v="0.51373999999999997"/>
    <n v="0.35365999999999997"/>
    <n v="0.59182999999999997"/>
    <m/>
    <m/>
    <n v="0.16008"/>
    <m/>
    <m/>
    <m/>
    <m/>
    <n v="1080"/>
    <n v="6386.3922799999991"/>
    <n v="2890.7246399999999"/>
    <n v="0"/>
    <n v="0"/>
    <n v="0"/>
    <n v="10357.116919999999"/>
    <m/>
    <n v="3300"/>
    <n v="10687.26614"/>
    <m/>
    <n v="0"/>
    <n v="0"/>
    <n v="0"/>
    <n v="13987.26614"/>
    <n v="3630.1492200000012"/>
    <n v="0.35049804381275651"/>
    <m/>
    <n v="706"/>
    <n v="0.50609318996415775"/>
    <m/>
    <n v="1837.19"/>
    <n v="0.1774"/>
    <m/>
    <m/>
  </r>
  <r>
    <s v="FPUC"/>
    <s v="Commercial"/>
    <s v="LVTS"/>
    <s v="FN"/>
    <s v="FPUC - Large Volume Transportation Service"/>
    <s v="GS-5"/>
    <x v="7"/>
    <s v="GS-5"/>
    <x v="7"/>
    <s v="&gt; 50,000 &lt; = 250,000"/>
    <s v="FPUC-FPUC - Large Volume Transportation Service-GS-5"/>
    <x v="7"/>
    <x v="2"/>
    <n v="100610"/>
    <n v="90"/>
    <n v="750"/>
    <m/>
    <n v="0.51373999999999997"/>
    <n v="0.35365999999999997"/>
    <n v="0.52"/>
    <m/>
    <m/>
    <n v="0.16008"/>
    <m/>
    <m/>
    <m/>
    <m/>
    <n v="1080"/>
    <n v="35581.732599999996"/>
    <n v="16105.648800000001"/>
    <n v="0"/>
    <n v="0"/>
    <n v="0"/>
    <n v="52767.381399999998"/>
    <m/>
    <n v="9000"/>
    <n v="52317.200000000004"/>
    <m/>
    <n v="0"/>
    <n v="0"/>
    <n v="0"/>
    <n v="61317.200000000004"/>
    <n v="8549.818600000006"/>
    <n v="0.16202847996546604"/>
    <m/>
    <n v="55"/>
    <n v="0.48672566371681414"/>
    <m/>
    <n v="4161.42"/>
    <n v="7.8899999999999998E-2"/>
    <m/>
    <m/>
  </r>
  <r>
    <s v="FPUC"/>
    <s v="Commercial"/>
    <s v="LVTS"/>
    <s v="FN"/>
    <s v="FPUC - Large Volume Transportation Service"/>
    <s v="GS-6"/>
    <x v="11"/>
    <s v="GS-6"/>
    <x v="11"/>
    <s v="&gt; 250,000 &lt; = 500,000"/>
    <s v="FPUC-FPUC - Large Volume Transportation Service-GS-6"/>
    <x v="11"/>
    <x v="2"/>
    <n v="343884"/>
    <n v="90"/>
    <n v="2500"/>
    <m/>
    <n v="0.51373999999999997"/>
    <n v="0.35365999999999997"/>
    <n v="0.49419000000000002"/>
    <m/>
    <m/>
    <n v="0.16008"/>
    <m/>
    <m/>
    <m/>
    <m/>
    <n v="1080"/>
    <n v="121618.01543999999"/>
    <n v="55048.950720000001"/>
    <n v="0"/>
    <n v="0"/>
    <n v="0"/>
    <n v="177746.96615999998"/>
    <m/>
    <n v="30000"/>
    <n v="169944.03396"/>
    <m/>
    <n v="0"/>
    <n v="0"/>
    <n v="0"/>
    <n v="199944.03396"/>
    <n v="22197.067800000019"/>
    <n v="0.12488015002190922"/>
    <m/>
    <n v="14"/>
    <n v="0.41176470588235292"/>
    <m/>
    <n v="9139.9699999999993"/>
    <n v="5.1400000000000001E-2"/>
    <m/>
    <m/>
  </r>
  <r>
    <s v="FPUC"/>
    <s v="Commercial"/>
    <s v="LVTS"/>
    <s v="FN"/>
    <s v="FPUC - Large Volume Transportation Service"/>
    <s v="GS-7"/>
    <x v="12"/>
    <s v="GS-7"/>
    <x v="12"/>
    <s v="&gt; 500,000 &lt; = 1,000,000"/>
    <s v="FPUC-FPUC - Large Volume Transportation Service-GS-7"/>
    <x v="12"/>
    <x v="2"/>
    <n v="668053"/>
    <n v="90"/>
    <n v="4500"/>
    <m/>
    <n v="0.51373999999999997"/>
    <n v="0.35365999999999997"/>
    <n v="0.38796999999999998"/>
    <m/>
    <m/>
    <n v="0.16008"/>
    <m/>
    <m/>
    <m/>
    <m/>
    <n v="1080"/>
    <n v="236263.62397999997"/>
    <n v="106941.92423999999"/>
    <n v="0"/>
    <n v="0"/>
    <n v="0"/>
    <n v="344285.54822"/>
    <m/>
    <n v="54000"/>
    <n v="259184.52240999998"/>
    <m/>
    <n v="0"/>
    <n v="0"/>
    <n v="0"/>
    <n v="313184.52240999998"/>
    <n v="-31101.025810000021"/>
    <n v="-9.0334973311532452E-2"/>
    <m/>
    <n v="3"/>
    <n v="0.25"/>
    <m/>
    <n v="-7775.26"/>
    <n v="-2.2599999999999999E-2"/>
    <m/>
    <m/>
  </r>
  <r>
    <s v="FPUC"/>
    <s v="Commercial"/>
    <s v="LVTS"/>
    <s v="FN"/>
    <s v="FPUC - Large Volume Transportation Service"/>
    <s v="GS-8"/>
    <x v="13"/>
    <s v="GS-8-A"/>
    <x v="13"/>
    <s v="&gt; 1,000,000 &lt; = 1,500,000"/>
    <s v="FPUC-FPUC - Large Volume Transportation Service-GS-8-A"/>
    <x v="13"/>
    <x v="2"/>
    <n v="1082083"/>
    <n v="90"/>
    <n v="9500"/>
    <m/>
    <n v="0.51373999999999997"/>
    <n v="0.35365999999999997"/>
    <n v="0.36796999999999996"/>
    <m/>
    <m/>
    <n v="0.16008"/>
    <m/>
    <m/>
    <m/>
    <m/>
    <n v="1080"/>
    <n v="382689.47378"/>
    <n v="173219.84664"/>
    <n v="0"/>
    <n v="0"/>
    <n v="0"/>
    <n v="556989.32042"/>
    <m/>
    <n v="114000"/>
    <n v="398174.08150999999"/>
    <m/>
    <n v="0"/>
    <n v="0"/>
    <n v="0"/>
    <n v="512174.08150999999"/>
    <n v="-44815.238910000015"/>
    <n v="-8.0459781304616229E-2"/>
    <m/>
    <n v="2"/>
    <n v="0.25"/>
    <m/>
    <n v="-11203.81"/>
    <n v="-2.01E-2"/>
    <m/>
    <m/>
  </r>
  <r>
    <s v="FPUC"/>
    <s v="Commercial"/>
    <s v="LVTS"/>
    <s v="FN"/>
    <s v="FPUC - Large Volume Transportation Service"/>
    <s v="GS-8"/>
    <x v="13"/>
    <s v="GS-8-B"/>
    <x v="14"/>
    <s v="&gt; 1,500,000 &lt; = 2,000,000"/>
    <s v="FPUC-FPUC - Large Volume Transportation Service-GS-8-B"/>
    <x v="13"/>
    <x v="2"/>
    <n v="1699351"/>
    <n v="90"/>
    <n v="9500"/>
    <m/>
    <n v="0.51373999999999997"/>
    <n v="0.35365999999999997"/>
    <n v="0.34796999999999995"/>
    <m/>
    <m/>
    <n v="0.16008"/>
    <m/>
    <m/>
    <m/>
    <m/>
    <n v="1080"/>
    <n v="600992.47465999995"/>
    <n v="272032.10807999998"/>
    <n v="0"/>
    <n v="0"/>
    <n v="0"/>
    <n v="874104.58273999998"/>
    <m/>
    <n v="114000"/>
    <n v="591323.16746999987"/>
    <m/>
    <n v="0"/>
    <n v="0"/>
    <n v="0"/>
    <n v="705323.16746999987"/>
    <n v="-168781.41527000011"/>
    <n v="-0.19309064224435452"/>
    <m/>
    <n v="1"/>
    <n v="0.125"/>
    <m/>
    <n v="-21097.68"/>
    <n v="-2.41E-2"/>
    <m/>
    <m/>
  </r>
  <r>
    <s v="FPUC"/>
    <s v="Commercial"/>
    <s v="LVTS"/>
    <s v="FN"/>
    <s v="FPUC - Large Volume Transportation Service"/>
    <s v="GS-1"/>
    <x v="6"/>
    <s v="GS-1"/>
    <x v="6"/>
    <s v="&lt; = 1000"/>
    <s v="FPUC-FPUC - Large Volume Transportation Service-GS-1"/>
    <x v="6"/>
    <x v="2"/>
    <n v="469"/>
    <n v="90"/>
    <n v="40"/>
    <m/>
    <n v="0.51373999999999997"/>
    <n v="0.35365999999999997"/>
    <n v="0.70123999999999997"/>
    <m/>
    <m/>
    <n v="0.16008"/>
    <m/>
    <m/>
    <m/>
    <m/>
    <n v="1080"/>
    <n v="165.86653999999999"/>
    <n v="75.077520000000007"/>
    <n v="0"/>
    <n v="0"/>
    <n v="0"/>
    <n v="1320.94406"/>
    <m/>
    <n v="480"/>
    <n v="328.88155999999998"/>
    <m/>
    <n v="0"/>
    <n v="0"/>
    <n v="0"/>
    <n v="808.88156000000004"/>
    <n v="-512.0625"/>
    <n v="-0.38764889105144995"/>
    <m/>
    <n v="20"/>
    <n v="9.4206311822892137E-3"/>
    <m/>
    <n v="-4.82"/>
    <n v="-3.7000000000000002E-3"/>
    <m/>
    <m/>
  </r>
  <r>
    <s v="FPUC"/>
    <s v="Commercial"/>
    <s v="NGVTS"/>
    <s v="FN"/>
    <s v="FPUC - Natural Gas Vehicle Transportation Service"/>
    <s v="COM - NGV"/>
    <x v="14"/>
    <s v="COM - NGV"/>
    <x v="15"/>
    <s v="n/a"/>
    <s v="FPUC-FPUC - Natural Gas Vehicle Transportation Service-COM - NGV"/>
    <x v="14"/>
    <x v="2"/>
    <n v="461073"/>
    <n v="100"/>
    <n v="250"/>
    <m/>
    <n v="0.40077000000000002"/>
    <n v="0.17111000000000001"/>
    <n v="0.49803999999999998"/>
    <m/>
    <m/>
    <n v="0.22966"/>
    <m/>
    <m/>
    <m/>
    <m/>
    <n v="1200"/>
    <n v="78894.201030000011"/>
    <n v="105890.02518"/>
    <n v="0"/>
    <n v="0"/>
    <n v="0"/>
    <n v="185984.22620999999"/>
    <m/>
    <n v="3000"/>
    <n v="229632.79691999999"/>
    <m/>
    <n v="0"/>
    <n v="0"/>
    <n v="0"/>
    <n v="232632.79691999999"/>
    <n v="46648.57071"/>
    <n v="0.25082003813230802"/>
    <m/>
    <n v="2"/>
    <n v="0.66666666666666663"/>
    <m/>
    <n v="31099.05"/>
    <n v="0.16719999999999999"/>
    <m/>
    <m/>
  </r>
  <r>
    <s v="FPUC"/>
    <s v="Residential"/>
    <s v="RS"/>
    <s v="FN"/>
    <s v="FPUC - Residential Service"/>
    <s v="RES-2"/>
    <x v="0"/>
    <s v="RES-2"/>
    <x v="0"/>
    <s v="&gt; 100 &lt; = 250"/>
    <s v="FPUC-FPUC - Residential Service-RES-2"/>
    <x v="0"/>
    <x v="2"/>
    <n v="159"/>
    <n v="11"/>
    <n v="19.5"/>
    <m/>
    <n v="0.81469999999999998"/>
    <n v="0.49828"/>
    <n v="0.65271999999999997"/>
    <m/>
    <m/>
    <n v="0.31642000000000003"/>
    <m/>
    <m/>
    <m/>
    <m/>
    <n v="132"/>
    <n v="79.226519999999994"/>
    <n v="50.310780000000008"/>
    <n v="0"/>
    <n v="0"/>
    <n v="0"/>
    <n v="261.53730000000002"/>
    <m/>
    <n v="234"/>
    <n v="103.78247999999999"/>
    <m/>
    <n v="0"/>
    <n v="0"/>
    <n v="0"/>
    <n v="337.78247999999996"/>
    <n v="76.245179999999948"/>
    <n v="0.29152698295807117"/>
    <m/>
    <n v="27852"/>
    <n v="0.75265504661532223"/>
    <m/>
    <n v="57.39"/>
    <n v="0.21940000000000001"/>
    <m/>
    <m/>
  </r>
  <r>
    <s v="FPUC"/>
    <s v="Residential"/>
    <s v="RS"/>
    <s v="FN"/>
    <s v="FPUC - Residential Service"/>
    <s v="RES-3"/>
    <x v="1"/>
    <s v="RES-3"/>
    <x v="1"/>
    <s v="n/a"/>
    <s v="FPUC-FPUC - Residential Service-RES-3"/>
    <x v="1"/>
    <x v="2"/>
    <n v="682"/>
    <n v="11"/>
    <n v="26.5"/>
    <m/>
    <n v="0.81469999999999998"/>
    <n v="0.49828"/>
    <n v="0.65386"/>
    <m/>
    <m/>
    <n v="0.31642000000000003"/>
    <m/>
    <m/>
    <m/>
    <m/>
    <n v="132"/>
    <n v="339.82695999999999"/>
    <n v="215.79844000000003"/>
    <n v="0"/>
    <n v="0"/>
    <n v="0"/>
    <n v="687.62540000000001"/>
    <m/>
    <n v="318"/>
    <n v="445.93252000000001"/>
    <m/>
    <n v="0"/>
    <n v="0"/>
    <n v="0"/>
    <n v="763.93252000000007"/>
    <n v="76.307120000000054"/>
    <n v="0.11097193326482711"/>
    <m/>
    <n v="15664"/>
    <n v="0.81038853536137412"/>
    <m/>
    <n v="61.84"/>
    <n v="8.9899999999999994E-2"/>
    <m/>
    <m/>
  </r>
  <r>
    <s v="FPUC"/>
    <s v="Residential"/>
    <s v="RS"/>
    <s v="FN"/>
    <s v="FPUC - Residential Service"/>
    <s v="RES-1"/>
    <x v="2"/>
    <s v="RES-1"/>
    <x v="2"/>
    <s v="&lt; = 100"/>
    <s v="FPUC-FPUC - Residential Service-RES-1"/>
    <x v="2"/>
    <x v="2"/>
    <n v="52"/>
    <n v="11"/>
    <n v="16.5"/>
    <m/>
    <n v="0.81469999999999998"/>
    <n v="0.49828"/>
    <n v="0.65229000000000004"/>
    <m/>
    <m/>
    <n v="0.31642000000000003"/>
    <m/>
    <m/>
    <m/>
    <m/>
    <n v="132"/>
    <n v="25.91056"/>
    <n v="16.453840000000003"/>
    <n v="0"/>
    <n v="0"/>
    <n v="0"/>
    <n v="174.36440000000002"/>
    <m/>
    <n v="198"/>
    <n v="33.919080000000001"/>
    <m/>
    <n v="0"/>
    <n v="0"/>
    <n v="0"/>
    <n v="231.91908000000001"/>
    <n v="57.554679999999991"/>
    <n v="0.33008274624866074"/>
    <m/>
    <n v="21117"/>
    <n v="0.75892183288409698"/>
    <m/>
    <n v="43.68"/>
    <n v="0.2505"/>
    <m/>
    <m/>
  </r>
  <r>
    <s v="FPUC"/>
    <s v="Residential"/>
    <s v="RS-GS"/>
    <s v="FN"/>
    <s v="FPUC - Residential Standby Generator Service"/>
    <s v="RES-SG"/>
    <x v="15"/>
    <s v="RES-SG"/>
    <x v="16"/>
    <s v="n/a"/>
    <s v="FPUC-FPUC - Residential Standby Generator Service-RES-SG"/>
    <x v="15"/>
    <x v="2"/>
    <n v="109"/>
    <n v="21.25"/>
    <n v="36.5"/>
    <m/>
    <n v="0.81469999999999998"/>
    <n v="0.49828"/>
    <n v="0.65386"/>
    <m/>
    <m/>
    <n v="0.31642000000000003"/>
    <m/>
    <m/>
    <m/>
    <m/>
    <n v="255"/>
    <n v="54.312519999999999"/>
    <n v="34.489780000000003"/>
    <n v="0"/>
    <n v="0"/>
    <n v="0"/>
    <n v="343.8023"/>
    <m/>
    <n v="438"/>
    <n v="71.270740000000004"/>
    <m/>
    <n v="0"/>
    <n v="0"/>
    <n v="0"/>
    <n v="509.27073999999999"/>
    <n v="165.46843999999999"/>
    <n v="0.4812895085344106"/>
    <m/>
    <n v="883"/>
    <n v="1"/>
    <m/>
    <n v="165.47"/>
    <n v="0.48130000000000001"/>
    <m/>
    <m/>
  </r>
  <r>
    <s v="CFG"/>
    <s v="Commercial"/>
    <s v="FTS-1"/>
    <s v="CF"/>
    <s v="CFG - Firm Transportation Service - 1 (Fixed Non-Residential)"/>
    <s v="GS-2"/>
    <x v="3"/>
    <s v="GS-2"/>
    <x v="3"/>
    <s v="&gt; 1000 &lt; = 5,000"/>
    <s v="CFG-CFG - Firm Transportation Service - 1 (Fixed Non-Residential)-GS-2"/>
    <x v="3"/>
    <x v="2"/>
    <n v="1515"/>
    <n v="29"/>
    <n v="70"/>
    <m/>
    <n v="0.11405000000000003"/>
    <n v="0"/>
    <n v="0.69901999999999997"/>
    <m/>
    <m/>
    <n v="0.11405000000000003"/>
    <m/>
    <m/>
    <m/>
    <m/>
    <n v="348"/>
    <n v="0"/>
    <n v="172.78575000000004"/>
    <n v="0"/>
    <n v="0"/>
    <n v="0"/>
    <n v="520.78575000000001"/>
    <m/>
    <n v="840"/>
    <n v="1059.0153"/>
    <m/>
    <n v="0"/>
    <n v="0"/>
    <n v="0"/>
    <n v="1899.0153"/>
    <n v="1378.22955"/>
    <n v="2.6464425149881694"/>
    <m/>
    <n v="2"/>
    <n v="8.0840743734842356E-4"/>
    <m/>
    <n v="1.1100000000000001"/>
    <n v="2.0999999999999999E-3"/>
    <m/>
    <m/>
  </r>
  <r>
    <s v="CFG"/>
    <s v="Commercial"/>
    <s v="FTS-1"/>
    <s v="CF"/>
    <s v="CFG - Firm Transportation Service - 1 (Fixed Non-Residential)"/>
    <s v="GS-1"/>
    <x v="6"/>
    <s v="GS-1"/>
    <x v="6"/>
    <s v="&lt; = 1000"/>
    <s v="CFG-CFG - Firm Transportation Service - 1 (Fixed Non-Residential)-GS-1"/>
    <x v="6"/>
    <x v="2"/>
    <n v="62"/>
    <n v="29"/>
    <n v="40"/>
    <m/>
    <n v="0.11405000000000003"/>
    <n v="0"/>
    <n v="0.70123999999999997"/>
    <m/>
    <m/>
    <n v="0.11405000000000003"/>
    <m/>
    <m/>
    <m/>
    <m/>
    <n v="348"/>
    <n v="0"/>
    <n v="7.0711000000000013"/>
    <n v="0"/>
    <n v="0"/>
    <n v="0"/>
    <n v="355.0711"/>
    <m/>
    <n v="480"/>
    <n v="43.476880000000001"/>
    <m/>
    <n v="0"/>
    <n v="0"/>
    <n v="0"/>
    <n v="523.47688000000005"/>
    <n v="168.40578000000005"/>
    <n v="0.47428748777357566"/>
    <m/>
    <n v="39"/>
    <n v="1.8370230805463968E-2"/>
    <m/>
    <n v="3.09"/>
    <n v="8.6999999999999994E-3"/>
    <m/>
    <m/>
  </r>
  <r>
    <s v="CFG"/>
    <s v="Residential"/>
    <s v="FTS-1"/>
    <s v="CF"/>
    <s v="CFG - Firm Transportation Service - 1 (Fixed Residential)"/>
    <s v="RES-2"/>
    <x v="0"/>
    <s v="RES-2"/>
    <x v="0"/>
    <s v="&gt; 100 &lt; = 250"/>
    <s v="CFG-CFG - Firm Transportation Service - 1 (Fixed Residential)-RES-2"/>
    <x v="0"/>
    <x v="2"/>
    <n v="172"/>
    <n v="29"/>
    <n v="19.5"/>
    <m/>
    <n v="0.11405000000000003"/>
    <n v="0"/>
    <n v="0.65271999999999997"/>
    <m/>
    <m/>
    <n v="0.11405000000000003"/>
    <m/>
    <m/>
    <m/>
    <m/>
    <n v="348"/>
    <n v="0"/>
    <n v="19.616600000000005"/>
    <n v="0"/>
    <n v="0"/>
    <n v="0"/>
    <n v="367.61660000000001"/>
    <m/>
    <n v="234"/>
    <n v="112.26783999999999"/>
    <m/>
    <n v="0"/>
    <n v="0"/>
    <n v="0"/>
    <n v="346.26783999999998"/>
    <n v="-21.348760000000027"/>
    <n v="-5.8073438468230286E-2"/>
    <m/>
    <n v="91"/>
    <n v="2.4591271449804081E-3"/>
    <m/>
    <n v="-0.05"/>
    <n v="-1E-4"/>
    <m/>
    <m/>
  </r>
  <r>
    <s v="CFG"/>
    <s v="Residential"/>
    <s v="FTS-1"/>
    <s v="CF"/>
    <s v="CFG - Firm Transportation Service - 1 (Fixed Residential)"/>
    <s v="RES-3"/>
    <x v="1"/>
    <s v="RES-3"/>
    <x v="1"/>
    <s v="n/a"/>
    <s v="CFG-CFG - Firm Transportation Service - 1 (Fixed Residential)-RES-3"/>
    <x v="1"/>
    <x v="2"/>
    <n v="419"/>
    <n v="29"/>
    <n v="26.5"/>
    <m/>
    <n v="0.11405000000000003"/>
    <n v="0"/>
    <n v="0.65386"/>
    <m/>
    <m/>
    <n v="0.11405000000000003"/>
    <m/>
    <m/>
    <m/>
    <m/>
    <n v="348"/>
    <n v="0"/>
    <n v="47.786950000000012"/>
    <n v="0"/>
    <n v="0"/>
    <n v="0"/>
    <n v="395.78694999999999"/>
    <m/>
    <n v="318"/>
    <n v="273.96733999999998"/>
    <m/>
    <n v="0"/>
    <n v="0"/>
    <n v="0"/>
    <n v="591.96733999999992"/>
    <n v="196.18038999999993"/>
    <n v="0.49567169913004949"/>
    <m/>
    <n v="44"/>
    <n v="2.2763722903409384E-3"/>
    <m/>
    <n v="0.45"/>
    <n v="1.1000000000000001E-3"/>
    <m/>
    <m/>
  </r>
  <r>
    <s v="CFG"/>
    <s v="Residential"/>
    <s v="FTS-1"/>
    <s v="CF"/>
    <s v="CFG - Firm Transportation Service - 1 (Fixed Residential)"/>
    <s v="RES-1"/>
    <x v="2"/>
    <s v="RES-1"/>
    <x v="2"/>
    <s v="&lt; = 100"/>
    <s v="CFG-CFG - Firm Transportation Service - 1 (Fixed Residential)-RES-1"/>
    <x v="2"/>
    <x v="2"/>
    <n v="53"/>
    <n v="29"/>
    <n v="16.5"/>
    <m/>
    <n v="0.11405000000000003"/>
    <n v="0"/>
    <n v="0.65229000000000004"/>
    <m/>
    <m/>
    <n v="0.11405000000000003"/>
    <m/>
    <m/>
    <m/>
    <m/>
    <n v="348"/>
    <n v="0"/>
    <n v="6.0446500000000016"/>
    <n v="0"/>
    <n v="0"/>
    <n v="0"/>
    <n v="354.04464999999999"/>
    <m/>
    <n v="198"/>
    <n v="34.571370000000002"/>
    <m/>
    <n v="0"/>
    <n v="0"/>
    <n v="0"/>
    <n v="232.57137"/>
    <n v="-121.47327999999999"/>
    <n v="-0.34310158337373547"/>
    <m/>
    <n v="39"/>
    <n v="1.4016172506738545E-3"/>
    <m/>
    <n v="-0.17"/>
    <n v="-5.0000000000000001E-4"/>
    <m/>
    <m/>
  </r>
  <r>
    <s v="CFG"/>
    <s v="Commercial"/>
    <s v="FTS-1"/>
    <s v="CF"/>
    <s v="CFG - Firm Transportation Service - 1 Non-Residential"/>
    <s v="GS-2"/>
    <x v="3"/>
    <s v="GS-2"/>
    <x v="3"/>
    <s v="&gt; 1000 &lt; = 5,000"/>
    <s v="CFG-CFG - Firm Transportation Service - 1 Non-Residential-GS-2"/>
    <x v="3"/>
    <x v="2"/>
    <n v="1799"/>
    <n v="19"/>
    <n v="70"/>
    <m/>
    <n v="0.57715000000000005"/>
    <n v="0.46310000000000001"/>
    <n v="0.69901999999999997"/>
    <m/>
    <m/>
    <n v="0.11405000000000003"/>
    <m/>
    <m/>
    <m/>
    <m/>
    <n v="228"/>
    <n v="833.11689999999999"/>
    <n v="205.17595000000006"/>
    <n v="0"/>
    <n v="0"/>
    <n v="0"/>
    <n v="1266.29285"/>
    <m/>
    <n v="840"/>
    <n v="1257.5369799999999"/>
    <m/>
    <n v="0"/>
    <n v="0"/>
    <n v="0"/>
    <n v="2097.5369799999999"/>
    <n v="831.24412999999981"/>
    <n v="0.65643909305813408"/>
    <m/>
    <n v="10"/>
    <n v="4.0420371867421184E-3"/>
    <m/>
    <n v="3.36"/>
    <n v="2.7000000000000001E-3"/>
    <m/>
    <m/>
  </r>
  <r>
    <s v="CFG"/>
    <s v="Commercial"/>
    <s v="FTS-1"/>
    <s v="CF"/>
    <s v="CFG - Firm Transportation Service - 1 Non-Residential"/>
    <s v="GS-1"/>
    <x v="6"/>
    <s v="GS-1"/>
    <x v="6"/>
    <s v="&lt; = 1000"/>
    <s v="CFG-CFG - Firm Transportation Service - 1 Non-Residential-GS-1"/>
    <x v="6"/>
    <x v="2"/>
    <n v="137"/>
    <n v="19"/>
    <n v="40"/>
    <m/>
    <n v="0.57715000000000005"/>
    <n v="0.46310000000000001"/>
    <n v="0.70123999999999997"/>
    <m/>
    <m/>
    <n v="0.11405000000000003"/>
    <m/>
    <m/>
    <m/>
    <m/>
    <n v="228"/>
    <n v="63.444700000000005"/>
    <n v="15.624850000000004"/>
    <n v="0"/>
    <n v="0"/>
    <n v="0"/>
    <n v="307.06954999999999"/>
    <m/>
    <n v="480"/>
    <n v="96.069879999999998"/>
    <m/>
    <n v="0"/>
    <n v="0"/>
    <n v="0"/>
    <n v="576.06988000000001"/>
    <n v="269.00033000000002"/>
    <n v="0.87602411245270018"/>
    <m/>
    <n v="194"/>
    <n v="9.1380122468205371E-2"/>
    <m/>
    <n v="24.58"/>
    <n v="8.0100000000000005E-2"/>
    <m/>
    <m/>
  </r>
  <r>
    <s v="CFG"/>
    <s v="Residential"/>
    <s v="FTS-1"/>
    <s v="CF"/>
    <s v="CFG - Firm Transportation Service - 1 Residential"/>
    <s v="RES-2"/>
    <x v="0"/>
    <s v="RES-2"/>
    <x v="0"/>
    <s v="&gt; 100 &lt; = 250"/>
    <s v="CFG-CFG - Firm Transportation Service - 1 Residential-RES-2"/>
    <x v="0"/>
    <x v="2"/>
    <n v="163"/>
    <n v="19"/>
    <n v="19.5"/>
    <m/>
    <n v="0.57715000000000005"/>
    <n v="0.46310000000000001"/>
    <n v="0.65271999999999997"/>
    <m/>
    <m/>
    <n v="0.11405000000000003"/>
    <m/>
    <m/>
    <m/>
    <m/>
    <n v="228"/>
    <n v="75.485299999999995"/>
    <n v="18.590150000000005"/>
    <n v="0"/>
    <n v="0"/>
    <n v="0"/>
    <n v="322.07544999999999"/>
    <m/>
    <n v="234"/>
    <n v="106.39336"/>
    <m/>
    <n v="0"/>
    <n v="0"/>
    <n v="0"/>
    <n v="340.39336000000003"/>
    <n v="18.31791000000004"/>
    <n v="5.6874592583818606E-2"/>
    <m/>
    <n v="7307"/>
    <n v="0.19745980272936089"/>
    <m/>
    <n v="3.62"/>
    <n v="1.12E-2"/>
    <m/>
    <m/>
  </r>
  <r>
    <s v="CFG"/>
    <s v="Residential"/>
    <s v="FTS-1"/>
    <s v="CF"/>
    <s v="CFG - Firm Transportation Service - 1 Residential"/>
    <s v="RES-3"/>
    <x v="1"/>
    <s v="RES-3"/>
    <x v="1"/>
    <s v="n/a"/>
    <s v="CFG-CFG - Firm Transportation Service - 1 Residential-RES-3"/>
    <x v="1"/>
    <x v="2"/>
    <n v="503"/>
    <n v="19"/>
    <n v="26.5"/>
    <m/>
    <n v="0.57715000000000005"/>
    <n v="0.46310000000000001"/>
    <n v="0.65386"/>
    <m/>
    <m/>
    <n v="0.11405000000000003"/>
    <m/>
    <m/>
    <m/>
    <m/>
    <n v="228"/>
    <n v="232.9393"/>
    <n v="57.367150000000017"/>
    <n v="0"/>
    <n v="0"/>
    <n v="0"/>
    <n v="518.30645000000004"/>
    <m/>
    <n v="318"/>
    <n v="328.89157999999998"/>
    <m/>
    <n v="0"/>
    <n v="0"/>
    <n v="0"/>
    <n v="646.89157999999998"/>
    <n v="128.58512999999994"/>
    <n v="0.24808707281184697"/>
    <m/>
    <n v="2493"/>
    <n v="0.12897718454136273"/>
    <m/>
    <n v="16.579999999999998"/>
    <n v="3.2000000000000001E-2"/>
    <m/>
    <m/>
  </r>
  <r>
    <s v="CFG"/>
    <s v="Residential"/>
    <s v="FTS-1"/>
    <s v="CF"/>
    <s v="CFG - Firm Transportation Service - 1 Residential"/>
    <s v="RES-1"/>
    <x v="2"/>
    <s v="RES-1"/>
    <x v="2"/>
    <s v="&lt; = 100"/>
    <s v="CFG-CFG - Firm Transportation Service - 1 Residential-RES-1"/>
    <x v="2"/>
    <x v="2"/>
    <n v="60"/>
    <n v="19"/>
    <n v="16.5"/>
    <m/>
    <n v="0.57715000000000005"/>
    <n v="0.46310000000000001"/>
    <n v="0.65229000000000004"/>
    <m/>
    <m/>
    <n v="0.11405000000000003"/>
    <m/>
    <m/>
    <m/>
    <m/>
    <n v="228"/>
    <n v="27.786000000000001"/>
    <n v="6.8430000000000017"/>
    <n v="0"/>
    <n v="0"/>
    <n v="0"/>
    <n v="262.62900000000002"/>
    <m/>
    <n v="198"/>
    <n v="39.1374"/>
    <m/>
    <n v="0"/>
    <n v="0"/>
    <n v="0"/>
    <n v="237.13740000000001"/>
    <n v="-25.491600000000005"/>
    <n v="-9.7063157534011874E-2"/>
    <m/>
    <n v="4907"/>
    <n v="0.17635220125786163"/>
    <m/>
    <n v="-4.5"/>
    <n v="-1.7100000000000001E-2"/>
    <m/>
    <m/>
  </r>
  <r>
    <s v="CFG"/>
    <s v="Commercial"/>
    <s v="FTS10"/>
    <s v="CF"/>
    <s v="CFG - Firm Transportation Service - 10"/>
    <s v="GS-7"/>
    <x v="12"/>
    <s v="GS-7"/>
    <x v="12"/>
    <s v="&gt; 500,000 &lt; = 1,000,000"/>
    <s v="CFG-CFG - Firm Transportation Service - 10-GS-7"/>
    <x v="12"/>
    <x v="2"/>
    <n v="927657"/>
    <n v="3000"/>
    <n v="4500"/>
    <m/>
    <n v="0.15711000000000003"/>
    <n v="8.3180000000000004E-2"/>
    <n v="0.38796999999999998"/>
    <m/>
    <m/>
    <n v="7.393000000000001E-2"/>
    <m/>
    <m/>
    <m/>
    <m/>
    <n v="36000"/>
    <n v="77162.509260000006"/>
    <n v="68581.682010000004"/>
    <n v="0"/>
    <n v="0"/>
    <n v="0"/>
    <n v="181744.19127000001"/>
    <m/>
    <n v="54000"/>
    <n v="359903.08629000001"/>
    <m/>
    <n v="0"/>
    <n v="0"/>
    <n v="0"/>
    <n v="413903.08629000001"/>
    <n v="232158.89502"/>
    <n v="1.2773937554631591"/>
    <m/>
    <n v="2"/>
    <n v="0.16666666666666666"/>
    <m/>
    <n v="38693.15"/>
    <n v="0.21290000000000001"/>
    <m/>
    <m/>
  </r>
  <r>
    <s v="CFG"/>
    <s v="Commercial"/>
    <s v="FTS10"/>
    <s v="CF"/>
    <s v="CFG - Firm Transportation Service - 10"/>
    <s v="GS-8"/>
    <x v="13"/>
    <s v="GS-8-B"/>
    <x v="14"/>
    <s v="&gt; 1,500,000 &lt; = 2,000,000"/>
    <s v="CFG-CFG - Firm Transportation Service - 10-GS-8-B"/>
    <x v="13"/>
    <x v="2"/>
    <n v="1775576"/>
    <n v="3000"/>
    <n v="9500"/>
    <m/>
    <n v="0.15711000000000003"/>
    <n v="8.3180000000000004E-2"/>
    <n v="0.34796999999999995"/>
    <m/>
    <m/>
    <n v="7.393000000000001E-2"/>
    <m/>
    <m/>
    <m/>
    <m/>
    <n v="36000"/>
    <n v="147692.41168000002"/>
    <n v="131268.33368000001"/>
    <n v="0"/>
    <n v="0"/>
    <n v="0"/>
    <n v="314960.74536000006"/>
    <m/>
    <n v="114000"/>
    <n v="617847.18071999995"/>
    <m/>
    <n v="0"/>
    <n v="0"/>
    <n v="0"/>
    <n v="731847.18071999995"/>
    <n v="416886.43535999989"/>
    <n v="1.3236139471396626"/>
    <m/>
    <n v="1"/>
    <n v="0.125"/>
    <m/>
    <n v="52110.8"/>
    <n v="0.16550000000000001"/>
    <m/>
    <m/>
  </r>
  <r>
    <s v="CFG"/>
    <s v="Commercial"/>
    <s v="FTS11"/>
    <s v="CF"/>
    <s v="CFG - Firm Transportation Service - 11"/>
    <s v="GS-8"/>
    <x v="13"/>
    <s v="GS-8-B"/>
    <x v="14"/>
    <s v="&gt; 1,500,000 &lt; = 2,000,000"/>
    <s v="CFG-CFG - Firm Transportation Service - 11-GS-8-B"/>
    <x v="13"/>
    <x v="2"/>
    <n v="1527249"/>
    <n v="5500"/>
    <n v="9500"/>
    <m/>
    <n v="0.12304999999999999"/>
    <n v="6.9769999999999999E-2"/>
    <n v="0.34796999999999995"/>
    <m/>
    <m/>
    <n v="5.3280000000000001E-2"/>
    <m/>
    <m/>
    <m/>
    <m/>
    <n v="66000"/>
    <n v="106556.16273"/>
    <n v="81371.826719999997"/>
    <n v="0"/>
    <n v="0"/>
    <n v="0"/>
    <n v="253927.98944999999"/>
    <m/>
    <n v="114000"/>
    <n v="531436.83452999988"/>
    <m/>
    <n v="0"/>
    <n v="0"/>
    <n v="0"/>
    <n v="645436.83452999988"/>
    <n v="391508.84507999988"/>
    <n v="1.5418105185174571"/>
    <m/>
    <n v="1"/>
    <n v="0.125"/>
    <m/>
    <n v="48938.61"/>
    <n v="0.19270000000000001"/>
    <m/>
    <m/>
  </r>
  <r>
    <s v="CFG"/>
    <s v="Commercial"/>
    <s v="FTS12"/>
    <s v="CF"/>
    <s v="CFG - Firm Transportation Service - 12"/>
    <s v="GS-7"/>
    <x v="12"/>
    <s v="GS-7"/>
    <x v="12"/>
    <s v="&gt; 500,000 &lt; = 1,000,000"/>
    <s v="CFG-CFG - Firm Transportation Service - 12-GS-7"/>
    <x v="12"/>
    <x v="2"/>
    <n v="727860"/>
    <n v="9000"/>
    <n v="4500"/>
    <m/>
    <n v="9.8318000000000003E-2"/>
    <n v="6.1238000000000001E-2"/>
    <n v="0.38796999999999998"/>
    <m/>
    <m/>
    <n v="3.7080000000000002E-2"/>
    <m/>
    <m/>
    <m/>
    <m/>
    <n v="108000"/>
    <n v="44572.69068"/>
    <n v="26989.0488"/>
    <n v="0"/>
    <n v="0"/>
    <n v="0"/>
    <n v="179561.73947999999"/>
    <m/>
    <n v="54000"/>
    <n v="282387.84419999999"/>
    <m/>
    <n v="0"/>
    <n v="0"/>
    <n v="0"/>
    <n v="336387.84419999999"/>
    <n v="156826.10472"/>
    <n v="0.87338263248150183"/>
    <m/>
    <n v="2"/>
    <n v="0.16666666666666666"/>
    <m/>
    <n v="26137.68"/>
    <n v="0.14560000000000001"/>
    <m/>
    <m/>
  </r>
  <r>
    <s v="CFG"/>
    <s v="Commercial"/>
    <s v="FTS12"/>
    <s v="CF"/>
    <s v="CFG - Firm Transportation Service - 12"/>
    <s v="GS-8"/>
    <x v="13"/>
    <s v="GS-8-D"/>
    <x v="17"/>
    <s v="&gt; 4,000,000"/>
    <s v="CFG-CFG - Firm Transportation Service - 12-GS-8-D"/>
    <x v="13"/>
    <x v="2"/>
    <n v="6667307"/>
    <n v="9000"/>
    <n v="9500"/>
    <m/>
    <n v="9.8318000000000003E-2"/>
    <n v="6.1238000000000001E-2"/>
    <n v="0.17322000000000001"/>
    <m/>
    <m/>
    <n v="3.7080000000000002E-2"/>
    <m/>
    <m/>
    <m/>
    <m/>
    <n v="108000"/>
    <n v="408292.54606600001"/>
    <n v="247223.74356"/>
    <n v="0"/>
    <n v="0"/>
    <n v="0"/>
    <n v="763516.28962599998"/>
    <m/>
    <n v="114000"/>
    <n v="1154910.91854"/>
    <m/>
    <n v="0"/>
    <n v="0"/>
    <n v="0"/>
    <n v="1268910.91854"/>
    <n v="505394.628914"/>
    <n v="0.66193038155290962"/>
    <m/>
    <n v="2"/>
    <n v="0.25"/>
    <m/>
    <n v="126348.66"/>
    <n v="0.16550000000000001"/>
    <m/>
    <m/>
  </r>
  <r>
    <s v="CFG"/>
    <s v="Commercial"/>
    <s v="FTS12"/>
    <s v="CF"/>
    <s v="CFG - Firm Transportation Service - 12"/>
    <s v="GS-8"/>
    <x v="13"/>
    <s v="GS-8-C"/>
    <x v="18"/>
    <s v="&gt; 2,000,000 &lt; = 4,000,000"/>
    <s v="CFG-CFG - Firm Transportation Service - 12-GS-8-C"/>
    <x v="13"/>
    <x v="2"/>
    <n v="2236699"/>
    <n v="9000"/>
    <n v="9500"/>
    <m/>
    <n v="9.8318000000000003E-2"/>
    <n v="6.1238000000000001E-2"/>
    <n v="0.18051"/>
    <m/>
    <m/>
    <n v="3.7080000000000002E-2"/>
    <m/>
    <m/>
    <m/>
    <m/>
    <n v="108000"/>
    <n v="136970.97336199999"/>
    <n v="82936.798920000001"/>
    <n v="0"/>
    <n v="0"/>
    <n v="0"/>
    <n v="327907.77228199999"/>
    <m/>
    <n v="114000"/>
    <n v="403746.53649000003"/>
    <m/>
    <n v="0"/>
    <n v="0"/>
    <n v="0"/>
    <n v="517746.53649000003"/>
    <n v="189838.76420800004"/>
    <n v="0.57893950755378587"/>
    <m/>
    <n v="1"/>
    <n v="0.125"/>
    <m/>
    <n v="23729.85"/>
    <n v="7.2400000000000006E-2"/>
    <m/>
    <m/>
  </r>
  <r>
    <s v="CFG"/>
    <s v="Commercial"/>
    <s v="FTS-2"/>
    <s v="CF"/>
    <s v="CFG - Firm Transportation Service - 2 (Fixed Non-Residential)"/>
    <s v="GS-1"/>
    <x v="6"/>
    <s v="GS-1"/>
    <x v="6"/>
    <s v="&lt; = 1000"/>
    <s v="CFG-CFG - Firm Transportation Service - 2 (Fixed Non-Residential)-GS-1"/>
    <x v="6"/>
    <x v="2"/>
    <n v="588"/>
    <n v="48"/>
    <n v="40"/>
    <m/>
    <n v="0.15536"/>
    <n v="0"/>
    <n v="0.70123999999999997"/>
    <m/>
    <m/>
    <n v="0.15536"/>
    <m/>
    <m/>
    <m/>
    <m/>
    <n v="576"/>
    <n v="0"/>
    <n v="91.351680000000002"/>
    <n v="0"/>
    <n v="0"/>
    <n v="0"/>
    <n v="667.35167999999999"/>
    <m/>
    <n v="480"/>
    <n v="412.32911999999999"/>
    <m/>
    <n v="0"/>
    <n v="0"/>
    <n v="0"/>
    <n v="892.32911999999999"/>
    <n v="224.97744"/>
    <n v="0.33711976270142902"/>
    <m/>
    <n v="6"/>
    <n v="2.8261893546867641E-3"/>
    <m/>
    <n v="0.64"/>
    <n v="1E-3"/>
    <m/>
    <m/>
  </r>
  <r>
    <s v="CFG"/>
    <s v="Residential"/>
    <s v="FTS-2"/>
    <s v="CF"/>
    <s v="CFG - Firm Transportation Service - 2 (Fixed Residential)"/>
    <s v="RES-2"/>
    <x v="0"/>
    <s v="RES-2"/>
    <x v="0"/>
    <s v="&gt; 100 &lt; = 250"/>
    <s v="CFG-CFG - Firm Transportation Service - 2 (Fixed Residential)-RES-2"/>
    <x v="0"/>
    <x v="2"/>
    <n v="159"/>
    <n v="48"/>
    <n v="19.5"/>
    <m/>
    <n v="0.15536"/>
    <n v="0"/>
    <n v="0.65271999999999997"/>
    <m/>
    <m/>
    <n v="0.15536"/>
    <m/>
    <m/>
    <m/>
    <m/>
    <n v="576"/>
    <n v="0"/>
    <n v="24.70224"/>
    <n v="0"/>
    <n v="0"/>
    <n v="0"/>
    <n v="600.70223999999996"/>
    <m/>
    <n v="234"/>
    <n v="103.78247999999999"/>
    <m/>
    <n v="0"/>
    <n v="0"/>
    <n v="0"/>
    <n v="337.78247999999996"/>
    <n v="-262.91976"/>
    <n v="-0.43768733074809246"/>
    <m/>
    <n v="3"/>
    <n v="8.1070125658694775E-5"/>
    <m/>
    <n v="-0.02"/>
    <n v="0"/>
    <m/>
    <m/>
  </r>
  <r>
    <s v="CFG"/>
    <s v="Residential"/>
    <s v="FTS-2"/>
    <s v="CF"/>
    <s v="CFG - Firm Transportation Service - 2 (Fixed Residential)"/>
    <s v="RES-3"/>
    <x v="1"/>
    <s v="RES-3"/>
    <x v="1"/>
    <s v="n/a"/>
    <s v="CFG-CFG - Firm Transportation Service - 2 (Fixed Residential)-RES-3"/>
    <x v="1"/>
    <x v="2"/>
    <n v="667"/>
    <n v="48"/>
    <n v="26.5"/>
    <m/>
    <n v="0.15536"/>
    <n v="0"/>
    <n v="0.65386"/>
    <m/>
    <m/>
    <n v="0.15536"/>
    <m/>
    <m/>
    <m/>
    <m/>
    <n v="576"/>
    <n v="0"/>
    <n v="103.62512"/>
    <n v="0"/>
    <n v="0"/>
    <n v="0"/>
    <n v="679.62512000000004"/>
    <m/>
    <n v="318"/>
    <n v="436.12461999999999"/>
    <m/>
    <n v="0"/>
    <n v="0"/>
    <n v="0"/>
    <n v="754.12462000000005"/>
    <n v="74.499500000000012"/>
    <n v="0.10961852028071006"/>
    <m/>
    <n v="16"/>
    <n v="8.2777174194215944E-4"/>
    <m/>
    <n v="0.06"/>
    <n v="1E-4"/>
    <m/>
    <m/>
  </r>
  <r>
    <s v="CFG"/>
    <s v="Residential"/>
    <s v="FTS-2"/>
    <s v="CF"/>
    <s v="CFG - Firm Transportation Service - 2 (Fixed Residential)"/>
    <s v="RES-1"/>
    <x v="2"/>
    <s v="RES-1"/>
    <x v="2"/>
    <s v="&lt; = 100"/>
    <s v="CFG-CFG - Firm Transportation Service - 2 (Fixed Residential)-RES-1"/>
    <x v="2"/>
    <x v="2"/>
    <n v="7"/>
    <n v="48"/>
    <n v="16.5"/>
    <m/>
    <n v="0.15536"/>
    <n v="0"/>
    <n v="0.65229000000000004"/>
    <m/>
    <m/>
    <n v="0.15536"/>
    <m/>
    <m/>
    <m/>
    <m/>
    <n v="576"/>
    <n v="0"/>
    <n v="1.08752"/>
    <n v="0"/>
    <n v="0"/>
    <n v="0"/>
    <n v="577.08752000000004"/>
    <m/>
    <n v="198"/>
    <n v="4.5660300000000005"/>
    <m/>
    <n v="0"/>
    <n v="0"/>
    <n v="0"/>
    <n v="202.56603000000001"/>
    <n v="-374.52149000000003"/>
    <n v="-0.64898559927270649"/>
    <m/>
    <n v="1"/>
    <n v="3.5938903863432166E-5"/>
    <m/>
    <n v="-0.01"/>
    <n v="0"/>
    <m/>
    <m/>
  </r>
  <r>
    <s v="CFG"/>
    <s v="Commercial"/>
    <s v="FTS-2"/>
    <s v="CF"/>
    <s v="CFG - Firm Transportation Service - 2 Non-Residential"/>
    <s v="GS-2"/>
    <x v="3"/>
    <s v="GS-2"/>
    <x v="3"/>
    <s v="&gt; 1000 &lt; = 5,000"/>
    <s v="CFG-CFG - Firm Transportation Service - 2 Non-Residential-GS-2"/>
    <x v="3"/>
    <x v="2"/>
    <n v="1415"/>
    <n v="34"/>
    <n v="70"/>
    <m/>
    <n v="0.47495999999999999"/>
    <n v="0.3196"/>
    <n v="0.69901999999999997"/>
    <m/>
    <m/>
    <n v="0.15536"/>
    <m/>
    <m/>
    <m/>
    <m/>
    <n v="408"/>
    <n v="452.23399999999998"/>
    <n v="219.83439999999999"/>
    <n v="0"/>
    <n v="0"/>
    <n v="0"/>
    <n v="1080.0683999999999"/>
    <m/>
    <n v="840"/>
    <n v="989.11329999999998"/>
    <m/>
    <n v="0"/>
    <n v="0"/>
    <n v="0"/>
    <n v="1829.1133"/>
    <n v="749.0449000000001"/>
    <n v="0.69351616990183229"/>
    <m/>
    <n v="19"/>
    <n v="7.679870654810024E-3"/>
    <m/>
    <n v="5.75"/>
    <n v="5.3E-3"/>
    <m/>
    <m/>
  </r>
  <r>
    <s v="CFG"/>
    <s v="Commercial"/>
    <s v="FTS-2"/>
    <s v="CF"/>
    <s v="CFG - Firm Transportation Service - 2 Non-Residential"/>
    <s v="GS-3"/>
    <x v="4"/>
    <s v="GS-3"/>
    <x v="4"/>
    <s v="&gt; 5,000 &lt; = 10,000"/>
    <s v="CFG-CFG - Firm Transportation Service - 2 Non-Residential-GS-3"/>
    <x v="4"/>
    <x v="2"/>
    <n v="5496"/>
    <n v="34"/>
    <n v="150"/>
    <m/>
    <n v="0.47495999999999999"/>
    <n v="0.3196"/>
    <n v="0.62475000000000003"/>
    <m/>
    <m/>
    <n v="0.15536"/>
    <m/>
    <m/>
    <m/>
    <m/>
    <n v="408"/>
    <n v="1756.5216"/>
    <n v="853.85856000000001"/>
    <n v="0"/>
    <n v="0"/>
    <n v="0"/>
    <n v="3018.3801600000002"/>
    <m/>
    <n v="1800"/>
    <n v="3433.6260000000002"/>
    <m/>
    <n v="0"/>
    <n v="0"/>
    <n v="0"/>
    <n v="5233.6260000000002"/>
    <n v="2215.24584"/>
    <n v="0.73391876522273458"/>
    <m/>
    <n v="1"/>
    <n v="6.2460961898813238E-4"/>
    <m/>
    <n v="1.38"/>
    <n v="5.0000000000000001E-4"/>
    <m/>
    <m/>
  </r>
  <r>
    <s v="CFG"/>
    <s v="Commercial"/>
    <s v="FTS-2"/>
    <s v="CF"/>
    <s v="CFG - Firm Transportation Service - 2 Non-Residential"/>
    <s v="GS-1"/>
    <x v="6"/>
    <s v="GS-1"/>
    <x v="6"/>
    <s v="&lt; = 1000"/>
    <s v="CFG-CFG - Firm Transportation Service - 2 Non-Residential-GS-1"/>
    <x v="6"/>
    <x v="2"/>
    <n v="457"/>
    <n v="34"/>
    <n v="40"/>
    <m/>
    <n v="0.47495999999999999"/>
    <n v="0.3196"/>
    <n v="0.70123999999999997"/>
    <m/>
    <m/>
    <n v="0.15536"/>
    <m/>
    <m/>
    <m/>
    <m/>
    <n v="408"/>
    <n v="146.05719999999999"/>
    <n v="70.999520000000004"/>
    <n v="0"/>
    <n v="0"/>
    <n v="0"/>
    <n v="625.05671999999993"/>
    <m/>
    <n v="480"/>
    <n v="320.46668"/>
    <m/>
    <n v="0"/>
    <n v="0"/>
    <n v="0"/>
    <n v="800.46668"/>
    <n v="175.40996000000007"/>
    <n v="0.28063046822374788"/>
    <m/>
    <n v="89"/>
    <n v="4.1921808761187E-2"/>
    <m/>
    <n v="7.35"/>
    <n v="1.18E-2"/>
    <m/>
    <m/>
  </r>
  <r>
    <s v="CFG"/>
    <s v="Residential"/>
    <s v="FTS-2"/>
    <s v="CF"/>
    <s v="CFG - Firm Transportation Service - 2 Residential"/>
    <s v="RES-2"/>
    <x v="0"/>
    <s v="RES-2"/>
    <x v="0"/>
    <s v="&gt; 100 &lt; = 250"/>
    <s v="CFG-CFG - Firm Transportation Service - 2 Residential-RES-2"/>
    <x v="0"/>
    <x v="2"/>
    <n v="174"/>
    <n v="34"/>
    <n v="19.5"/>
    <m/>
    <n v="0.47495999999999999"/>
    <n v="0.3196"/>
    <n v="0.65271999999999997"/>
    <m/>
    <m/>
    <n v="0.15536"/>
    <m/>
    <m/>
    <m/>
    <m/>
    <n v="408"/>
    <n v="55.610399999999998"/>
    <n v="27.032640000000001"/>
    <n v="0"/>
    <n v="0"/>
    <n v="0"/>
    <n v="490.64304000000004"/>
    <m/>
    <n v="234"/>
    <n v="113.57328"/>
    <m/>
    <n v="0"/>
    <n v="0"/>
    <n v="0"/>
    <n v="347.57328000000001"/>
    <n v="-143.06976000000003"/>
    <n v="-0.2915964323064687"/>
    <m/>
    <n v="127"/>
    <n v="3.4319686528847455E-3"/>
    <m/>
    <n v="-0.49"/>
    <n v="-1E-3"/>
    <m/>
    <m/>
  </r>
  <r>
    <s v="CFG"/>
    <s v="Residential"/>
    <s v="FTS-2"/>
    <s v="CF"/>
    <s v="CFG - Firm Transportation Service - 2 Residential"/>
    <s v="RES-3"/>
    <x v="1"/>
    <s v="RES-3"/>
    <x v="1"/>
    <s v="n/a"/>
    <s v="CFG-CFG - Firm Transportation Service - 2 Residential-RES-3"/>
    <x v="1"/>
    <x v="2"/>
    <n v="773"/>
    <n v="34"/>
    <n v="26.5"/>
    <m/>
    <n v="0.47495999999999999"/>
    <n v="0.3196"/>
    <n v="0.65386"/>
    <m/>
    <m/>
    <n v="0.15536"/>
    <m/>
    <m/>
    <m/>
    <m/>
    <n v="408"/>
    <n v="247.05080000000001"/>
    <n v="120.09327999999999"/>
    <n v="0"/>
    <n v="0"/>
    <n v="0"/>
    <n v="775.14408000000003"/>
    <m/>
    <n v="318"/>
    <n v="505.43378000000001"/>
    <m/>
    <n v="0"/>
    <n v="0"/>
    <n v="0"/>
    <n v="823.43378000000007"/>
    <n v="48.289700000000039"/>
    <n v="6.2297708575675424E-2"/>
    <m/>
    <n v="560"/>
    <n v="2.8972010967975581E-2"/>
    <m/>
    <n v="1.4"/>
    <n v="1.8E-3"/>
    <m/>
    <m/>
  </r>
  <r>
    <s v="CFG"/>
    <s v="Residential"/>
    <s v="FTS-2"/>
    <s v="CF"/>
    <s v="CFG - Firm Transportation Service - 2 Residential"/>
    <s v="RES-1"/>
    <x v="2"/>
    <s v="RES-1"/>
    <x v="2"/>
    <s v="&lt; = 100"/>
    <s v="CFG-CFG - Firm Transportation Service - 2 Residential-RES-1"/>
    <x v="2"/>
    <x v="2"/>
    <n v="60"/>
    <n v="34"/>
    <n v="16.5"/>
    <m/>
    <n v="0.47495999999999999"/>
    <n v="0.3196"/>
    <n v="0.65229000000000004"/>
    <m/>
    <m/>
    <n v="0.15536"/>
    <m/>
    <m/>
    <m/>
    <m/>
    <n v="408"/>
    <n v="19.175999999999998"/>
    <n v="9.3216000000000001"/>
    <n v="0"/>
    <n v="0"/>
    <n v="0"/>
    <n v="436.49759999999998"/>
    <m/>
    <n v="198"/>
    <n v="39.1374"/>
    <m/>
    <n v="0"/>
    <n v="0"/>
    <n v="0"/>
    <n v="237.13740000000001"/>
    <n v="-199.36019999999996"/>
    <n v="-0.45672690983867947"/>
    <m/>
    <n v="56"/>
    <n v="2.0125786163522012E-3"/>
    <m/>
    <n v="-0.4"/>
    <n v="-8.9999999999999998E-4"/>
    <m/>
    <m/>
  </r>
  <r>
    <s v="CFG"/>
    <s v="Commercial"/>
    <s v="FTS21"/>
    <s v="CF"/>
    <s v="CFG - Firm Transportation Service - 2.1 (Fixed Non-Residential)"/>
    <s v="GS-2"/>
    <x v="3"/>
    <s v="GS-2"/>
    <x v="3"/>
    <s v="&gt; 1000 &lt; = 5,000"/>
    <s v="CFG-CFG - Firm Transportation Service - 2.1 (Fixed Non-Residential)-GS-2"/>
    <x v="3"/>
    <x v="2"/>
    <n v="1433"/>
    <n v="87"/>
    <n v="70"/>
    <m/>
    <n v="0.15931999999999996"/>
    <n v="0"/>
    <n v="0.69901999999999997"/>
    <m/>
    <m/>
    <n v="0.15931999999999996"/>
    <m/>
    <m/>
    <m/>
    <m/>
    <n v="1044"/>
    <n v="0"/>
    <n v="228.30555999999996"/>
    <n v="0"/>
    <n v="0"/>
    <n v="0"/>
    <n v="1272.30556"/>
    <m/>
    <n v="840"/>
    <n v="1001.69566"/>
    <m/>
    <n v="0"/>
    <n v="0"/>
    <n v="0"/>
    <n v="1841.6956599999999"/>
    <n v="569.39009999999985"/>
    <n v="0.44752622160984651"/>
    <m/>
    <n v="8"/>
    <n v="3.2336297493936943E-3"/>
    <m/>
    <n v="1.84"/>
    <n v="1.4E-3"/>
    <m/>
    <m/>
  </r>
  <r>
    <s v="CFG"/>
    <s v="Commercial"/>
    <s v="FTS21"/>
    <s v="CF"/>
    <s v="CFG - Firm Transportation Service - 2.1 (Fixed Non-Residential)"/>
    <s v="GS-3"/>
    <x v="4"/>
    <s v="GS-3"/>
    <x v="4"/>
    <s v="&gt; 5,000 &lt; = 10,000"/>
    <s v="CFG-CFG - Firm Transportation Service - 2.1 (Fixed Non-Residential)-GS-3"/>
    <x v="4"/>
    <x v="2"/>
    <n v="5386"/>
    <n v="87"/>
    <n v="150"/>
    <m/>
    <n v="0.15931999999999996"/>
    <n v="0"/>
    <n v="0.62475000000000003"/>
    <m/>
    <m/>
    <n v="0.15931999999999996"/>
    <m/>
    <m/>
    <m/>
    <m/>
    <n v="1044"/>
    <n v="0"/>
    <n v="858.0975199999998"/>
    <n v="0"/>
    <n v="0"/>
    <n v="0"/>
    <n v="1902.0975199999998"/>
    <m/>
    <n v="1800"/>
    <n v="3364.9035000000003"/>
    <m/>
    <n v="0"/>
    <n v="0"/>
    <n v="0"/>
    <n v="5164.9035000000003"/>
    <n v="3262.8059800000005"/>
    <n v="1.7153726061322034"/>
    <m/>
    <n v="1"/>
    <n v="6.2460961898813238E-4"/>
    <m/>
    <n v="2.04"/>
    <n v="1.1000000000000001E-3"/>
    <m/>
    <m/>
  </r>
  <r>
    <s v="CFG"/>
    <s v="Commercial"/>
    <s v="FTS21"/>
    <s v="CF"/>
    <s v="CFG - Firm Transportation Service - 2.1 (Fixed Non-Residential)"/>
    <s v="GS-1"/>
    <x v="6"/>
    <s v="GS-1"/>
    <x v="6"/>
    <s v="&lt; = 1000"/>
    <s v="CFG-CFG - Firm Transportation Service - 2.1 (Fixed Non-Residential)-GS-1"/>
    <x v="6"/>
    <x v="2"/>
    <n v="715"/>
    <n v="87"/>
    <n v="40"/>
    <m/>
    <n v="0.15931999999999996"/>
    <n v="0"/>
    <n v="0.70123999999999997"/>
    <m/>
    <m/>
    <n v="0.15931999999999996"/>
    <m/>
    <m/>
    <m/>
    <m/>
    <n v="1044"/>
    <n v="0"/>
    <n v="113.91379999999997"/>
    <n v="0"/>
    <n v="0"/>
    <n v="0"/>
    <n v="1157.9138"/>
    <m/>
    <n v="480"/>
    <n v="501.38659999999999"/>
    <m/>
    <n v="0"/>
    <n v="0"/>
    <n v="0"/>
    <n v="981.38660000000004"/>
    <n v="-176.52719999999999"/>
    <n v="-0.15245279916346102"/>
    <m/>
    <n v="2"/>
    <n v="9.4206311822892137E-4"/>
    <m/>
    <n v="-0.17"/>
    <n v="-1E-4"/>
    <m/>
    <m/>
  </r>
  <r>
    <s v="CFG"/>
    <s v="Residential"/>
    <s v="FTS21"/>
    <s v="CF"/>
    <s v="CFG - Firm Transportation Service - 2.1 (Fixed Residential)"/>
    <s v="RES-3"/>
    <x v="1"/>
    <s v="RES-3"/>
    <x v="1"/>
    <s v="n/a"/>
    <s v="CFG-CFG - Firm Transportation Service - 2.1 (Fixed Residential)-RES-3"/>
    <x v="1"/>
    <x v="2"/>
    <n v="1194"/>
    <n v="87"/>
    <n v="26.5"/>
    <m/>
    <n v="0.15931999999999996"/>
    <n v="0"/>
    <n v="0.65386"/>
    <m/>
    <m/>
    <n v="0.15931999999999996"/>
    <m/>
    <m/>
    <m/>
    <m/>
    <n v="1044"/>
    <n v="0"/>
    <n v="190.22807999999995"/>
    <n v="0"/>
    <n v="0"/>
    <n v="0"/>
    <n v="1234.2280799999999"/>
    <m/>
    <n v="318"/>
    <n v="780.70884000000001"/>
    <m/>
    <n v="0"/>
    <n v="0"/>
    <n v="0"/>
    <n v="1098.70884"/>
    <n v="-135.51923999999985"/>
    <n v="-0.1098008076432679"/>
    <m/>
    <n v="7"/>
    <n v="3.6215013709969476E-4"/>
    <m/>
    <n v="-0.05"/>
    <n v="0"/>
    <m/>
    <m/>
  </r>
  <r>
    <s v="CFG"/>
    <s v="Commercial"/>
    <s v="FTS21"/>
    <s v="CF"/>
    <s v="CFG - Firm Transportation Service - 2.1 Non-Residential"/>
    <s v="GS-2"/>
    <x v="3"/>
    <s v="GS-2"/>
    <x v="3"/>
    <s v="&gt; 1000 &lt; = 5,000"/>
    <s v="CFG-CFG - Firm Transportation Service - 2.1 Non-Residential-GS-2"/>
    <x v="3"/>
    <x v="2"/>
    <n v="1980"/>
    <n v="40"/>
    <n v="70"/>
    <m/>
    <n v="0.46758999999999995"/>
    <n v="0.30826999999999999"/>
    <n v="0.69901999999999997"/>
    <m/>
    <m/>
    <n v="0.15931999999999996"/>
    <m/>
    <m/>
    <m/>
    <m/>
    <n v="480"/>
    <n v="610.37459999999999"/>
    <n v="315.45359999999994"/>
    <n v="0"/>
    <n v="0"/>
    <n v="0"/>
    <n v="1405.8281999999999"/>
    <m/>
    <n v="840"/>
    <n v="1384.0596"/>
    <m/>
    <n v="0"/>
    <n v="0"/>
    <n v="0"/>
    <n v="2224.0596"/>
    <n v="818.23140000000012"/>
    <n v="0.58202801736371501"/>
    <m/>
    <n v="149"/>
    <n v="6.0226354082457557E-2"/>
    <m/>
    <n v="49.28"/>
    <n v="3.5099999999999999E-2"/>
    <m/>
    <m/>
  </r>
  <r>
    <s v="CFG"/>
    <s v="Commercial"/>
    <s v="FTS21"/>
    <s v="CF"/>
    <s v="CFG - Firm Transportation Service - 2.1 Non-Residential"/>
    <s v="GS-3"/>
    <x v="4"/>
    <s v="GS-3"/>
    <x v="4"/>
    <s v="&gt; 5,000 &lt; = 10,000"/>
    <s v="CFG-CFG - Firm Transportation Service - 2.1 Non-Residential-GS-3"/>
    <x v="4"/>
    <x v="2"/>
    <n v="6726"/>
    <n v="40"/>
    <n v="150"/>
    <m/>
    <n v="0.46758999999999995"/>
    <n v="0.30826999999999999"/>
    <n v="0.62475000000000003"/>
    <m/>
    <m/>
    <n v="0.15931999999999996"/>
    <m/>
    <m/>
    <m/>
    <m/>
    <n v="480"/>
    <n v="2073.4240199999999"/>
    <n v="1071.5863199999997"/>
    <n v="0"/>
    <n v="0"/>
    <n v="0"/>
    <n v="3625.0103399999998"/>
    <m/>
    <n v="1800"/>
    <n v="4202.0685000000003"/>
    <m/>
    <n v="0"/>
    <n v="0"/>
    <n v="0"/>
    <n v="6002.0685000000003"/>
    <n v="2377.0581600000005"/>
    <n v="0.65573831163196095"/>
    <m/>
    <n v="6"/>
    <n v="3.7476577139287947E-3"/>
    <m/>
    <n v="8.91"/>
    <n v="2.5000000000000001E-3"/>
    <m/>
    <m/>
  </r>
  <r>
    <s v="CFG"/>
    <s v="Commercial"/>
    <s v="FTS21"/>
    <s v="CF"/>
    <s v="CFG - Firm Transportation Service - 2.1 Non-Residential"/>
    <s v="GS-4"/>
    <x v="5"/>
    <s v="GS-4"/>
    <x v="5"/>
    <s v="&gt; 10,000 &lt; = 50,000"/>
    <s v="CFG-CFG - Firm Transportation Service - 2.1 Non-Residential-GS-4"/>
    <x v="5"/>
    <x v="2"/>
    <n v="16080"/>
    <n v="40"/>
    <n v="275"/>
    <m/>
    <n v="0.46758999999999995"/>
    <n v="0.30826999999999999"/>
    <n v="0.59182999999999997"/>
    <m/>
    <m/>
    <n v="0.15931999999999996"/>
    <m/>
    <m/>
    <m/>
    <m/>
    <n v="480"/>
    <n v="4956.9816000000001"/>
    <n v="2561.8655999999992"/>
    <n v="0"/>
    <n v="0"/>
    <n v="0"/>
    <n v="7998.8471999999992"/>
    <m/>
    <n v="3300"/>
    <n v="9516.6263999999992"/>
    <m/>
    <n v="0"/>
    <n v="0"/>
    <n v="0"/>
    <n v="12816.626399999999"/>
    <n v="4817.7791999999999"/>
    <n v="0.60230919275467598"/>
    <m/>
    <n v="2"/>
    <n v="1.4336917562724014E-3"/>
    <m/>
    <n v="6.91"/>
    <n v="8.9999999999999998E-4"/>
    <m/>
    <m/>
  </r>
  <r>
    <s v="CFG"/>
    <s v="Commercial"/>
    <s v="FTS21"/>
    <s v="CF"/>
    <s v="CFG - Firm Transportation Service - 2.1 Non-Residential"/>
    <s v="GS-1"/>
    <x v="6"/>
    <s v="GS-1"/>
    <x v="6"/>
    <s v="&lt; = 1000"/>
    <s v="CFG-CFG - Firm Transportation Service - 2.1 Non-Residential-GS-1"/>
    <x v="6"/>
    <x v="2"/>
    <n v="499"/>
    <n v="40"/>
    <n v="40"/>
    <m/>
    <n v="0.46758999999999995"/>
    <n v="0.30826999999999999"/>
    <n v="0.70123999999999997"/>
    <m/>
    <m/>
    <n v="0.15931999999999996"/>
    <m/>
    <m/>
    <m/>
    <m/>
    <n v="480"/>
    <n v="153.82673"/>
    <n v="79.500679999999974"/>
    <n v="0"/>
    <n v="0"/>
    <n v="0"/>
    <n v="713.32740999999999"/>
    <m/>
    <n v="480"/>
    <n v="349.91875999999996"/>
    <m/>
    <n v="0"/>
    <n v="0"/>
    <n v="0"/>
    <n v="829.91876000000002"/>
    <n v="116.59135000000003"/>
    <n v="0.1634471749795792"/>
    <m/>
    <n v="75"/>
    <n v="3.5327366933584549E-2"/>
    <m/>
    <n v="4.12"/>
    <n v="5.7999999999999996E-3"/>
    <m/>
    <m/>
  </r>
  <r>
    <s v="CFG"/>
    <s v="Residential"/>
    <s v="FTS21"/>
    <s v="CF"/>
    <s v="CFG - Firm Transportation Service - 2.1 Residential"/>
    <s v="RES-2"/>
    <x v="0"/>
    <s v="RES-2"/>
    <x v="0"/>
    <s v="&gt; 100 &lt; = 250"/>
    <s v="CFG-CFG - Firm Transportation Service - 2.1 Residential-RES-2"/>
    <x v="0"/>
    <x v="2"/>
    <n v="167"/>
    <n v="40"/>
    <n v="19.5"/>
    <m/>
    <n v="0.46758999999999995"/>
    <n v="0.30826999999999999"/>
    <n v="0.65271999999999997"/>
    <m/>
    <m/>
    <n v="0.15931999999999996"/>
    <m/>
    <m/>
    <m/>
    <m/>
    <n v="480"/>
    <n v="51.481089999999995"/>
    <n v="26.606439999999992"/>
    <n v="0"/>
    <n v="0"/>
    <n v="0"/>
    <n v="558.08753000000002"/>
    <m/>
    <n v="234"/>
    <n v="109.00424"/>
    <m/>
    <n v="0"/>
    <n v="0"/>
    <n v="0"/>
    <n v="343.00423999999998"/>
    <n v="-215.08329000000003"/>
    <n v="-0.38539347044718958"/>
    <m/>
    <n v="51"/>
    <n v="1.3781921361978111E-3"/>
    <m/>
    <n v="-0.3"/>
    <n v="-5.0000000000000001E-4"/>
    <m/>
    <m/>
  </r>
  <r>
    <s v="CFG"/>
    <s v="Residential"/>
    <s v="FTS21"/>
    <s v="CF"/>
    <s v="CFG - Firm Transportation Service - 2.1 Residential"/>
    <s v="RES-3"/>
    <x v="1"/>
    <s v="RES-3"/>
    <x v="1"/>
    <s v="n/a"/>
    <s v="CFG-CFG - Firm Transportation Service - 2.1 Residential-RES-3"/>
    <x v="1"/>
    <x v="2"/>
    <n v="1035"/>
    <n v="40"/>
    <n v="26.5"/>
    <m/>
    <n v="0.46758999999999995"/>
    <n v="0.30826999999999999"/>
    <n v="0.65386"/>
    <m/>
    <m/>
    <n v="0.15931999999999996"/>
    <m/>
    <m/>
    <m/>
    <m/>
    <n v="480"/>
    <n v="319.05944999999997"/>
    <n v="164.89619999999996"/>
    <n v="0"/>
    <n v="0"/>
    <n v="0"/>
    <n v="963.95564999999988"/>
    <m/>
    <n v="318"/>
    <n v="676.74509999999998"/>
    <m/>
    <n v="0"/>
    <n v="0"/>
    <n v="0"/>
    <n v="994.74509999999998"/>
    <n v="30.789450000000102"/>
    <n v="3.19407329579946E-2"/>
    <m/>
    <n v="397"/>
    <n v="2.0539086346939833E-2"/>
    <m/>
    <n v="0.63"/>
    <n v="6.9999999999999999E-4"/>
    <m/>
    <m/>
  </r>
  <r>
    <s v="CFG"/>
    <s v="Residential"/>
    <s v="FTS21"/>
    <s v="CF"/>
    <s v="CFG - Firm Transportation Service - 2.1 Residential"/>
    <s v="RES-1"/>
    <x v="2"/>
    <s v="RES-1"/>
    <x v="2"/>
    <s v="&lt; = 100"/>
    <s v="CFG-CFG - Firm Transportation Service - 2.1 Residential-RES-1"/>
    <x v="2"/>
    <x v="2"/>
    <n v="55"/>
    <n v="40"/>
    <n v="16.5"/>
    <m/>
    <n v="0.46758999999999995"/>
    <n v="0.30826999999999999"/>
    <n v="0.65229000000000004"/>
    <m/>
    <m/>
    <n v="0.15931999999999996"/>
    <m/>
    <m/>
    <m/>
    <m/>
    <n v="480"/>
    <n v="16.95485"/>
    <n v="8.7625999999999973"/>
    <n v="0"/>
    <n v="0"/>
    <n v="0"/>
    <n v="505.71745000000004"/>
    <m/>
    <n v="198"/>
    <n v="35.875950000000003"/>
    <m/>
    <n v="0"/>
    <n v="0"/>
    <n v="0"/>
    <n v="233.87594999999999"/>
    <n v="-271.84150000000005"/>
    <n v="-0.53753632586733957"/>
    <m/>
    <n v="14"/>
    <n v="5.0314465408805029E-4"/>
    <m/>
    <n v="-0.14000000000000001"/>
    <n v="-2.9999999999999997E-4"/>
    <m/>
    <m/>
  </r>
  <r>
    <s v="CFG"/>
    <s v="Commercial"/>
    <s v="FTS-3"/>
    <s v="CF"/>
    <s v="CFG - Firm Transportation Service - 3 (Fixed Non-Residential)"/>
    <s v="GS-2"/>
    <x v="3"/>
    <s v="GS-2"/>
    <x v="3"/>
    <s v="&gt; 1000 &lt; = 5,000"/>
    <s v="CFG-CFG - Firm Transportation Service - 3 (Fixed Non-Residential)-GS-2"/>
    <x v="3"/>
    <x v="2"/>
    <n v="3163"/>
    <n v="162"/>
    <n v="70"/>
    <m/>
    <n v="5.9479999999999998E-2"/>
    <n v="0"/>
    <n v="0.69901999999999997"/>
    <m/>
    <m/>
    <n v="5.9479999999999998E-2"/>
    <m/>
    <m/>
    <m/>
    <m/>
    <n v="1944"/>
    <n v="0"/>
    <n v="188.13523999999998"/>
    <n v="0"/>
    <n v="0"/>
    <n v="0"/>
    <n v="2132.1352400000001"/>
    <m/>
    <n v="840"/>
    <n v="2211.0002599999998"/>
    <m/>
    <n v="0"/>
    <n v="0"/>
    <n v="0"/>
    <n v="3051.0002599999998"/>
    <n v="918.86501999999973"/>
    <n v="0.43096000795896966"/>
    <m/>
    <n v="14"/>
    <n v="5.6588520614389648E-3"/>
    <m/>
    <n v="5.2"/>
    <n v="2.3999999999999998E-3"/>
    <m/>
    <m/>
  </r>
  <r>
    <s v="CFG"/>
    <s v="Commercial"/>
    <s v="FTS-3"/>
    <s v="CF"/>
    <s v="CFG - Firm Transportation Service - 3 (Fixed Non-Residential)"/>
    <s v="GS-3"/>
    <x v="4"/>
    <s v="GS-3"/>
    <x v="4"/>
    <s v="&gt; 5,000 &lt; = 10,000"/>
    <s v="CFG-CFG - Firm Transportation Service - 3 (Fixed Non-Residential)-GS-3"/>
    <x v="4"/>
    <x v="2"/>
    <n v="6167"/>
    <n v="162"/>
    <n v="150"/>
    <m/>
    <n v="5.9479999999999998E-2"/>
    <n v="0"/>
    <n v="0.62475000000000003"/>
    <m/>
    <m/>
    <n v="5.9479999999999998E-2"/>
    <m/>
    <m/>
    <m/>
    <m/>
    <n v="1944"/>
    <n v="0"/>
    <n v="366.81315999999998"/>
    <n v="0"/>
    <n v="0"/>
    <n v="0"/>
    <n v="2310.8131600000002"/>
    <m/>
    <n v="1800"/>
    <n v="3852.8332500000001"/>
    <m/>
    <n v="0"/>
    <n v="0"/>
    <n v="0"/>
    <n v="5652.8332499999997"/>
    <n v="3342.0200899999995"/>
    <n v="1.4462528376807406"/>
    <m/>
    <n v="3"/>
    <n v="1.8738288569643974E-3"/>
    <m/>
    <n v="6.26"/>
    <n v="2.7000000000000001E-3"/>
    <m/>
    <m/>
  </r>
  <r>
    <s v="CFG"/>
    <s v="Commercial"/>
    <s v="FTS-3"/>
    <s v="CF"/>
    <s v="CFG - Firm Transportation Service - 3 (Fixed Non-Residential)"/>
    <s v="GS-1"/>
    <x v="6"/>
    <s v="GS-1"/>
    <x v="6"/>
    <s v="&lt; = 1000"/>
    <s v="CFG-CFG - Firm Transportation Service - 3 (Fixed Non-Residential)-GS-1"/>
    <x v="6"/>
    <x v="2"/>
    <n v="112"/>
    <n v="162"/>
    <n v="40"/>
    <m/>
    <n v="5.9479999999999998E-2"/>
    <n v="0"/>
    <n v="0.70123999999999997"/>
    <m/>
    <m/>
    <n v="5.9479999999999998E-2"/>
    <m/>
    <m/>
    <m/>
    <m/>
    <n v="1944"/>
    <n v="0"/>
    <n v="6.6617600000000001"/>
    <n v="0"/>
    <n v="0"/>
    <n v="0"/>
    <n v="1950.66176"/>
    <m/>
    <n v="480"/>
    <n v="78.538879999999992"/>
    <m/>
    <n v="0"/>
    <n v="0"/>
    <n v="0"/>
    <n v="558.53887999999995"/>
    <n v="-1392.1228799999999"/>
    <n v="-0.71366697627783504"/>
    <m/>
    <n v="1"/>
    <n v="4.7103155911446069E-4"/>
    <m/>
    <n v="-0.66"/>
    <n v="-2.9999999999999997E-4"/>
    <m/>
    <m/>
  </r>
  <r>
    <s v="CFG"/>
    <s v="Commercial"/>
    <s v="FTS-3"/>
    <s v="CF"/>
    <s v="CFG - Firm Transportation Service - 3 Non-Residential"/>
    <s v="GS-2"/>
    <x v="3"/>
    <s v="GS-2"/>
    <x v="3"/>
    <s v="&gt; 1000 &lt; = 5,000"/>
    <s v="CFG-CFG - Firm Transportation Service - 3 Non-Residential-GS-2"/>
    <x v="3"/>
    <x v="2"/>
    <n v="3338"/>
    <n v="108"/>
    <n v="70"/>
    <m/>
    <n v="0.30049999999999999"/>
    <n v="0.24102000000000001"/>
    <n v="0.69901999999999997"/>
    <m/>
    <m/>
    <n v="5.9479999999999998E-2"/>
    <m/>
    <m/>
    <m/>
    <m/>
    <n v="1296"/>
    <n v="804.52476000000001"/>
    <n v="198.54424"/>
    <n v="0"/>
    <n v="0"/>
    <n v="0"/>
    <n v="2299.0690000000004"/>
    <m/>
    <n v="840"/>
    <n v="2333.3287599999999"/>
    <m/>
    <n v="0"/>
    <n v="0"/>
    <n v="0"/>
    <n v="3173.3287599999999"/>
    <n v="874.25975999999946"/>
    <n v="0.38026686454386505"/>
    <m/>
    <n v="216"/>
    <n v="8.730800323362975E-2"/>
    <m/>
    <n v="76.33"/>
    <n v="3.32E-2"/>
    <m/>
    <m/>
  </r>
  <r>
    <s v="CFG"/>
    <s v="Commercial"/>
    <s v="FTS-3"/>
    <s v="CF"/>
    <s v="CFG - Firm Transportation Service - 3 Non-Residential"/>
    <s v="GS-3"/>
    <x v="4"/>
    <s v="GS-3"/>
    <x v="4"/>
    <s v="&gt; 5,000 &lt; = 10,000"/>
    <s v="CFG-CFG - Firm Transportation Service - 3 Non-Residential-GS-3"/>
    <x v="4"/>
    <x v="2"/>
    <n v="6525"/>
    <n v="108"/>
    <n v="150"/>
    <m/>
    <n v="0.30049999999999999"/>
    <n v="0.24102000000000001"/>
    <n v="0.62475000000000003"/>
    <m/>
    <m/>
    <n v="5.9479999999999998E-2"/>
    <m/>
    <m/>
    <m/>
    <m/>
    <n v="1296"/>
    <n v="1572.6555000000001"/>
    <n v="388.10699999999997"/>
    <n v="0"/>
    <n v="0"/>
    <n v="0"/>
    <n v="3256.7624999999998"/>
    <m/>
    <n v="1800"/>
    <n v="4076.4937500000001"/>
    <m/>
    <n v="0"/>
    <n v="0"/>
    <n v="0"/>
    <n v="5876.4937499999996"/>
    <n v="2619.7312499999998"/>
    <n v="0.80439738851082943"/>
    <m/>
    <n v="62"/>
    <n v="3.8725796377264213E-2"/>
    <m/>
    <n v="101.45"/>
    <n v="3.1199999999999999E-2"/>
    <m/>
    <m/>
  </r>
  <r>
    <s v="CFG"/>
    <s v="Commercial"/>
    <s v="FTS-3"/>
    <s v="CF"/>
    <s v="CFG - Firm Transportation Service - 3 Non-Residential"/>
    <s v="GS-4"/>
    <x v="5"/>
    <s v="GS-4"/>
    <x v="5"/>
    <s v="&gt; 10,000 &lt; = 50,000"/>
    <s v="CFG-CFG - Firm Transportation Service - 3 Non-Residential-GS-4"/>
    <x v="5"/>
    <x v="2"/>
    <n v="11608"/>
    <n v="108"/>
    <n v="275"/>
    <m/>
    <n v="0.30049999999999999"/>
    <n v="0.24102000000000001"/>
    <n v="0.59182999999999997"/>
    <m/>
    <m/>
    <n v="5.9479999999999998E-2"/>
    <m/>
    <m/>
    <m/>
    <m/>
    <n v="1296"/>
    <n v="2797.7601600000003"/>
    <n v="690.44384000000002"/>
    <n v="0"/>
    <n v="0"/>
    <n v="0"/>
    <n v="4784.2040000000006"/>
    <m/>
    <n v="3300"/>
    <n v="6869.9626399999997"/>
    <m/>
    <n v="0"/>
    <n v="0"/>
    <n v="0"/>
    <n v="10169.96264"/>
    <n v="5385.7586399999991"/>
    <n v="1.125737665032678"/>
    <m/>
    <n v="2"/>
    <n v="1.4336917562724014E-3"/>
    <m/>
    <n v="7.72"/>
    <n v="1.6000000000000001E-3"/>
    <m/>
    <m/>
  </r>
  <r>
    <s v="CFG"/>
    <s v="Commercial"/>
    <s v="FTS-3"/>
    <s v="CF"/>
    <s v="CFG - Firm Transportation Service - 3 Non-Residential"/>
    <s v="GS-1"/>
    <x v="6"/>
    <s v="GS-1"/>
    <x v="6"/>
    <s v="&lt; = 1000"/>
    <s v="CFG-CFG - Firm Transportation Service - 3 Non-Residential-GS-1"/>
    <x v="6"/>
    <x v="2"/>
    <n v="443"/>
    <n v="108"/>
    <n v="40"/>
    <m/>
    <n v="0.30049999999999999"/>
    <n v="0.24102000000000001"/>
    <n v="0.70123999999999997"/>
    <m/>
    <m/>
    <n v="5.9479999999999998E-2"/>
    <m/>
    <m/>
    <m/>
    <m/>
    <n v="1296"/>
    <n v="106.77186"/>
    <n v="26.349640000000001"/>
    <n v="0"/>
    <n v="0"/>
    <n v="0"/>
    <n v="1429.1215"/>
    <m/>
    <n v="480"/>
    <n v="310.64931999999999"/>
    <m/>
    <n v="0"/>
    <n v="0"/>
    <n v="0"/>
    <n v="790.64931999999999"/>
    <n v="-638.47217999999998"/>
    <n v="-0.44675850163894393"/>
    <m/>
    <n v="24"/>
    <n v="1.1304757418747056E-2"/>
    <m/>
    <n v="-7.22"/>
    <n v="-5.1000000000000004E-3"/>
    <m/>
    <m/>
  </r>
  <r>
    <s v="CFG"/>
    <s v="Residential"/>
    <s v="FTS-3"/>
    <s v="CF"/>
    <s v="CFG - Firm Transportation Service - 3 Residential"/>
    <s v="RES-3"/>
    <x v="1"/>
    <s v="RES-3"/>
    <x v="1"/>
    <s v="n/a"/>
    <s v="CFG-CFG - Firm Transportation Service - 3 Residential-RES-3"/>
    <x v="1"/>
    <x v="2"/>
    <n v="2132"/>
    <n v="108"/>
    <n v="26.5"/>
    <m/>
    <n v="0.30049999999999999"/>
    <n v="0.24102000000000001"/>
    <n v="0.65386"/>
    <m/>
    <m/>
    <n v="5.9479999999999998E-2"/>
    <m/>
    <m/>
    <m/>
    <m/>
    <n v="1296"/>
    <n v="513.85464000000002"/>
    <n v="126.81135999999999"/>
    <n v="0"/>
    <n v="0"/>
    <n v="0"/>
    <n v="1936.6659999999999"/>
    <m/>
    <n v="318"/>
    <n v="1394.02952"/>
    <m/>
    <n v="0"/>
    <n v="0"/>
    <n v="0"/>
    <n v="1712.02952"/>
    <n v="-224.63647999999989"/>
    <n v="-0.11599133769064976"/>
    <m/>
    <n v="17"/>
    <n v="8.7950747581354446E-4"/>
    <m/>
    <n v="-0.2"/>
    <n v="-1E-4"/>
    <m/>
    <m/>
  </r>
  <r>
    <s v="CFG"/>
    <s v="Commercial"/>
    <s v="FTS31"/>
    <s v="CF"/>
    <s v="CFG - Firm Transportation Service - 3.1 (Fixed Non-Residential)"/>
    <s v="GS-2"/>
    <x v="3"/>
    <s v="GS-2"/>
    <x v="3"/>
    <s v="&gt; 1000 &lt; = 5,000"/>
    <s v="CFG-CFG - Firm Transportation Service - 3.1 (Fixed Non-Residential)-GS-2"/>
    <x v="3"/>
    <x v="2"/>
    <n v="3945"/>
    <n v="263"/>
    <n v="70"/>
    <m/>
    <n v="7.5529999999999986E-2"/>
    <n v="0"/>
    <n v="0.69901999999999997"/>
    <m/>
    <m/>
    <n v="7.5529999999999986E-2"/>
    <m/>
    <m/>
    <m/>
    <m/>
    <n v="3156"/>
    <n v="0"/>
    <n v="297.96584999999993"/>
    <n v="0"/>
    <n v="0"/>
    <n v="0"/>
    <n v="3453.96585"/>
    <m/>
    <n v="840"/>
    <n v="2757.6338999999998"/>
    <m/>
    <n v="0"/>
    <n v="0"/>
    <n v="0"/>
    <n v="3597.6338999999998"/>
    <n v="143.66804999999977"/>
    <n v="4.1595098573426768E-2"/>
    <m/>
    <n v="1"/>
    <n v="4.0420371867421178E-4"/>
    <m/>
    <n v="0.06"/>
    <n v="0"/>
    <m/>
    <m/>
  </r>
  <r>
    <s v="CFG"/>
    <s v="Commercial"/>
    <s v="FTS31"/>
    <s v="CF"/>
    <s v="CFG - Firm Transportation Service - 3.1 (Fixed Non-Residential)"/>
    <s v="GS-3"/>
    <x v="4"/>
    <s v="GS-3"/>
    <x v="4"/>
    <s v="&gt; 5,000 &lt; = 10,000"/>
    <s v="CFG-CFG - Firm Transportation Service - 3.1 (Fixed Non-Residential)-GS-3"/>
    <x v="4"/>
    <x v="2"/>
    <n v="6162"/>
    <n v="263"/>
    <n v="150"/>
    <m/>
    <n v="7.5529999999999986E-2"/>
    <n v="0"/>
    <n v="0.62475000000000003"/>
    <m/>
    <m/>
    <n v="7.5529999999999986E-2"/>
    <m/>
    <m/>
    <m/>
    <m/>
    <n v="3156"/>
    <n v="0"/>
    <n v="465.4158599999999"/>
    <n v="0"/>
    <n v="0"/>
    <n v="0"/>
    <n v="3621.4158600000001"/>
    <m/>
    <n v="1800"/>
    <n v="3849.7095000000004"/>
    <m/>
    <n v="0"/>
    <n v="0"/>
    <n v="0"/>
    <n v="5649.7095000000008"/>
    <n v="2028.2936400000008"/>
    <n v="0.56008304994831515"/>
    <m/>
    <n v="5"/>
    <n v="3.1230480949406619E-3"/>
    <m/>
    <n v="6.33"/>
    <n v="1.6999999999999999E-3"/>
    <m/>
    <m/>
  </r>
  <r>
    <s v="CFG"/>
    <s v="Commercial"/>
    <s v="FTS31"/>
    <s v="CF"/>
    <s v="CFG - Firm Transportation Service - 3.1 (Fixed Non-Residential)"/>
    <s v="GS-4"/>
    <x v="5"/>
    <s v="GS-4"/>
    <x v="5"/>
    <s v="&gt; 10,000 &lt; = 50,000"/>
    <s v="CFG-CFG - Firm Transportation Service - 3.1 (Fixed Non-Residential)-GS-4"/>
    <x v="5"/>
    <x v="2"/>
    <n v="11290"/>
    <n v="263"/>
    <n v="275"/>
    <m/>
    <n v="7.5529999999999986E-2"/>
    <n v="0"/>
    <n v="0.59182999999999997"/>
    <m/>
    <m/>
    <n v="7.5529999999999986E-2"/>
    <m/>
    <m/>
    <m/>
    <m/>
    <n v="3156"/>
    <n v="0"/>
    <n v="852.73369999999989"/>
    <n v="0"/>
    <n v="0"/>
    <n v="0"/>
    <n v="4008.7336999999998"/>
    <m/>
    <n v="3300"/>
    <n v="6681.7606999999998"/>
    <m/>
    <n v="0"/>
    <n v="0"/>
    <n v="0"/>
    <n v="9981.7606999999989"/>
    <n v="5973.0269999999991"/>
    <n v="1.4900034392406758"/>
    <m/>
    <n v="1"/>
    <n v="7.1684587813620072E-4"/>
    <m/>
    <n v="4.28"/>
    <n v="1.1000000000000001E-3"/>
    <m/>
    <m/>
  </r>
  <r>
    <s v="CFG"/>
    <s v="Commercial"/>
    <s v="FTS31"/>
    <s v="CF"/>
    <s v="CFG - Firm Transportation Service - 3.1 Non-Residential"/>
    <s v="GS-2"/>
    <x v="3"/>
    <s v="GS-2"/>
    <x v="3"/>
    <s v="&gt; 1000 &lt; = 5,000"/>
    <s v="CFG-CFG - Firm Transportation Service - 3.1 Non-Residential-GS-2"/>
    <x v="3"/>
    <x v="2"/>
    <n v="3862"/>
    <n v="134"/>
    <n v="70"/>
    <m/>
    <n v="0.27936"/>
    <n v="0.20383000000000001"/>
    <n v="0.69901999999999997"/>
    <m/>
    <m/>
    <n v="7.5529999999999986E-2"/>
    <m/>
    <m/>
    <m/>
    <m/>
    <n v="1608"/>
    <n v="787.19146000000001"/>
    <n v="291.69685999999996"/>
    <n v="0"/>
    <n v="0"/>
    <n v="0"/>
    <n v="2686.88832"/>
    <m/>
    <n v="840"/>
    <n v="2699.6152400000001"/>
    <m/>
    <n v="0"/>
    <n v="0"/>
    <n v="0"/>
    <n v="3539.6152400000001"/>
    <n v="852.72692000000006"/>
    <n v="0.31736597075981188"/>
    <m/>
    <n v="62"/>
    <n v="2.5060630557801132E-2"/>
    <m/>
    <n v="21.37"/>
    <n v="8.0000000000000002E-3"/>
    <m/>
    <m/>
  </r>
  <r>
    <s v="CFG"/>
    <s v="Commercial"/>
    <s v="FTS31"/>
    <s v="CF"/>
    <s v="CFG - Firm Transportation Service - 3.1 Non-Residential"/>
    <s v="GS-3"/>
    <x v="4"/>
    <s v="GS-3"/>
    <x v="4"/>
    <s v="&gt; 5,000 &lt; = 10,000"/>
    <s v="CFG-CFG - Firm Transportation Service - 3.1 Non-Residential-GS-3"/>
    <x v="4"/>
    <x v="2"/>
    <n v="7421"/>
    <n v="134"/>
    <n v="150"/>
    <m/>
    <n v="0.27936"/>
    <n v="0.20383000000000001"/>
    <n v="0.62475000000000003"/>
    <m/>
    <m/>
    <n v="7.5529999999999986E-2"/>
    <m/>
    <m/>
    <m/>
    <m/>
    <n v="1608"/>
    <n v="1512.6224300000001"/>
    <n v="560.50812999999994"/>
    <n v="0"/>
    <n v="0"/>
    <n v="0"/>
    <n v="3681.1305600000005"/>
    <m/>
    <n v="1800"/>
    <n v="4636.2697500000004"/>
    <m/>
    <n v="0"/>
    <n v="0"/>
    <n v="0"/>
    <n v="6436.2697500000004"/>
    <n v="2755.1391899999999"/>
    <n v="0.74844919110937469"/>
    <m/>
    <n v="226"/>
    <n v="0.14116177389131793"/>
    <m/>
    <n v="388.92"/>
    <n v="0.1057"/>
    <m/>
    <m/>
  </r>
  <r>
    <s v="CFG"/>
    <s v="Commercial"/>
    <s v="FTS31"/>
    <s v="CF"/>
    <s v="CFG - Firm Transportation Service - 3.1 Non-Residential"/>
    <s v="GS-4"/>
    <x v="5"/>
    <s v="GS-4"/>
    <x v="5"/>
    <s v="&gt; 10,000 &lt; = 50,000"/>
    <s v="CFG-CFG - Firm Transportation Service - 3.1 Non-Residential-GS-4"/>
    <x v="5"/>
    <x v="2"/>
    <n v="12658"/>
    <n v="134"/>
    <n v="275"/>
    <m/>
    <n v="0.27936"/>
    <n v="0.20383000000000001"/>
    <n v="0.59182999999999997"/>
    <m/>
    <m/>
    <n v="7.5529999999999986E-2"/>
    <m/>
    <m/>
    <m/>
    <m/>
    <n v="1608"/>
    <n v="2580.08014"/>
    <n v="956.05873999999983"/>
    <n v="0"/>
    <n v="0"/>
    <n v="0"/>
    <n v="5144.1388799999995"/>
    <m/>
    <n v="3300"/>
    <n v="7491.3841399999992"/>
    <m/>
    <n v="0"/>
    <n v="0"/>
    <n v="0"/>
    <n v="10791.384139999998"/>
    <n v="5647.2452599999988"/>
    <n v="1.0978018657225677"/>
    <m/>
    <n v="24"/>
    <n v="1.7204301075268817E-2"/>
    <m/>
    <n v="97.16"/>
    <n v="1.89E-2"/>
    <m/>
    <m/>
  </r>
  <r>
    <s v="CFG"/>
    <s v="Commercial"/>
    <s v="FTS31"/>
    <s v="CF"/>
    <s v="CFG - Firm Transportation Service - 3.1 Non-Residential"/>
    <s v="GS-5"/>
    <x v="7"/>
    <s v="GS-5"/>
    <x v="7"/>
    <s v="&gt; 50,000 &lt; = 250,000"/>
    <s v="CFG-CFG - Firm Transportation Service - 3.1 Non-Residential-GS-5"/>
    <x v="7"/>
    <x v="2"/>
    <n v="77341"/>
    <n v="134"/>
    <n v="750"/>
    <m/>
    <n v="0.27936"/>
    <n v="0.20383000000000001"/>
    <n v="0.52"/>
    <m/>
    <m/>
    <n v="7.5529999999999986E-2"/>
    <m/>
    <m/>
    <m/>
    <m/>
    <n v="1608"/>
    <n v="15764.41603"/>
    <n v="5841.5657299999993"/>
    <n v="0"/>
    <n v="0"/>
    <n v="0"/>
    <n v="23213.981759999999"/>
    <m/>
    <n v="9000"/>
    <n v="40217.32"/>
    <m/>
    <n v="0"/>
    <n v="0"/>
    <n v="0"/>
    <n v="49217.32"/>
    <n v="26003.338240000001"/>
    <n v="1.120158467807808"/>
    <m/>
    <n v="1"/>
    <n v="8.8495575221238937E-3"/>
    <m/>
    <n v="230.12"/>
    <n v="9.9000000000000008E-3"/>
    <m/>
    <m/>
  </r>
  <r>
    <s v="CFG"/>
    <s v="Commercial"/>
    <s v="FTS31"/>
    <s v="CF"/>
    <s v="CFG - Firm Transportation Service - 3.1 Non-Residential"/>
    <s v="GS-1"/>
    <x v="6"/>
    <s v="GS-1"/>
    <x v="6"/>
    <s v="&lt; = 1000"/>
    <s v="CFG-CFG - Firm Transportation Service - 3.1 Non-Residential-GS-1"/>
    <x v="6"/>
    <x v="2"/>
    <n v="343"/>
    <n v="134"/>
    <n v="40"/>
    <m/>
    <n v="0.27936"/>
    <n v="0.20383000000000001"/>
    <n v="0.70123999999999997"/>
    <m/>
    <m/>
    <n v="7.5529999999999986E-2"/>
    <m/>
    <m/>
    <m/>
    <m/>
    <n v="1608"/>
    <n v="69.913690000000003"/>
    <n v="25.906789999999994"/>
    <n v="0"/>
    <n v="0"/>
    <n v="0"/>
    <n v="1703.8204800000001"/>
    <m/>
    <n v="480"/>
    <n v="240.52531999999999"/>
    <m/>
    <n v="0"/>
    <n v="0"/>
    <n v="0"/>
    <n v="720.52531999999997"/>
    <n v="-983.29516000000012"/>
    <n v="-0.57711195019794581"/>
    <m/>
    <n v="13"/>
    <n v="6.1234102684879889E-3"/>
    <m/>
    <n v="-6.02"/>
    <n v="-3.5000000000000001E-3"/>
    <m/>
    <m/>
  </r>
  <r>
    <s v="CFG"/>
    <s v="Commercial"/>
    <s v="FTS-4"/>
    <s v="CF"/>
    <s v="CFG - Firm Transportation Service - 4"/>
    <s v="GS-2"/>
    <x v="3"/>
    <s v="GS-2"/>
    <x v="3"/>
    <s v="&gt; 1000 &lt; = 5,000"/>
    <s v="CFG-CFG - Firm Transportation Service - 4-GS-2"/>
    <x v="3"/>
    <x v="2"/>
    <n v="2443"/>
    <n v="210"/>
    <n v="70"/>
    <m/>
    <n v="0.27281"/>
    <n v="0.189"/>
    <n v="0.69901999999999997"/>
    <m/>
    <m/>
    <n v="8.3809999999999996E-2"/>
    <m/>
    <m/>
    <m/>
    <m/>
    <n v="2520"/>
    <n v="461.72699999999998"/>
    <n v="204.74782999999999"/>
    <n v="0"/>
    <n v="0"/>
    <n v="0"/>
    <n v="3186.4748299999997"/>
    <m/>
    <n v="840"/>
    <n v="1707.70586"/>
    <m/>
    <n v="0"/>
    <n v="0"/>
    <n v="0"/>
    <n v="2547.70586"/>
    <n v="-638.76896999999963"/>
    <n v="-0.200462581403789"/>
    <m/>
    <n v="11"/>
    <n v="4.4462409054163302E-3"/>
    <m/>
    <n v="-2.84"/>
    <n v="-8.9999999999999998E-4"/>
    <m/>
    <m/>
  </r>
  <r>
    <s v="CFG"/>
    <s v="Commercial"/>
    <s v="FTS-4"/>
    <s v="CF"/>
    <s v="CFG - Firm Transportation Service - 4"/>
    <s v="GS-3"/>
    <x v="4"/>
    <s v="GS-3"/>
    <x v="4"/>
    <s v="&gt; 5,000 &lt; = 10,000"/>
    <s v="CFG-CFG - Firm Transportation Service - 4-GS-3"/>
    <x v="4"/>
    <x v="2"/>
    <n v="8111"/>
    <n v="210"/>
    <n v="150"/>
    <m/>
    <n v="0.27281"/>
    <n v="0.189"/>
    <n v="0.62475000000000003"/>
    <m/>
    <m/>
    <n v="8.3809999999999996E-2"/>
    <m/>
    <m/>
    <m/>
    <m/>
    <n v="2520"/>
    <n v="1532.979"/>
    <n v="679.78291000000002"/>
    <n v="0"/>
    <n v="0"/>
    <n v="0"/>
    <n v="4732.7619100000002"/>
    <m/>
    <n v="1800"/>
    <n v="5067.3472499999998"/>
    <m/>
    <n v="0"/>
    <n v="0"/>
    <n v="0"/>
    <n v="6867.3472499999998"/>
    <n v="2134.5853399999996"/>
    <n v="0.45102318278250331"/>
    <m/>
    <n v="37"/>
    <n v="2.3110555902560899E-2"/>
    <m/>
    <n v="49.33"/>
    <n v="1.04E-2"/>
    <m/>
    <m/>
  </r>
  <r>
    <s v="CFG"/>
    <s v="Commercial"/>
    <s v="FTS-4"/>
    <s v="CF"/>
    <s v="CFG - Firm Transportation Service - 4"/>
    <s v="GS-4"/>
    <x v="5"/>
    <s v="GS-4"/>
    <x v="5"/>
    <s v="&gt; 10,000 &lt; = 50,000"/>
    <s v="CFG-CFG - Firm Transportation Service - 4-GS-4"/>
    <x v="5"/>
    <x v="2"/>
    <n v="16039"/>
    <n v="210"/>
    <n v="275"/>
    <m/>
    <n v="0.27281"/>
    <n v="0.189"/>
    <n v="0.59182999999999997"/>
    <m/>
    <m/>
    <n v="8.3809999999999996E-2"/>
    <m/>
    <m/>
    <m/>
    <m/>
    <n v="2520"/>
    <n v="3031.3710000000001"/>
    <n v="1344.2285899999999"/>
    <n v="0"/>
    <n v="0"/>
    <n v="0"/>
    <n v="6895.5995899999998"/>
    <m/>
    <n v="3300"/>
    <n v="9492.3613699999987"/>
    <m/>
    <n v="0"/>
    <n v="0"/>
    <n v="0"/>
    <n v="12792.361369999999"/>
    <n v="5896.7617799999989"/>
    <n v="0.85514851943426129"/>
    <m/>
    <n v="165"/>
    <n v="0.11827956989247312"/>
    <m/>
    <n v="697.47"/>
    <n v="0.1011"/>
    <m/>
    <m/>
  </r>
  <r>
    <s v="CFG"/>
    <s v="Commercial"/>
    <s v="FTS-4"/>
    <s v="CF"/>
    <s v="CFG - Firm Transportation Service - 4"/>
    <s v="GS-5"/>
    <x v="7"/>
    <s v="GS-5"/>
    <x v="7"/>
    <s v="&gt; 50,000 &lt; = 250,000"/>
    <s v="CFG-CFG - Firm Transportation Service - 4-GS-5"/>
    <x v="7"/>
    <x v="2"/>
    <n v="86516"/>
    <n v="210"/>
    <n v="750"/>
    <m/>
    <n v="0.27281"/>
    <n v="0.189"/>
    <n v="0.52"/>
    <m/>
    <m/>
    <n v="8.3809999999999996E-2"/>
    <m/>
    <m/>
    <m/>
    <m/>
    <n v="2520"/>
    <n v="16351.523999999999"/>
    <n v="7250.9059600000001"/>
    <n v="0"/>
    <n v="0"/>
    <n v="0"/>
    <n v="26122.429959999998"/>
    <m/>
    <n v="9000"/>
    <n v="44988.32"/>
    <m/>
    <n v="0"/>
    <n v="0"/>
    <n v="0"/>
    <n v="53988.32"/>
    <n v="27865.890040000002"/>
    <n v="1.0667418797818458"/>
    <m/>
    <n v="2"/>
    <n v="1.7699115044247787E-2"/>
    <m/>
    <n v="493.2"/>
    <n v="1.89E-2"/>
    <m/>
    <m/>
  </r>
  <r>
    <s v="CFG"/>
    <s v="Commercial"/>
    <s v="FTS-4"/>
    <s v="CF"/>
    <s v="CFG - Firm Transportation Service - 4"/>
    <s v="GS-1"/>
    <x v="6"/>
    <s v="GS-1"/>
    <x v="6"/>
    <s v="&lt; = 1000"/>
    <s v="CFG-CFG - Firm Transportation Service - 4-GS-1"/>
    <x v="6"/>
    <x v="2"/>
    <n v="663"/>
    <n v="210"/>
    <n v="40"/>
    <m/>
    <n v="0.27281"/>
    <n v="0.189"/>
    <n v="0.70123999999999997"/>
    <m/>
    <m/>
    <n v="8.3809999999999996E-2"/>
    <m/>
    <m/>
    <m/>
    <m/>
    <n v="2520"/>
    <n v="125.307"/>
    <n v="55.566029999999998"/>
    <n v="0"/>
    <n v="0"/>
    <n v="0"/>
    <n v="2700.8730299999997"/>
    <m/>
    <n v="480"/>
    <n v="464.92212000000001"/>
    <m/>
    <n v="0"/>
    <n v="0"/>
    <n v="0"/>
    <n v="944.92211999999995"/>
    <n v="-1755.9509099999998"/>
    <n v="-0.65014196909508182"/>
    <m/>
    <n v="6"/>
    <n v="2.8261893546867641E-3"/>
    <m/>
    <n v="-4.96"/>
    <n v="-1.8E-3"/>
    <m/>
    <m/>
  </r>
  <r>
    <s v="CFG"/>
    <s v="Commercial"/>
    <s v="FTS-5"/>
    <s v="CF"/>
    <s v="CFG - Firm Transportation Service - 5"/>
    <s v="GS-2"/>
    <x v="3"/>
    <s v="GS-2"/>
    <x v="3"/>
    <s v="&gt; 1000 &lt; = 5,000"/>
    <s v="CFG-CFG - Firm Transportation Service - 5-GS-2"/>
    <x v="3"/>
    <x v="2"/>
    <n v="4421"/>
    <n v="380"/>
    <n v="70"/>
    <m/>
    <n v="0.25567000000000001"/>
    <n v="0.1658"/>
    <n v="0.69901999999999997"/>
    <m/>
    <m/>
    <n v="8.9869999999999992E-2"/>
    <m/>
    <m/>
    <m/>
    <m/>
    <n v="4560"/>
    <n v="733.0018"/>
    <n v="397.31526999999994"/>
    <n v="0"/>
    <n v="0"/>
    <n v="0"/>
    <n v="5690.3170700000001"/>
    <m/>
    <n v="840"/>
    <n v="3090.36742"/>
    <m/>
    <n v="0"/>
    <n v="0"/>
    <n v="0"/>
    <n v="3930.36742"/>
    <n v="-1759.94965"/>
    <n v="-0.3092885033206067"/>
    <m/>
    <n v="2"/>
    <n v="8.0840743734842356E-4"/>
    <m/>
    <n v="-1.42"/>
    <n v="-2.9999999999999997E-4"/>
    <m/>
    <m/>
  </r>
  <r>
    <s v="CFG"/>
    <s v="Commercial"/>
    <s v="FTS-5"/>
    <s v="CF"/>
    <s v="CFG - Firm Transportation Service - 5"/>
    <s v="GS-3"/>
    <x v="4"/>
    <s v="GS-3"/>
    <x v="4"/>
    <s v="&gt; 5,000 &lt; = 10,000"/>
    <s v="CFG-CFG - Firm Transportation Service - 5-GS-3"/>
    <x v="4"/>
    <x v="2"/>
    <n v="9004"/>
    <n v="380"/>
    <n v="150"/>
    <m/>
    <n v="0.25567000000000001"/>
    <n v="0.1658"/>
    <n v="0.62475000000000003"/>
    <m/>
    <m/>
    <n v="8.9869999999999992E-2"/>
    <m/>
    <m/>
    <m/>
    <m/>
    <n v="4560"/>
    <n v="1492.8632"/>
    <n v="809.18947999999989"/>
    <n v="0"/>
    <n v="0"/>
    <n v="0"/>
    <n v="6862.0526799999998"/>
    <m/>
    <n v="1800"/>
    <n v="5625.2489999999998"/>
    <m/>
    <n v="0"/>
    <n v="0"/>
    <n v="0"/>
    <n v="7425.2489999999998"/>
    <n v="563.19632000000001"/>
    <n v="8.2074030361422412E-2"/>
    <m/>
    <n v="1"/>
    <n v="6.2460961898813238E-4"/>
    <m/>
    <n v="0.35"/>
    <n v="1E-4"/>
    <m/>
    <m/>
  </r>
  <r>
    <s v="CFG"/>
    <s v="Commercial"/>
    <s v="FTS-5"/>
    <s v="CF"/>
    <s v="CFG - Firm Transportation Service - 5"/>
    <s v="GS-4"/>
    <x v="5"/>
    <s v="GS-4"/>
    <x v="5"/>
    <s v="&gt; 10,000 &lt; = 50,000"/>
    <s v="CFG-CFG - Firm Transportation Service - 5-GS-4"/>
    <x v="5"/>
    <x v="2"/>
    <n v="29117"/>
    <n v="380"/>
    <n v="275"/>
    <m/>
    <n v="0.25567000000000001"/>
    <n v="0.1658"/>
    <n v="0.59182999999999997"/>
    <m/>
    <m/>
    <n v="8.9869999999999992E-2"/>
    <m/>
    <m/>
    <m/>
    <m/>
    <n v="4560"/>
    <n v="4827.5986000000003"/>
    <n v="2616.7447899999997"/>
    <n v="0"/>
    <n v="0"/>
    <n v="0"/>
    <n v="12004.343390000002"/>
    <m/>
    <n v="3300"/>
    <n v="17232.314109999999"/>
    <m/>
    <n v="0"/>
    <n v="0"/>
    <n v="0"/>
    <n v="20532.314109999999"/>
    <n v="8527.9707199999975"/>
    <n v="0.71040709541048841"/>
    <m/>
    <n v="27"/>
    <n v="1.935483870967742E-2"/>
    <m/>
    <n v="165.06"/>
    <n v="1.37E-2"/>
    <m/>
    <m/>
  </r>
  <r>
    <s v="CFG"/>
    <s v="Commercial"/>
    <s v="FTS-5"/>
    <s v="CF"/>
    <s v="CFG - Firm Transportation Service - 5"/>
    <s v="GS-5"/>
    <x v="7"/>
    <s v="GS-5"/>
    <x v="7"/>
    <s v="&gt; 50,000 &lt; = 250,000"/>
    <s v="CFG-CFG - Firm Transportation Service - 5-GS-5"/>
    <x v="7"/>
    <x v="2"/>
    <n v="60296"/>
    <n v="380"/>
    <n v="750"/>
    <m/>
    <n v="0.25567000000000001"/>
    <n v="0.1658"/>
    <n v="0.52"/>
    <m/>
    <m/>
    <n v="8.9869999999999992E-2"/>
    <m/>
    <m/>
    <m/>
    <m/>
    <n v="4560"/>
    <n v="9997.0768000000007"/>
    <n v="5418.8015199999991"/>
    <n v="0"/>
    <n v="0"/>
    <n v="0"/>
    <n v="19975.87832"/>
    <m/>
    <n v="9000"/>
    <n v="31353.920000000002"/>
    <m/>
    <n v="0"/>
    <n v="0"/>
    <n v="0"/>
    <n v="40353.919999999998"/>
    <n v="20378.041679999998"/>
    <n v="1.0201324494251325"/>
    <m/>
    <n v="4"/>
    <n v="3.5398230088495575E-2"/>
    <m/>
    <n v="721.35"/>
    <n v="3.61E-2"/>
    <m/>
    <m/>
  </r>
  <r>
    <s v="CFG"/>
    <s v="Commercial"/>
    <s v="FTS-5"/>
    <s v="CF"/>
    <s v="CFG - Firm Transportation Service - 5"/>
    <s v="GS-1"/>
    <x v="6"/>
    <s v="GS-1"/>
    <x v="6"/>
    <s v="&lt; = 1000"/>
    <s v="CFG-CFG - Firm Transportation Service - 5-GS-1"/>
    <x v="6"/>
    <x v="2"/>
    <n v="707"/>
    <n v="380"/>
    <n v="40"/>
    <m/>
    <n v="0.25567000000000001"/>
    <n v="0.1658"/>
    <n v="0.70123999999999997"/>
    <m/>
    <m/>
    <n v="8.9869999999999992E-2"/>
    <m/>
    <m/>
    <m/>
    <m/>
    <n v="4560"/>
    <n v="117.2206"/>
    <n v="63.538089999999997"/>
    <n v="0"/>
    <n v="0"/>
    <n v="0"/>
    <n v="4740.7586899999997"/>
    <m/>
    <n v="480"/>
    <n v="495.77668"/>
    <m/>
    <n v="0"/>
    <n v="0"/>
    <n v="0"/>
    <n v="975.77667999999994"/>
    <n v="-3764.9820099999997"/>
    <n v="-0.79417288585933066"/>
    <m/>
    <n v="2"/>
    <n v="9.4206311822892137E-4"/>
    <m/>
    <n v="-3.55"/>
    <n v="-6.9999999999999999E-4"/>
    <m/>
    <m/>
  </r>
  <r>
    <s v="CFG"/>
    <s v="Commercial"/>
    <s v="FTS-6"/>
    <s v="CF"/>
    <s v="CFG - Firm Transportation Service - 6"/>
    <s v="GS-2"/>
    <x v="3"/>
    <s v="GS-2"/>
    <x v="3"/>
    <s v="&gt; 1000 &lt; = 5,000"/>
    <s v="CFG-CFG - Firm Transportation Service - 6-GS-2"/>
    <x v="3"/>
    <x v="2"/>
    <n v="3857"/>
    <n v="600"/>
    <n v="70"/>
    <m/>
    <n v="0.20905000000000001"/>
    <n v="0.15137"/>
    <n v="0.69901999999999997"/>
    <m/>
    <m/>
    <n v="5.7680000000000009E-2"/>
    <m/>
    <m/>
    <m/>
    <m/>
    <n v="7200"/>
    <n v="583.83409000000006"/>
    <n v="222.47176000000005"/>
    <n v="0"/>
    <n v="0"/>
    <n v="0"/>
    <n v="8006.3058500000006"/>
    <m/>
    <n v="840"/>
    <n v="2696.12014"/>
    <m/>
    <n v="0"/>
    <n v="0"/>
    <n v="0"/>
    <n v="3536.12014"/>
    <n v="-4470.1857100000007"/>
    <n v="-0.55833311813837339"/>
    <m/>
    <n v="2"/>
    <n v="8.0840743734842356E-4"/>
    <m/>
    <n v="-3.61"/>
    <n v="-5.0000000000000001E-4"/>
    <m/>
    <m/>
  </r>
  <r>
    <s v="CFG"/>
    <s v="Commercial"/>
    <s v="FTS-6"/>
    <s v="CF"/>
    <s v="CFG - Firm Transportation Service - 6"/>
    <s v="GS-3"/>
    <x v="4"/>
    <s v="GS-3"/>
    <x v="4"/>
    <s v="&gt; 5,000 &lt; = 10,000"/>
    <s v="CFG-CFG - Firm Transportation Service - 6-GS-3"/>
    <x v="4"/>
    <x v="2"/>
    <n v="6530"/>
    <n v="600"/>
    <n v="150"/>
    <m/>
    <n v="0.20905000000000001"/>
    <n v="0.15137"/>
    <n v="0.62475000000000003"/>
    <m/>
    <m/>
    <n v="5.7680000000000009E-2"/>
    <m/>
    <m/>
    <m/>
    <m/>
    <n v="7200"/>
    <n v="988.4461"/>
    <n v="376.65040000000005"/>
    <n v="0"/>
    <n v="0"/>
    <n v="0"/>
    <n v="8565.0964999999997"/>
    <m/>
    <n v="1800"/>
    <n v="4079.6175000000003"/>
    <m/>
    <n v="0"/>
    <n v="0"/>
    <n v="0"/>
    <n v="5879.6175000000003"/>
    <n v="-2685.4789999999994"/>
    <n v="-0.31353750655348711"/>
    <m/>
    <n v="4"/>
    <n v="2.4984384759525295E-3"/>
    <m/>
    <n v="-6.71"/>
    <n v="-8.0000000000000004E-4"/>
    <m/>
    <m/>
  </r>
  <r>
    <s v="CFG"/>
    <s v="Commercial"/>
    <s v="FTS-6"/>
    <s v="CF"/>
    <s v="CFG - Firm Transportation Service - 6"/>
    <s v="GS-4"/>
    <x v="5"/>
    <s v="GS-4"/>
    <x v="5"/>
    <s v="&gt; 10,000 &lt; = 50,000"/>
    <s v="CFG-CFG - Firm Transportation Service - 6-GS-4"/>
    <x v="5"/>
    <x v="2"/>
    <n v="41456"/>
    <n v="600"/>
    <n v="275"/>
    <m/>
    <n v="0.20905000000000001"/>
    <n v="0.15137"/>
    <n v="0.59182999999999997"/>
    <m/>
    <m/>
    <n v="5.7680000000000009E-2"/>
    <m/>
    <m/>
    <m/>
    <m/>
    <n v="7200"/>
    <n v="6275.1947200000004"/>
    <n v="2391.1820800000005"/>
    <n v="0"/>
    <n v="0"/>
    <n v="0"/>
    <n v="15866.3768"/>
    <m/>
    <n v="3300"/>
    <n v="24534.904479999997"/>
    <m/>
    <n v="0"/>
    <n v="0"/>
    <n v="0"/>
    <n v="27834.904479999997"/>
    <n v="11968.527679999997"/>
    <n v="0.75433275226389418"/>
    <m/>
    <n v="9"/>
    <n v="6.4516129032258064E-3"/>
    <m/>
    <n v="77.22"/>
    <n v="4.8999999999999998E-3"/>
    <m/>
    <m/>
  </r>
  <r>
    <s v="CFG"/>
    <s v="Commercial"/>
    <s v="FTS-6"/>
    <s v="CF"/>
    <s v="CFG - Firm Transportation Service - 6"/>
    <s v="GS-5"/>
    <x v="7"/>
    <s v="GS-5"/>
    <x v="7"/>
    <s v="&gt; 50,000 &lt; = 250,000"/>
    <s v="CFG-CFG - Firm Transportation Service - 6-GS-5"/>
    <x v="7"/>
    <x v="2"/>
    <n v="106491"/>
    <n v="600"/>
    <n v="750"/>
    <m/>
    <n v="0.20905000000000001"/>
    <n v="0.15137"/>
    <n v="0.52"/>
    <m/>
    <m/>
    <n v="5.7680000000000009E-2"/>
    <m/>
    <m/>
    <m/>
    <m/>
    <n v="7200"/>
    <n v="16119.542670000001"/>
    <n v="6142.4008800000011"/>
    <n v="0"/>
    <n v="0"/>
    <n v="0"/>
    <n v="29461.943550000004"/>
    <m/>
    <n v="9000"/>
    <n v="55375.32"/>
    <m/>
    <n v="0"/>
    <n v="0"/>
    <n v="0"/>
    <n v="64375.32"/>
    <n v="34913.376449999996"/>
    <n v="1.1850330373061893"/>
    <m/>
    <n v="13"/>
    <n v="0.11504424778761062"/>
    <m/>
    <n v="4016.58"/>
    <n v="0.1363"/>
    <m/>
    <m/>
  </r>
  <r>
    <s v="CFG"/>
    <s v="Commercial"/>
    <s v="FTS-6"/>
    <s v="CF"/>
    <s v="CFG - Firm Transportation Service - 6"/>
    <s v="GS-7"/>
    <x v="12"/>
    <s v="GS-7"/>
    <x v="12"/>
    <s v="&gt; 500,000 &lt; = 1,000,000"/>
    <s v="CFG-CFG - Firm Transportation Service - 6-GS-7"/>
    <x v="12"/>
    <x v="2"/>
    <n v="690294"/>
    <n v="600"/>
    <n v="4500"/>
    <m/>
    <n v="0.20905000000000001"/>
    <n v="0.15137"/>
    <n v="0.38796999999999998"/>
    <m/>
    <m/>
    <n v="5.7680000000000009E-2"/>
    <m/>
    <m/>
    <m/>
    <m/>
    <n v="7200"/>
    <n v="104489.80278"/>
    <n v="39816.157920000005"/>
    <n v="0"/>
    <n v="0"/>
    <n v="0"/>
    <n v="151505.9607"/>
    <m/>
    <n v="54000"/>
    <n v="267813.36317999999"/>
    <m/>
    <n v="0"/>
    <n v="0"/>
    <n v="0"/>
    <n v="321813.36317999999"/>
    <n v="170307.40247999999"/>
    <n v="1.1240970433977122"/>
    <m/>
    <n v="1"/>
    <n v="8.3333333333333329E-2"/>
    <m/>
    <n v="14192.28"/>
    <n v="9.3700000000000006E-2"/>
    <m/>
    <m/>
  </r>
  <r>
    <s v="CFG"/>
    <s v="Commercial"/>
    <s v="FTS-6"/>
    <s v="CF"/>
    <s v="CFG - Firm Transportation Service - 6"/>
    <s v="GS-1"/>
    <x v="6"/>
    <s v="GS-1"/>
    <x v="6"/>
    <s v="&lt; = 1000"/>
    <s v="CFG-CFG - Firm Transportation Service - 6-GS-1"/>
    <x v="6"/>
    <x v="2"/>
    <n v="43"/>
    <n v="600"/>
    <n v="40"/>
    <m/>
    <n v="0.20905000000000001"/>
    <n v="0.15137"/>
    <n v="0.70123999999999997"/>
    <m/>
    <m/>
    <n v="5.7680000000000009E-2"/>
    <m/>
    <m/>
    <m/>
    <m/>
    <n v="7200"/>
    <n v="6.5089100000000002"/>
    <n v="2.4802400000000002"/>
    <n v="0"/>
    <n v="0"/>
    <n v="0"/>
    <n v="7208.9891499999994"/>
    <m/>
    <n v="480"/>
    <n v="30.153319999999997"/>
    <m/>
    <n v="0"/>
    <n v="0"/>
    <n v="0"/>
    <n v="510.15332000000001"/>
    <n v="-6698.8358299999991"/>
    <n v="-0.92923372342709099"/>
    <m/>
    <n v="1"/>
    <n v="4.7103155911446069E-4"/>
    <m/>
    <n v="-3.16"/>
    <n v="-4.0000000000000002E-4"/>
    <m/>
    <m/>
  </r>
  <r>
    <s v="CFG"/>
    <s v="Commercial"/>
    <s v="FTS-7"/>
    <s v="CF"/>
    <s v="CFG - Firm Transportation Service - 7"/>
    <s v="GS-3"/>
    <x v="4"/>
    <s v="GS-3"/>
    <x v="4"/>
    <s v="&gt; 5,000 &lt; = 10,000"/>
    <s v="CFG-CFG - Firm Transportation Service - 7-GS-3"/>
    <x v="4"/>
    <x v="2"/>
    <n v="5827"/>
    <n v="700"/>
    <n v="150"/>
    <m/>
    <n v="0.20016"/>
    <n v="0.123"/>
    <n v="0.62475000000000003"/>
    <m/>
    <m/>
    <n v="7.7160000000000006E-2"/>
    <m/>
    <m/>
    <m/>
    <m/>
    <n v="8400"/>
    <n v="716.721"/>
    <n v="449.61132000000003"/>
    <n v="0"/>
    <n v="0"/>
    <n v="0"/>
    <n v="9566.3323199999995"/>
    <m/>
    <n v="1800"/>
    <n v="3640.4182500000002"/>
    <m/>
    <n v="0"/>
    <n v="0"/>
    <n v="0"/>
    <n v="5440.4182500000006"/>
    <n v="-4125.9140699999989"/>
    <n v="-0.43129528977099124"/>
    <m/>
    <n v="1"/>
    <n v="6.2460961898813238E-4"/>
    <m/>
    <n v="-2.58"/>
    <n v="-2.9999999999999997E-4"/>
    <m/>
    <m/>
  </r>
  <r>
    <s v="CFG"/>
    <s v="Commercial"/>
    <s v="FTS-7"/>
    <s v="CF"/>
    <s v="CFG - Firm Transportation Service - 7"/>
    <s v="GS-4"/>
    <x v="5"/>
    <s v="GS-4"/>
    <x v="5"/>
    <s v="&gt; 10,000 &lt; = 50,000"/>
    <s v="CFG-CFG - Firm Transportation Service - 7-GS-4"/>
    <x v="5"/>
    <x v="2"/>
    <n v="12304"/>
    <n v="700"/>
    <n v="275"/>
    <m/>
    <n v="0.20016"/>
    <n v="0.123"/>
    <n v="0.59182999999999997"/>
    <m/>
    <m/>
    <n v="7.7160000000000006E-2"/>
    <m/>
    <m/>
    <m/>
    <m/>
    <n v="8400"/>
    <n v="1513.3920000000001"/>
    <n v="949.37664000000007"/>
    <n v="0"/>
    <n v="0"/>
    <n v="0"/>
    <n v="10862.76864"/>
    <m/>
    <n v="3300"/>
    <n v="7281.8763199999994"/>
    <m/>
    <n v="0"/>
    <n v="0"/>
    <n v="0"/>
    <n v="10581.876319999999"/>
    <n v="-280.89232000000084"/>
    <n v="-2.5858262226599427E-2"/>
    <m/>
    <n v="1"/>
    <n v="7.1684587813620072E-4"/>
    <m/>
    <n v="-0.2"/>
    <n v="0"/>
    <m/>
    <m/>
  </r>
  <r>
    <s v="CFG"/>
    <s v="Commercial"/>
    <s v="FTS-7"/>
    <s v="CF"/>
    <s v="CFG - Firm Transportation Service - 7"/>
    <s v="GS-5"/>
    <x v="7"/>
    <s v="GS-5"/>
    <x v="7"/>
    <s v="&gt; 50,000 &lt; = 250,000"/>
    <s v="CFG-CFG - Firm Transportation Service - 7-GS-5"/>
    <x v="7"/>
    <x v="2"/>
    <n v="131677"/>
    <n v="700"/>
    <n v="750"/>
    <m/>
    <n v="0.20016"/>
    <n v="0.123"/>
    <n v="0.52"/>
    <m/>
    <m/>
    <n v="7.7160000000000006E-2"/>
    <m/>
    <m/>
    <m/>
    <m/>
    <n v="8400"/>
    <n v="16196.271000000001"/>
    <n v="10160.197320000001"/>
    <n v="0"/>
    <n v="0"/>
    <n v="0"/>
    <n v="34756.46832"/>
    <m/>
    <n v="9000"/>
    <n v="68472.040000000008"/>
    <m/>
    <n v="0"/>
    <n v="0"/>
    <n v="0"/>
    <n v="77472.040000000008"/>
    <n v="42715.571680000008"/>
    <n v="1.228996320532949"/>
    <m/>
    <n v="20"/>
    <n v="0.17699115044247787"/>
    <m/>
    <n v="7560.28"/>
    <n v="0.2175"/>
    <m/>
    <m/>
  </r>
  <r>
    <s v="CFG"/>
    <s v="Commercial"/>
    <s v="FTS-7"/>
    <s v="CF"/>
    <s v="CFG - Firm Transportation Service - 7"/>
    <s v="GS-6"/>
    <x v="11"/>
    <s v="GS-6"/>
    <x v="11"/>
    <s v="&gt; 250,000 &lt; = 500,000"/>
    <s v="CFG-CFG - Firm Transportation Service - 7-GS-6"/>
    <x v="11"/>
    <x v="2"/>
    <n v="325033"/>
    <n v="700"/>
    <n v="2500"/>
    <m/>
    <n v="0.20016"/>
    <n v="0.123"/>
    <n v="0.49419000000000002"/>
    <m/>
    <m/>
    <n v="7.7160000000000006E-2"/>
    <m/>
    <m/>
    <m/>
    <m/>
    <n v="8400"/>
    <n v="39979.059000000001"/>
    <n v="25079.546280000002"/>
    <n v="0"/>
    <n v="0"/>
    <n v="0"/>
    <n v="73458.605280000003"/>
    <m/>
    <n v="30000"/>
    <n v="160628.05827000001"/>
    <m/>
    <n v="0"/>
    <n v="0"/>
    <n v="0"/>
    <n v="190628.05827000001"/>
    <n v="117169.45299000001"/>
    <n v="1.5950405339631573"/>
    <m/>
    <n v="3"/>
    <n v="8.8235294117647065E-2"/>
    <m/>
    <n v="10338.48"/>
    <n v="0.14069999999999999"/>
    <m/>
    <m/>
  </r>
  <r>
    <s v="CFG"/>
    <s v="Commercial"/>
    <s v="FTS-7"/>
    <s v="CF"/>
    <s v="CFG - Firm Transportation Service - 7"/>
    <s v="GS-7"/>
    <x v="12"/>
    <s v="GS-7"/>
    <x v="12"/>
    <s v="&gt; 500,000 &lt; = 1,000,000"/>
    <s v="CFG-CFG - Firm Transportation Service - 7-GS-7"/>
    <x v="12"/>
    <x v="2"/>
    <n v="667664"/>
    <n v="700"/>
    <n v="4500"/>
    <m/>
    <n v="0.20016"/>
    <n v="0.123"/>
    <n v="0.38796999999999998"/>
    <m/>
    <m/>
    <n v="7.7160000000000006E-2"/>
    <m/>
    <m/>
    <m/>
    <m/>
    <n v="8400"/>
    <n v="82122.672000000006"/>
    <n v="51516.954240000006"/>
    <n v="0"/>
    <n v="0"/>
    <n v="0"/>
    <n v="142039.62624000001"/>
    <m/>
    <n v="54000"/>
    <n v="259033.60207999998"/>
    <m/>
    <n v="0"/>
    <n v="0"/>
    <n v="0"/>
    <n v="313033.60207999998"/>
    <n v="170993.97583999997"/>
    <n v="1.2038469852847731"/>
    <m/>
    <n v="1"/>
    <n v="8.3333333333333329E-2"/>
    <m/>
    <n v="14249.5"/>
    <n v="0.1003"/>
    <m/>
    <m/>
  </r>
  <r>
    <s v="CFG"/>
    <s v="Commercial"/>
    <s v="FTS-8"/>
    <s v="CF"/>
    <s v="CFG - Firm Transportation Service - 8"/>
    <s v="GS-5"/>
    <x v="7"/>
    <s v="GS-5"/>
    <x v="7"/>
    <s v="&gt; 50,000 &lt; = 250,000"/>
    <s v="CFG-CFG - Firm Transportation Service - 8-GS-5"/>
    <x v="7"/>
    <x v="2"/>
    <n v="164505"/>
    <n v="1200"/>
    <n v="750"/>
    <m/>
    <n v="0.19342000000000001"/>
    <n v="0.11024"/>
    <n v="0.52"/>
    <m/>
    <m/>
    <n v="8.3180000000000004E-2"/>
    <m/>
    <m/>
    <m/>
    <m/>
    <n v="14400"/>
    <n v="18135.031200000001"/>
    <n v="13683.525900000001"/>
    <n v="0"/>
    <n v="0"/>
    <n v="0"/>
    <n v="46218.557100000005"/>
    <m/>
    <n v="9000"/>
    <n v="85542.6"/>
    <m/>
    <n v="0"/>
    <n v="0"/>
    <n v="0"/>
    <n v="94542.6"/>
    <n v="48324.0429"/>
    <n v="1.045554987695624"/>
    <m/>
    <n v="6"/>
    <n v="5.3097345132743362E-2"/>
    <m/>
    <n v="2565.88"/>
    <n v="5.5500000000000001E-2"/>
    <m/>
    <m/>
  </r>
  <r>
    <s v="CFG"/>
    <s v="Commercial"/>
    <s v="FTS-8"/>
    <s v="CF"/>
    <s v="CFG - Firm Transportation Service - 8"/>
    <s v="GS-6"/>
    <x v="11"/>
    <s v="GS-6"/>
    <x v="11"/>
    <s v="&gt; 250,000 &lt; = 500,000"/>
    <s v="CFG-CFG - Firm Transportation Service - 8-GS-6"/>
    <x v="11"/>
    <x v="2"/>
    <n v="347005"/>
    <n v="1200"/>
    <n v="2500"/>
    <m/>
    <n v="0.19342000000000001"/>
    <n v="0.11024"/>
    <n v="0.49419000000000002"/>
    <m/>
    <m/>
    <n v="8.3180000000000004E-2"/>
    <m/>
    <m/>
    <m/>
    <m/>
    <n v="14400"/>
    <n v="38253.831200000001"/>
    <n v="28863.875900000003"/>
    <n v="0"/>
    <n v="0"/>
    <n v="0"/>
    <n v="81517.7071"/>
    <m/>
    <n v="30000"/>
    <n v="171486.40095000001"/>
    <m/>
    <n v="0"/>
    <n v="0"/>
    <n v="0"/>
    <n v="201486.40095000001"/>
    <n v="119968.69385000001"/>
    <n v="1.4716887669918284"/>
    <m/>
    <n v="13"/>
    <n v="0.38235294117647056"/>
    <m/>
    <n v="45870.38"/>
    <n v="0.56269999999999998"/>
    <m/>
    <m/>
  </r>
  <r>
    <s v="CFG"/>
    <s v="Commercial"/>
    <s v="FTS-9"/>
    <s v="CF"/>
    <s v="CFG - Firm Transportation Service - 9"/>
    <s v="GS-4"/>
    <x v="5"/>
    <s v="GS-4"/>
    <x v="5"/>
    <s v="&gt; 10,000 &lt; = 50,000"/>
    <s v="CFG-CFG - Firm Transportation Service - 9-GS-4"/>
    <x v="5"/>
    <x v="2"/>
    <n v="24459"/>
    <n v="2000"/>
    <n v="275"/>
    <m/>
    <n v="0.22033"/>
    <n v="9.1329999999999995E-2"/>
    <n v="0.59182999999999997"/>
    <m/>
    <m/>
    <n v="0.129"/>
    <m/>
    <m/>
    <m/>
    <m/>
    <n v="24000"/>
    <n v="2233.8404699999996"/>
    <n v="3155.2110000000002"/>
    <n v="0"/>
    <n v="0"/>
    <n v="0"/>
    <n v="29389.051469999999"/>
    <m/>
    <n v="3300"/>
    <n v="14475.569969999999"/>
    <m/>
    <n v="0"/>
    <n v="0"/>
    <n v="0"/>
    <n v="17775.569969999997"/>
    <n v="-11613.481500000002"/>
    <n v="-0.39516353604861687"/>
    <m/>
    <n v="1"/>
    <n v="7.1684587813620072E-4"/>
    <m/>
    <n v="-8.33"/>
    <n v="-2.9999999999999997E-4"/>
    <m/>
    <m/>
  </r>
  <r>
    <s v="CFG"/>
    <s v="Commercial"/>
    <s v="FTS-9"/>
    <s v="CF"/>
    <s v="CFG - Firm Transportation Service - 9"/>
    <s v="GS-5"/>
    <x v="7"/>
    <s v="GS-5"/>
    <x v="7"/>
    <s v="&gt; 50,000 &lt; = 250,000"/>
    <s v="CFG-CFG - Firm Transportation Service - 9-GS-5"/>
    <x v="7"/>
    <x v="2"/>
    <n v="128709"/>
    <n v="2000"/>
    <n v="750"/>
    <m/>
    <n v="0.22033"/>
    <n v="9.1329999999999995E-2"/>
    <n v="0.52"/>
    <m/>
    <m/>
    <n v="0.129"/>
    <m/>
    <m/>
    <m/>
    <m/>
    <n v="24000"/>
    <n v="11754.992969999999"/>
    <n v="16603.460999999999"/>
    <n v="0"/>
    <n v="0"/>
    <n v="0"/>
    <n v="52358.453970000002"/>
    <m/>
    <n v="9000"/>
    <n v="66928.680000000008"/>
    <m/>
    <n v="0"/>
    <n v="0"/>
    <n v="0"/>
    <n v="75928.680000000008"/>
    <n v="23570.226030000005"/>
    <n v="0.45017039738234282"/>
    <m/>
    <n v="1"/>
    <n v="8.8495575221238937E-3"/>
    <m/>
    <n v="208.59"/>
    <n v="4.0000000000000001E-3"/>
    <m/>
    <m/>
  </r>
  <r>
    <s v="CFG"/>
    <s v="Commercial"/>
    <s v="FTS-9"/>
    <s v="CF"/>
    <s v="CFG - Firm Transportation Service - 9"/>
    <s v="GS-6"/>
    <x v="11"/>
    <s v="GS-6"/>
    <x v="11"/>
    <s v="&gt; 250,000 &lt; = 500,000"/>
    <s v="CFG-CFG - Firm Transportation Service - 9-GS-6"/>
    <x v="11"/>
    <x v="2"/>
    <n v="481287"/>
    <n v="2000"/>
    <n v="2500"/>
    <m/>
    <n v="0.22033"/>
    <n v="9.1329999999999995E-2"/>
    <n v="0.49419000000000002"/>
    <m/>
    <m/>
    <n v="0.129"/>
    <m/>
    <m/>
    <m/>
    <m/>
    <n v="24000"/>
    <n v="43955.941709999999"/>
    <n v="62086.023000000001"/>
    <n v="0"/>
    <n v="0"/>
    <n v="0"/>
    <n v="130041.96471"/>
    <m/>
    <n v="30000"/>
    <n v="237847.22253"/>
    <m/>
    <n v="0"/>
    <n v="0"/>
    <n v="0"/>
    <n v="267847.22253000003"/>
    <n v="137805.25782000003"/>
    <n v="1.0596983683483447"/>
    <m/>
    <n v="2"/>
    <n v="5.8823529411764705E-2"/>
    <m/>
    <n v="8106.19"/>
    <n v="6.2300000000000001E-2"/>
    <m/>
    <m/>
  </r>
  <r>
    <s v="CFG"/>
    <s v="Commercial"/>
    <s v="FTS-9"/>
    <s v="CF"/>
    <s v="CFG - Firm Transportation Service - 9"/>
    <s v="GS-7"/>
    <x v="12"/>
    <s v="GS-7"/>
    <x v="12"/>
    <s v="&gt; 500,000 &lt; = 1,000,000"/>
    <s v="CFG-CFG - Firm Transportation Service - 9-GS-7"/>
    <x v="12"/>
    <x v="2"/>
    <n v="862528"/>
    <n v="2000"/>
    <n v="4500"/>
    <m/>
    <n v="0.22033"/>
    <n v="9.1329999999999995E-2"/>
    <n v="0.38796999999999998"/>
    <m/>
    <m/>
    <n v="0.129"/>
    <m/>
    <m/>
    <m/>
    <m/>
    <n v="24000"/>
    <n v="78774.682239999995"/>
    <n v="111266.11200000001"/>
    <n v="0"/>
    <n v="0"/>
    <n v="0"/>
    <n v="214040.79424000002"/>
    <m/>
    <n v="54000"/>
    <n v="334634.98816000001"/>
    <m/>
    <n v="0"/>
    <n v="0"/>
    <n v="0"/>
    <n v="388634.98816000001"/>
    <n v="174594.19391999999"/>
    <n v="0.81570522357635589"/>
    <m/>
    <n v="3"/>
    <n v="0.25"/>
    <m/>
    <n v="43648.55"/>
    <n v="0.2039"/>
    <m/>
    <m/>
  </r>
  <r>
    <s v="CFG"/>
    <s v="Residential"/>
    <s v="FTS-A"/>
    <s v="CF"/>
    <s v="CFG - Firm Transportation Service - A (Fixed Residential)"/>
    <s v="RES-2"/>
    <x v="0"/>
    <s v="RES-2"/>
    <x v="0"/>
    <s v="&gt; 100 &lt; = 250"/>
    <s v="CFG-CFG - Firm Transportation Service - A (Fixed Residential)-RES-2"/>
    <x v="0"/>
    <x v="2"/>
    <n v="142"/>
    <n v="17"/>
    <n v="19.5"/>
    <m/>
    <n v="0.71307000000000009"/>
    <n v="0"/>
    <n v="0.65271999999999997"/>
    <m/>
    <m/>
    <n v="0.71307000000000009"/>
    <m/>
    <m/>
    <m/>
    <m/>
    <n v="204"/>
    <n v="0"/>
    <n v="101.25594000000001"/>
    <n v="0"/>
    <n v="0"/>
    <n v="0"/>
    <n v="305.25594000000001"/>
    <m/>
    <n v="234"/>
    <n v="92.686239999999998"/>
    <m/>
    <n v="0"/>
    <n v="0"/>
    <n v="0"/>
    <n v="326.68624"/>
    <n v="21.430299999999988"/>
    <n v="7.0204366866702048E-2"/>
    <m/>
    <n v="5"/>
    <n v="1.3511687609782462E-4"/>
    <m/>
    <n v="0"/>
    <n v="0"/>
    <m/>
    <m/>
  </r>
  <r>
    <s v="CFG"/>
    <s v="Residential"/>
    <s v="FTS-A"/>
    <s v="CF"/>
    <s v="CFG - Firm Transportation Service - A (Fixed Residential)"/>
    <s v="RES-3"/>
    <x v="1"/>
    <s v="RES-3"/>
    <x v="1"/>
    <s v="n/a"/>
    <s v="CFG-CFG - Firm Transportation Service - A (Fixed Residential)-RES-3"/>
    <x v="1"/>
    <x v="2"/>
    <n v="247"/>
    <n v="17"/>
    <n v="26.5"/>
    <m/>
    <n v="0.71307000000000009"/>
    <n v="0"/>
    <n v="0.65386"/>
    <m/>
    <m/>
    <n v="0.71307000000000009"/>
    <m/>
    <m/>
    <m/>
    <m/>
    <n v="204"/>
    <n v="0"/>
    <n v="176.12829000000002"/>
    <n v="0"/>
    <n v="0"/>
    <n v="0"/>
    <n v="380.12828999999999"/>
    <m/>
    <n v="318"/>
    <n v="161.50342000000001"/>
    <m/>
    <n v="0"/>
    <n v="0"/>
    <n v="0"/>
    <n v="479.50342000000001"/>
    <n v="99.375130000000013"/>
    <n v="0.26142524146255997"/>
    <m/>
    <n v="1"/>
    <n v="5.1735733871384965E-5"/>
    <m/>
    <n v="0.01"/>
    <n v="0"/>
    <m/>
    <m/>
  </r>
  <r>
    <s v="CFG"/>
    <s v="Residential"/>
    <s v="FTS-A"/>
    <s v="CF"/>
    <s v="CFG - Firm Transportation Service - A (Fixed Residential)"/>
    <s v="RES-1"/>
    <x v="2"/>
    <s v="RES-1"/>
    <x v="2"/>
    <s v="&lt; = 100"/>
    <s v="CFG-CFG - Firm Transportation Service - A (Fixed Residential)-RES-1"/>
    <x v="2"/>
    <x v="2"/>
    <n v="67"/>
    <n v="17"/>
    <n v="16.5"/>
    <m/>
    <n v="0.71307000000000009"/>
    <n v="0"/>
    <n v="0.65229000000000004"/>
    <m/>
    <m/>
    <n v="0.71307000000000009"/>
    <m/>
    <m/>
    <m/>
    <m/>
    <n v="204"/>
    <n v="0"/>
    <n v="47.775690000000004"/>
    <n v="0"/>
    <n v="0"/>
    <n v="0"/>
    <n v="251.77569"/>
    <m/>
    <n v="198"/>
    <n v="43.703430000000004"/>
    <m/>
    <n v="0"/>
    <n v="0"/>
    <n v="0"/>
    <n v="241.70343"/>
    <n v="-10.07226"/>
    <n v="-4.0004894833174723E-2"/>
    <m/>
    <n v="24"/>
    <n v="8.6253369272237194E-4"/>
    <m/>
    <n v="-0.01"/>
    <n v="0"/>
    <m/>
    <m/>
  </r>
  <r>
    <s v="CFG"/>
    <s v="Commercial"/>
    <s v="FTS-A"/>
    <s v="CF"/>
    <s v="CFG - Firm Transportation Service - A Non-Residential"/>
    <s v="GS-1"/>
    <x v="6"/>
    <s v="GS-1"/>
    <x v="6"/>
    <s v="&lt; = 1000"/>
    <s v="CFG-CFG - Firm Transportation Service - A Non-Residential-GS-1"/>
    <x v="6"/>
    <x v="2"/>
    <n v="35"/>
    <n v="13"/>
    <n v="40"/>
    <m/>
    <n v="1.17665"/>
    <n v="0.46357999999999999"/>
    <n v="0.70123999999999997"/>
    <m/>
    <m/>
    <n v="0.71307000000000009"/>
    <m/>
    <m/>
    <m/>
    <m/>
    <n v="156"/>
    <n v="16.225300000000001"/>
    <n v="24.957450000000001"/>
    <n v="0"/>
    <n v="0"/>
    <n v="0"/>
    <n v="197.18275"/>
    <m/>
    <n v="480"/>
    <n v="24.543399999999998"/>
    <m/>
    <n v="0"/>
    <n v="0"/>
    <n v="0"/>
    <n v="504.54340000000002"/>
    <n v="307.36065000000002"/>
    <n v="1.5587603378084545"/>
    <m/>
    <n v="9"/>
    <n v="4.2392840320301462E-3"/>
    <m/>
    <n v="1.3"/>
    <n v="6.6E-3"/>
    <m/>
    <m/>
  </r>
  <r>
    <s v="CFG"/>
    <s v="Residential"/>
    <s v="FTS-A"/>
    <s v="CF"/>
    <s v="CFG - Firm Transportation Service - A Residential"/>
    <s v="RES-2"/>
    <x v="0"/>
    <s v="RES-2"/>
    <x v="0"/>
    <s v="&gt; 100 &lt; = 250"/>
    <s v="CFG-CFG - Firm Transportation Service - A Residential-RES-2"/>
    <x v="0"/>
    <x v="2"/>
    <n v="139"/>
    <n v="13"/>
    <n v="19.5"/>
    <m/>
    <n v="1.17665"/>
    <n v="0.46357999999999999"/>
    <n v="0.65271999999999997"/>
    <m/>
    <m/>
    <n v="0.71307000000000009"/>
    <m/>
    <m/>
    <m/>
    <m/>
    <n v="156"/>
    <n v="64.437619999999995"/>
    <n v="99.116730000000018"/>
    <n v="0"/>
    <n v="0"/>
    <n v="0"/>
    <n v="319.55435"/>
    <m/>
    <n v="234"/>
    <n v="90.728079999999991"/>
    <m/>
    <n v="0"/>
    <n v="0"/>
    <n v="0"/>
    <n v="324.72807999999998"/>
    <n v="5.1737299999999777"/>
    <n v="1.6190453986935173E-2"/>
    <m/>
    <n v="285"/>
    <n v="7.7016619375760032E-3"/>
    <m/>
    <n v="0.04"/>
    <n v="1E-4"/>
    <m/>
    <m/>
  </r>
  <r>
    <s v="CFG"/>
    <s v="Residential"/>
    <s v="FTS-A"/>
    <s v="CF"/>
    <s v="CFG - Firm Transportation Service - A Residential"/>
    <s v="RES-3"/>
    <x v="1"/>
    <s v="RES-3"/>
    <x v="1"/>
    <s v="n/a"/>
    <s v="CFG-CFG - Firm Transportation Service - A Residential-RES-3"/>
    <x v="1"/>
    <x v="2"/>
    <n v="449"/>
    <n v="13"/>
    <n v="26.5"/>
    <m/>
    <n v="1.17665"/>
    <n v="0.46357999999999999"/>
    <n v="0.65386"/>
    <m/>
    <m/>
    <n v="0.71307000000000009"/>
    <m/>
    <m/>
    <m/>
    <m/>
    <n v="156"/>
    <n v="208.14741999999998"/>
    <n v="320.16843000000006"/>
    <n v="0"/>
    <n v="0"/>
    <n v="0"/>
    <n v="684.31585000000007"/>
    <m/>
    <n v="318"/>
    <n v="293.58314000000001"/>
    <m/>
    <n v="0"/>
    <n v="0"/>
    <n v="0"/>
    <n v="611.58313999999996"/>
    <n v="-72.732710000000111"/>
    <n v="-0.1062852920913641"/>
    <m/>
    <n v="14"/>
    <n v="7.2430027419938953E-4"/>
    <m/>
    <n v="-0.05"/>
    <n v="-1E-4"/>
    <m/>
    <m/>
  </r>
  <r>
    <s v="CFG"/>
    <s v="Residential"/>
    <s v="FTS-A"/>
    <s v="CF"/>
    <s v="CFG - Firm Transportation Service - A Residential"/>
    <s v="RES-1"/>
    <x v="2"/>
    <s v="RES-1"/>
    <x v="2"/>
    <s v="&lt; = 100"/>
    <s v="CFG-CFG - Firm Transportation Service - A Residential-RES-1"/>
    <x v="2"/>
    <x v="2"/>
    <n v="55"/>
    <n v="13"/>
    <n v="16.5"/>
    <m/>
    <n v="1.17665"/>
    <n v="0.46357999999999999"/>
    <n v="0.65229000000000004"/>
    <m/>
    <m/>
    <n v="0.71307000000000009"/>
    <m/>
    <m/>
    <m/>
    <m/>
    <n v="156"/>
    <n v="25.4969"/>
    <n v="39.218850000000003"/>
    <n v="0"/>
    <n v="0"/>
    <n v="0"/>
    <n v="220.71575000000001"/>
    <m/>
    <n v="198"/>
    <n v="35.875950000000003"/>
    <m/>
    <n v="0"/>
    <n v="0"/>
    <n v="0"/>
    <n v="233.87594999999999"/>
    <n v="13.160199999999975"/>
    <n v="5.962510604703096E-2"/>
    <m/>
    <n v="804"/>
    <n v="2.8894878706199462E-2"/>
    <m/>
    <n v="0.38"/>
    <n v="1.6999999999999999E-3"/>
    <m/>
    <m/>
  </r>
  <r>
    <s v="CFG"/>
    <s v="Commercial"/>
    <s v="FTS-B"/>
    <s v="CF"/>
    <s v="CFG - Firm Transportation Service - B (Fixed Non-Residential)"/>
    <s v="GS-1"/>
    <x v="6"/>
    <s v="GS-1"/>
    <x v="6"/>
    <s v="&lt; = 1000"/>
    <s v="CFG-CFG - Firm Transportation Service - B (Fixed Non-Residential)-GS-1"/>
    <x v="6"/>
    <x v="2"/>
    <n v="17"/>
    <n v="23"/>
    <n v="40"/>
    <m/>
    <n v="0.21507999999999991"/>
    <n v="0"/>
    <n v="0.70123999999999997"/>
    <m/>
    <m/>
    <n v="0.21507999999999991"/>
    <m/>
    <m/>
    <m/>
    <m/>
    <n v="276"/>
    <n v="0"/>
    <n v="3.6563599999999985"/>
    <n v="0"/>
    <n v="0"/>
    <n v="0"/>
    <n v="279.65636000000001"/>
    <m/>
    <n v="480"/>
    <n v="11.92108"/>
    <m/>
    <n v="0"/>
    <n v="0"/>
    <n v="0"/>
    <n v="491.92108000000002"/>
    <n v="212.26472000000001"/>
    <n v="0.7590198198961039"/>
    <m/>
    <n v="1"/>
    <n v="4.7103155911446069E-4"/>
    <m/>
    <n v="0.1"/>
    <n v="4.0000000000000002E-4"/>
    <m/>
    <m/>
  </r>
  <r>
    <s v="CFG"/>
    <s v="Residential"/>
    <s v="FTS-B"/>
    <s v="CF"/>
    <s v="CFG - Firm Transportation Service - B (Fixed Residential)"/>
    <s v="RES-2"/>
    <x v="0"/>
    <s v="RES-2"/>
    <x v="0"/>
    <s v="&gt; 100 &lt; = 250"/>
    <s v="CFG-CFG - Firm Transportation Service - B (Fixed Residential)-RES-2"/>
    <x v="0"/>
    <x v="2"/>
    <n v="144"/>
    <n v="23"/>
    <n v="19.5"/>
    <m/>
    <n v="0.21507999999999991"/>
    <n v="0"/>
    <n v="0.65271999999999997"/>
    <m/>
    <m/>
    <n v="0.21507999999999991"/>
    <m/>
    <m/>
    <m/>
    <m/>
    <n v="276"/>
    <n v="0"/>
    <n v="30.971519999999988"/>
    <n v="0"/>
    <n v="0"/>
    <n v="0"/>
    <n v="306.97152"/>
    <m/>
    <n v="234"/>
    <n v="93.991680000000002"/>
    <m/>
    <n v="0"/>
    <n v="0"/>
    <n v="0"/>
    <n v="327.99167999999997"/>
    <n v="21.020159999999976"/>
    <n v="6.8475928972172972E-2"/>
    <m/>
    <n v="41"/>
    <n v="1.1079583840021619E-3"/>
    <m/>
    <n v="0.02"/>
    <n v="1E-4"/>
    <m/>
    <m/>
  </r>
  <r>
    <s v="CFG"/>
    <s v="Residential"/>
    <s v="FTS-B"/>
    <s v="CF"/>
    <s v="CFG - Firm Transportation Service - B (Fixed Residential)"/>
    <s v="RES-3"/>
    <x v="1"/>
    <s v="RES-3"/>
    <x v="1"/>
    <s v="n/a"/>
    <s v="CFG-CFG - Firm Transportation Service - B (Fixed Residential)-RES-3"/>
    <x v="1"/>
    <x v="2"/>
    <n v="332"/>
    <n v="23"/>
    <n v="26.5"/>
    <m/>
    <n v="0.21507999999999991"/>
    <n v="0"/>
    <n v="0.65386"/>
    <m/>
    <m/>
    <n v="0.21507999999999991"/>
    <m/>
    <m/>
    <m/>
    <m/>
    <n v="276"/>
    <n v="0"/>
    <n v="71.406559999999971"/>
    <n v="0"/>
    <n v="0"/>
    <n v="0"/>
    <n v="347.40655999999996"/>
    <m/>
    <n v="318"/>
    <n v="217.08152000000001"/>
    <m/>
    <n v="0"/>
    <n v="0"/>
    <n v="0"/>
    <n v="535.08151999999995"/>
    <n v="187.67496"/>
    <n v="0.54021708743784236"/>
    <m/>
    <n v="3"/>
    <n v="1.552072016141549E-4"/>
    <m/>
    <n v="0.03"/>
    <n v="1E-4"/>
    <m/>
    <m/>
  </r>
  <r>
    <s v="CFG"/>
    <s v="Residential"/>
    <s v="FTS-B"/>
    <s v="CF"/>
    <s v="CFG - Firm Transportation Service - B (Fixed Residential)"/>
    <s v="RES-1"/>
    <x v="2"/>
    <s v="RES-1"/>
    <x v="2"/>
    <s v="&lt; = 100"/>
    <s v="CFG-CFG - Firm Transportation Service - B (Fixed Residential)-RES-1"/>
    <x v="2"/>
    <x v="2"/>
    <n v="66"/>
    <n v="23"/>
    <n v="16.5"/>
    <m/>
    <n v="0.21507999999999991"/>
    <n v="0"/>
    <n v="0.65229000000000004"/>
    <m/>
    <m/>
    <n v="0.21507999999999991"/>
    <m/>
    <m/>
    <m/>
    <m/>
    <n v="276"/>
    <n v="0"/>
    <n v="14.195279999999993"/>
    <n v="0"/>
    <n v="0"/>
    <n v="0"/>
    <n v="290.19527999999997"/>
    <m/>
    <n v="198"/>
    <n v="43.051140000000004"/>
    <m/>
    <n v="0"/>
    <n v="0"/>
    <n v="0"/>
    <n v="241.05114"/>
    <n v="-49.144139999999965"/>
    <n v="-0.16934851593726807"/>
    <m/>
    <n v="17"/>
    <n v="6.109613656783468E-4"/>
    <m/>
    <n v="-0.03"/>
    <n v="-1E-4"/>
    <m/>
    <m/>
  </r>
  <r>
    <s v="CFG"/>
    <s v="Commercial"/>
    <s v="FTS-B"/>
    <s v="CF"/>
    <s v="CFG - Firm Transportation Service - B Non-Residential"/>
    <s v="GS-1"/>
    <x v="6"/>
    <s v="GS-1"/>
    <x v="6"/>
    <s v="&lt; = 1000"/>
    <s v="CFG-CFG - Firm Transportation Service - B Non-Residential-GS-1"/>
    <x v="6"/>
    <x v="2"/>
    <n v="116"/>
    <n v="15.5"/>
    <n v="40"/>
    <m/>
    <n v="0.7079399999999999"/>
    <n v="0.49286000000000002"/>
    <n v="0.70123999999999997"/>
    <m/>
    <m/>
    <n v="0.21507999999999991"/>
    <m/>
    <m/>
    <m/>
    <m/>
    <n v="186"/>
    <n v="57.171759999999999"/>
    <n v="24.949279999999991"/>
    <n v="0"/>
    <n v="0"/>
    <n v="0"/>
    <n v="268.12103999999999"/>
    <m/>
    <n v="480"/>
    <n v="81.34384"/>
    <m/>
    <n v="0"/>
    <n v="0"/>
    <n v="0"/>
    <n v="561.34384"/>
    <n v="293.22280000000001"/>
    <n v="1.0936210004257778"/>
    <m/>
    <n v="5"/>
    <n v="2.3551577955723034E-3"/>
    <m/>
    <n v="0.69"/>
    <n v="2.5999999999999999E-3"/>
    <m/>
    <m/>
  </r>
  <r>
    <s v="CFG"/>
    <s v="Residential"/>
    <s v="FTS-B"/>
    <s v="CF"/>
    <s v="CFG - Firm Transportation Service - B Residential"/>
    <s v="RES-2"/>
    <x v="0"/>
    <s v="RES-2"/>
    <x v="0"/>
    <s v="&gt; 100 &lt; = 250"/>
    <s v="CFG-CFG - Firm Transportation Service - B Residential-RES-2"/>
    <x v="0"/>
    <x v="2"/>
    <n v="150"/>
    <n v="15.5"/>
    <n v="19.5"/>
    <m/>
    <n v="0.7079399999999999"/>
    <n v="0.49286000000000002"/>
    <n v="0.65271999999999997"/>
    <m/>
    <m/>
    <n v="0.21507999999999991"/>
    <m/>
    <m/>
    <m/>
    <m/>
    <n v="186"/>
    <n v="73.929000000000002"/>
    <n v="32.261999999999986"/>
    <n v="0"/>
    <n v="0"/>
    <n v="0"/>
    <n v="292.19099999999997"/>
    <m/>
    <n v="234"/>
    <n v="97.908000000000001"/>
    <m/>
    <n v="0"/>
    <n v="0"/>
    <n v="0"/>
    <n v="331.90800000000002"/>
    <n v="39.717000000000041"/>
    <n v="0.13592821134121189"/>
    <m/>
    <n v="1243"/>
    <n v="3.3590055397919198E-2"/>
    <m/>
    <n v="1.33"/>
    <n v="4.5999999999999999E-3"/>
    <m/>
    <m/>
  </r>
  <r>
    <s v="CFG"/>
    <s v="Residential"/>
    <s v="FTS-B"/>
    <s v="CF"/>
    <s v="CFG - Firm Transportation Service - B Residential"/>
    <s v="RES-3"/>
    <x v="1"/>
    <s v="RES-3"/>
    <x v="1"/>
    <s v="n/a"/>
    <s v="CFG-CFG - Firm Transportation Service - B Residential-RES-3"/>
    <x v="1"/>
    <x v="2"/>
    <n v="340"/>
    <n v="15.5"/>
    <n v="26.5"/>
    <m/>
    <n v="0.7079399999999999"/>
    <n v="0.49286000000000002"/>
    <n v="0.65386"/>
    <m/>
    <m/>
    <n v="0.21507999999999991"/>
    <m/>
    <m/>
    <m/>
    <m/>
    <n v="186"/>
    <n v="167.57240000000002"/>
    <n v="73.127199999999974"/>
    <n v="0"/>
    <n v="0"/>
    <n v="0"/>
    <n v="426.69959999999998"/>
    <m/>
    <n v="318"/>
    <n v="222.3124"/>
    <m/>
    <n v="0"/>
    <n v="0"/>
    <n v="0"/>
    <n v="540.31240000000003"/>
    <n v="113.61280000000005"/>
    <n v="0.26625944809884999"/>
    <m/>
    <n v="113"/>
    <n v="5.8461379274665007E-3"/>
    <m/>
    <n v="0.66"/>
    <n v="1.6000000000000001E-3"/>
    <m/>
    <m/>
  </r>
  <r>
    <s v="CFG"/>
    <s v="Residential"/>
    <s v="FTS-B"/>
    <s v="CF"/>
    <s v="CFG - Firm Transportation Service - B Residential"/>
    <s v="RES-1"/>
    <x v="2"/>
    <s v="RES-1"/>
    <x v="2"/>
    <s v="&lt; = 100"/>
    <s v="CFG-CFG - Firm Transportation Service - B Residential-RES-1"/>
    <x v="2"/>
    <x v="2"/>
    <n v="68"/>
    <n v="15.5"/>
    <n v="16.5"/>
    <m/>
    <n v="0.7079399999999999"/>
    <n v="0.49286000000000002"/>
    <n v="0.65229000000000004"/>
    <m/>
    <m/>
    <n v="0.21507999999999991"/>
    <m/>
    <m/>
    <m/>
    <m/>
    <n v="186"/>
    <n v="33.514479999999999"/>
    <n v="14.625439999999994"/>
    <n v="0"/>
    <n v="0"/>
    <n v="0"/>
    <n v="234.13991999999999"/>
    <m/>
    <n v="198"/>
    <n v="44.355720000000005"/>
    <m/>
    <n v="0"/>
    <n v="0"/>
    <n v="0"/>
    <n v="242.35572000000002"/>
    <n v="8.21580000000003"/>
    <n v="3.508927482336216E-2"/>
    <m/>
    <n v="846"/>
    <n v="3.040431266846361E-2"/>
    <m/>
    <n v="0.25"/>
    <n v="1.1000000000000001E-3"/>
    <m/>
    <m/>
  </r>
  <r>
    <s v="CFG"/>
    <s v="Commercial"/>
    <s v="NVS"/>
    <s v="CF"/>
    <s v="CFG - Firm Transportation Service - NGV"/>
    <s v="COM - NGV"/>
    <x v="14"/>
    <s v="COM - NGV"/>
    <x v="15"/>
    <s v="n/a"/>
    <s v="CFG-CFG - Firm Transportation Service - NGV-COM - NGV"/>
    <x v="14"/>
    <x v="2"/>
    <n v="100131"/>
    <n v="100"/>
    <n v="250"/>
    <m/>
    <n v="0.22440000000000002"/>
    <n v="0.17111000000000001"/>
    <n v="0.49803999999999998"/>
    <m/>
    <m/>
    <n v="5.3290000000000004E-2"/>
    <m/>
    <m/>
    <m/>
    <m/>
    <n v="1200"/>
    <n v="17133.415410000001"/>
    <n v="5335.98099"/>
    <n v="0"/>
    <n v="0"/>
    <n v="0"/>
    <n v="23669.396400000001"/>
    <m/>
    <n v="3000"/>
    <n v="49869.243239999996"/>
    <m/>
    <n v="0"/>
    <n v="0"/>
    <n v="0"/>
    <n v="52869.243239999996"/>
    <n v="29199.846839999995"/>
    <n v="1.2336540546509245"/>
    <m/>
    <n v="1"/>
    <n v="0.33333333333333331"/>
    <m/>
    <n v="9733.2800000000007"/>
    <n v="0.41120000000000001"/>
    <m/>
    <m/>
  </r>
  <r>
    <m/>
    <m/>
    <m/>
    <m/>
    <m/>
    <m/>
    <x v="16"/>
    <m/>
    <x v="19"/>
    <m/>
    <m/>
    <x v="16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4386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1">
  <r>
    <x v="0"/>
    <x v="0"/>
    <s v="TS-1"/>
    <s v="FI"/>
    <x v="0"/>
    <s v="RES-2"/>
    <x v="0"/>
    <s v="RES-2"/>
    <x v="0"/>
    <x v="0"/>
    <s v="Indiantown-Indiantown - Transportation Service 1-RES-2"/>
    <x v="0"/>
    <s v="FI"/>
    <n v="144"/>
    <n v="9"/>
    <n v="12.5"/>
    <m/>
    <n v="0.37835000000000002"/>
    <n v="0.37835000000000002"/>
    <n v="0.37835000000000002"/>
    <m/>
    <m/>
    <n v="0"/>
    <m/>
    <m/>
    <m/>
    <m/>
    <n v="108"/>
    <n v="54.482400000000005"/>
    <n v="0"/>
    <n v="0"/>
    <n v="0"/>
    <n v="0"/>
    <n v="162.48240000000001"/>
    <m/>
    <n v="150"/>
    <n v="54.482400000000005"/>
    <m/>
    <n v="0"/>
    <n v="0"/>
    <n v="0"/>
    <n v="204.48240000000001"/>
    <n v="42"/>
    <n v="0.25848953486654552"/>
    <m/>
    <n v="378"/>
    <n v="1"/>
    <m/>
    <n v="42"/>
    <n v="0.25850000000000001"/>
    <m/>
    <m/>
  </r>
  <r>
    <x v="0"/>
    <x v="0"/>
    <s v="TS-1"/>
    <s v="FI"/>
    <x v="0"/>
    <s v="RES-3"/>
    <x v="1"/>
    <s v="RES-3"/>
    <x v="1"/>
    <x v="1"/>
    <s v="Indiantown-Indiantown - Transportation Service 1-RES-3"/>
    <x v="1"/>
    <s v="FI"/>
    <n v="306"/>
    <n v="9"/>
    <n v="16.5"/>
    <m/>
    <n v="0.37835000000000002"/>
    <n v="0.37835000000000002"/>
    <n v="0.25219999999999998"/>
    <m/>
    <m/>
    <n v="0"/>
    <m/>
    <m/>
    <m/>
    <m/>
    <n v="108"/>
    <n v="115.77510000000001"/>
    <n v="0"/>
    <n v="0"/>
    <n v="0"/>
    <n v="0"/>
    <n v="223.77510000000001"/>
    <m/>
    <n v="198"/>
    <n v="77.173199999999994"/>
    <m/>
    <n v="0"/>
    <n v="0"/>
    <n v="0"/>
    <n v="275.17320000000001"/>
    <n v="51.398099999999999"/>
    <n v="0.22968641283145444"/>
    <m/>
    <n v="119"/>
    <n v="1"/>
    <m/>
    <n v="51.4"/>
    <n v="0.22969999999999999"/>
    <m/>
    <m/>
  </r>
  <r>
    <x v="0"/>
    <x v="0"/>
    <s v="TS-1"/>
    <s v="FI"/>
    <x v="0"/>
    <s v="RES-1"/>
    <x v="2"/>
    <s v="RES-1"/>
    <x v="2"/>
    <x v="2"/>
    <s v="Indiantown-Indiantown - Transportation Service 1-RES-1"/>
    <x v="2"/>
    <s v="FI"/>
    <n v="53"/>
    <n v="9"/>
    <n v="11.5"/>
    <m/>
    <n v="0.37835000000000002"/>
    <n v="0.37835000000000002"/>
    <n v="0.37835000000000002"/>
    <m/>
    <m/>
    <n v="0"/>
    <m/>
    <m/>
    <m/>
    <m/>
    <n v="108"/>
    <n v="20.05255"/>
    <n v="0"/>
    <n v="0"/>
    <n v="0"/>
    <n v="0"/>
    <n v="128.05255"/>
    <m/>
    <n v="138"/>
    <n v="20.05255"/>
    <m/>
    <n v="0"/>
    <n v="0"/>
    <n v="0"/>
    <n v="158.05255"/>
    <n v="30"/>
    <n v="0.23427881756357058"/>
    <m/>
    <n v="181"/>
    <n v="1"/>
    <m/>
    <n v="30"/>
    <n v="0.23430000000000001"/>
    <m/>
    <m/>
  </r>
  <r>
    <x v="0"/>
    <x v="1"/>
    <s v="TS-2"/>
    <s v="FI"/>
    <x v="1"/>
    <s v="GS-2"/>
    <x v="3"/>
    <s v="GS-2"/>
    <x v="3"/>
    <x v="3"/>
    <s v="Indiantown-Indiantown - Transportation Service 2-GS-2"/>
    <x v="3"/>
    <s v="FI"/>
    <n v="2445"/>
    <n v="25"/>
    <n v="35"/>
    <m/>
    <n v="5.7619999999999998E-2"/>
    <n v="5.7619999999999998E-2"/>
    <n v="5.7619999999999998E-2"/>
    <m/>
    <m/>
    <n v="0"/>
    <m/>
    <m/>
    <m/>
    <m/>
    <n v="300"/>
    <n v="140.8809"/>
    <n v="0"/>
    <n v="0"/>
    <n v="0"/>
    <n v="0"/>
    <n v="440.8809"/>
    <m/>
    <n v="420"/>
    <n v="140.8809"/>
    <m/>
    <n v="0"/>
    <n v="0"/>
    <n v="0"/>
    <n v="560.8809"/>
    <n v="120"/>
    <n v="0.27218235128806895"/>
    <m/>
    <n v="6"/>
    <n v="1"/>
    <m/>
    <n v="120"/>
    <n v="0.2722"/>
    <m/>
    <m/>
  </r>
  <r>
    <x v="0"/>
    <x v="1"/>
    <s v="TS-2"/>
    <s v="FI"/>
    <x v="1"/>
    <s v="GS-3"/>
    <x v="4"/>
    <s v="GS-3"/>
    <x v="4"/>
    <x v="4"/>
    <s v="Indiantown-Indiantown - Transportation Service 2-GS-3"/>
    <x v="4"/>
    <s v="FI"/>
    <n v="7470"/>
    <n v="25"/>
    <n v="45"/>
    <m/>
    <n v="5.7619999999999998E-2"/>
    <n v="5.7619999999999998E-2"/>
    <n v="5.7619999999999998E-2"/>
    <m/>
    <m/>
    <n v="0"/>
    <m/>
    <m/>
    <m/>
    <m/>
    <n v="300"/>
    <n v="430.42140000000001"/>
    <n v="0"/>
    <n v="0"/>
    <n v="0"/>
    <n v="0"/>
    <n v="730.42139999999995"/>
    <m/>
    <n v="540"/>
    <n v="430.42140000000001"/>
    <m/>
    <n v="0"/>
    <n v="0"/>
    <n v="0"/>
    <n v="970.42139999999995"/>
    <n v="240"/>
    <n v="0.32857744857968291"/>
    <m/>
    <n v="5"/>
    <n v="0.83333333333333337"/>
    <m/>
    <n v="200"/>
    <n v="0.27379999999999999"/>
    <m/>
    <m/>
  </r>
  <r>
    <x v="0"/>
    <x v="1"/>
    <s v="TS-2"/>
    <s v="FI"/>
    <x v="1"/>
    <s v="GS-4"/>
    <x v="5"/>
    <s v="GS-4"/>
    <x v="5"/>
    <x v="5"/>
    <s v="Indiantown-Indiantown - Transportation Service 2-GS-4"/>
    <x v="5"/>
    <s v="FI"/>
    <n v="12486"/>
    <n v="25"/>
    <n v="55"/>
    <m/>
    <n v="5.7619999999999998E-2"/>
    <n v="5.7619999999999998E-2"/>
    <n v="4.9619999999999997E-2"/>
    <m/>
    <m/>
    <n v="0"/>
    <m/>
    <m/>
    <m/>
    <m/>
    <n v="300"/>
    <n v="719.44331999999997"/>
    <n v="0"/>
    <n v="0"/>
    <n v="0"/>
    <n v="0"/>
    <n v="1019.44332"/>
    <m/>
    <n v="660"/>
    <n v="619.55531999999994"/>
    <m/>
    <n v="0"/>
    <n v="0"/>
    <n v="0"/>
    <n v="1279.5553199999999"/>
    <n v="260.11199999999997"/>
    <n v="0.25515101712569954"/>
    <m/>
    <n v="2"/>
    <n v="1"/>
    <m/>
    <n v="260.11"/>
    <n v="0.25519999999999998"/>
    <m/>
    <m/>
  </r>
  <r>
    <x v="0"/>
    <x v="1"/>
    <s v="TS-2"/>
    <s v="FI"/>
    <x v="1"/>
    <s v="GS-1"/>
    <x v="6"/>
    <s v="GS-1"/>
    <x v="6"/>
    <x v="6"/>
    <s v="Indiantown-Indiantown - Transportation Service 2-GS-1"/>
    <x v="6"/>
    <s v="FI"/>
    <n v="441"/>
    <n v="25"/>
    <n v="25"/>
    <m/>
    <n v="5.7619999999999998E-2"/>
    <n v="5.7619999999999998E-2"/>
    <n v="5.7619999999999998E-2"/>
    <m/>
    <m/>
    <n v="0"/>
    <m/>
    <m/>
    <m/>
    <m/>
    <n v="300"/>
    <n v="25.410419999999998"/>
    <n v="0"/>
    <n v="0"/>
    <n v="0"/>
    <n v="0"/>
    <n v="325.41041999999999"/>
    <m/>
    <n v="300"/>
    <n v="25.410419999999998"/>
    <m/>
    <n v="0"/>
    <n v="0"/>
    <n v="0"/>
    <n v="325.41041999999999"/>
    <n v="0"/>
    <n v="0"/>
    <m/>
    <n v="9"/>
    <n v="1"/>
    <m/>
    <n v="0"/>
    <n v="0"/>
    <m/>
    <m/>
  </r>
  <r>
    <x v="0"/>
    <x v="1"/>
    <s v="TS-3"/>
    <s v="FI"/>
    <x v="2"/>
    <s v="GS-3"/>
    <x v="4"/>
    <s v="GS-3"/>
    <x v="4"/>
    <x v="4"/>
    <s v="Indiantown-Indiantown - Transportation Service 3-GS-3"/>
    <x v="4"/>
    <s v="FI"/>
    <n v="7986"/>
    <n v="60"/>
    <n v="45"/>
    <m/>
    <n v="4.7849999999999997E-2"/>
    <n v="4.7849999999999997E-2"/>
    <n v="5.7619999999999998E-2"/>
    <m/>
    <m/>
    <n v="0"/>
    <m/>
    <m/>
    <m/>
    <m/>
    <n v="720"/>
    <n v="382.13009999999997"/>
    <n v="0"/>
    <n v="0"/>
    <n v="0"/>
    <n v="0"/>
    <n v="1102.1300999999999"/>
    <m/>
    <n v="540"/>
    <n v="460.15332000000001"/>
    <m/>
    <n v="0"/>
    <n v="0"/>
    <n v="0"/>
    <n v="1000.15332"/>
    <n v="-101.97677999999985"/>
    <n v="-9.2526989327303424E-2"/>
    <m/>
    <n v="1"/>
    <n v="0.16666666666666666"/>
    <m/>
    <n v="-17"/>
    <n v="-1.54E-2"/>
    <m/>
    <m/>
  </r>
  <r>
    <x v="1"/>
    <x v="1"/>
    <s v="GS-1"/>
    <s v="FT"/>
    <x v="3"/>
    <s v="GS-2"/>
    <x v="3"/>
    <s v="GS-2"/>
    <x v="3"/>
    <x v="3"/>
    <s v="Ft. Meade -Ft. Meade - General Service-1-GS-2"/>
    <x v="3"/>
    <s v="FT"/>
    <n v="2601"/>
    <n v="17.5"/>
    <n v="50"/>
    <m/>
    <n v="0.57156000000000007"/>
    <n v="0.55700000000000005"/>
    <n v="0.55700000000000005"/>
    <m/>
    <m/>
    <n v="1.4560000000000002E-2"/>
    <m/>
    <m/>
    <m/>
    <m/>
    <n v="210"/>
    <n v="1448.7570000000001"/>
    <n v="37.870560000000005"/>
    <n v="0"/>
    <n v="0"/>
    <n v="0"/>
    <n v="1696.6275600000001"/>
    <m/>
    <n v="600"/>
    <n v="1448.7570000000001"/>
    <m/>
    <n v="0"/>
    <n v="0"/>
    <n v="0"/>
    <n v="2048.7570000000001"/>
    <n v="352.12943999999993"/>
    <n v="0.20754669339451254"/>
    <m/>
    <n v="6"/>
    <n v="0.54545454545454541"/>
    <m/>
    <n v="192.07"/>
    <n v="0.1132"/>
    <m/>
    <m/>
  </r>
  <r>
    <x v="1"/>
    <x v="1"/>
    <s v="GS-1"/>
    <s v="FT"/>
    <x v="3"/>
    <s v="GS-4"/>
    <x v="5"/>
    <s v="GS-4"/>
    <x v="5"/>
    <x v="5"/>
    <s v="Ft. Meade -Ft. Meade - General Service-1-GS-4"/>
    <x v="5"/>
    <s v="FT"/>
    <n v="22741"/>
    <n v="17.5"/>
    <n v="225"/>
    <m/>
    <n v="0.57156000000000007"/>
    <n v="0.55700000000000005"/>
    <n v="0.31365999999999999"/>
    <m/>
    <m/>
    <n v="1.4560000000000002E-2"/>
    <m/>
    <m/>
    <m/>
    <m/>
    <n v="210"/>
    <n v="12666.737000000001"/>
    <n v="331.10896000000002"/>
    <n v="0"/>
    <n v="0"/>
    <n v="0"/>
    <n v="13207.845960000001"/>
    <m/>
    <n v="2700"/>
    <n v="7132.9420600000003"/>
    <m/>
    <n v="0"/>
    <n v="0"/>
    <n v="0"/>
    <n v="9832.9420600000012"/>
    <n v="-3374.9038999999993"/>
    <n v="-0.25552265753408282"/>
    <m/>
    <n v="1"/>
    <n v="0.25"/>
    <m/>
    <n v="-843.73"/>
    <n v="-6.3899999999999998E-2"/>
    <m/>
    <m/>
  </r>
  <r>
    <x v="1"/>
    <x v="1"/>
    <s v="GS-1"/>
    <s v="FT"/>
    <x v="3"/>
    <s v="GS-1"/>
    <x v="6"/>
    <s v="GS-1"/>
    <x v="6"/>
    <x v="6"/>
    <s v="Ft. Meade -Ft. Meade - General Service-1-GS-1"/>
    <x v="6"/>
    <s v="FT"/>
    <n v="209"/>
    <n v="17.5"/>
    <n v="25"/>
    <m/>
    <n v="0.57156000000000007"/>
    <n v="0.55700000000000005"/>
    <n v="0.55700000000000005"/>
    <m/>
    <m/>
    <n v="1.4560000000000002E-2"/>
    <m/>
    <m/>
    <m/>
    <m/>
    <n v="210"/>
    <n v="116.41300000000001"/>
    <n v="3.0430400000000004"/>
    <n v="0"/>
    <n v="0"/>
    <n v="0"/>
    <n v="329.45604000000003"/>
    <m/>
    <n v="300"/>
    <n v="116.41300000000001"/>
    <m/>
    <n v="0"/>
    <n v="0"/>
    <n v="0"/>
    <n v="416.41300000000001"/>
    <n v="86.956959999999981"/>
    <n v="0.2639410101572276"/>
    <m/>
    <n v="15"/>
    <n v="0.9375"/>
    <m/>
    <n v="81.52"/>
    <n v="0.24740000000000001"/>
    <m/>
    <m/>
  </r>
  <r>
    <x v="1"/>
    <x v="1"/>
    <s v="GSTS1"/>
    <s v="FT"/>
    <x v="4"/>
    <s v="GS-2"/>
    <x v="3"/>
    <s v="GS-2"/>
    <x v="3"/>
    <x v="3"/>
    <s v="Ft. Meade -Ft. Meade - General Transportation Service-1-GS-2"/>
    <x v="3"/>
    <s v="FT"/>
    <n v="2343"/>
    <n v="17.5"/>
    <n v="50"/>
    <m/>
    <n v="0.57156000000000007"/>
    <n v="0.55700000000000005"/>
    <n v="0.55700000000000005"/>
    <m/>
    <m/>
    <n v="1.4560000000000003E-2"/>
    <m/>
    <m/>
    <m/>
    <m/>
    <n v="210"/>
    <n v="1305.0510000000002"/>
    <n v="34.114080000000008"/>
    <n v="0"/>
    <n v="0"/>
    <n v="0"/>
    <n v="1549.1650800000002"/>
    <m/>
    <n v="600"/>
    <n v="1305.0510000000002"/>
    <m/>
    <n v="0"/>
    <n v="0"/>
    <n v="0"/>
    <n v="1905.0510000000002"/>
    <n v="355.88591999999994"/>
    <n v="0.22972756395980723"/>
    <m/>
    <n v="5"/>
    <n v="0.45454545454545453"/>
    <m/>
    <n v="161.77000000000001"/>
    <n v="0.10440000000000001"/>
    <m/>
    <m/>
  </r>
  <r>
    <x v="1"/>
    <x v="1"/>
    <s v="GSTS1"/>
    <s v="FT"/>
    <x v="4"/>
    <s v="GS-3"/>
    <x v="4"/>
    <s v="GS-3"/>
    <x v="4"/>
    <x v="4"/>
    <s v="Ft. Meade -Ft. Meade - General Transportation Service-1-GS-3"/>
    <x v="4"/>
    <s v="FT"/>
    <n v="6824"/>
    <n v="17.5"/>
    <n v="100"/>
    <m/>
    <n v="0.57156000000000007"/>
    <n v="0.55700000000000005"/>
    <n v="0.55700000000000005"/>
    <m/>
    <m/>
    <n v="1.4560000000000003E-2"/>
    <m/>
    <m/>
    <m/>
    <m/>
    <n v="210"/>
    <n v="3800.9680000000003"/>
    <n v="99.357440000000025"/>
    <n v="0"/>
    <n v="0"/>
    <n v="0"/>
    <n v="4110.3254400000005"/>
    <m/>
    <n v="1200"/>
    <n v="3800.9680000000003"/>
    <m/>
    <n v="0"/>
    <n v="0"/>
    <n v="0"/>
    <n v="5000.9680000000008"/>
    <n v="890.64256000000023"/>
    <n v="0.21668419520572077"/>
    <m/>
    <n v="3"/>
    <n v="1"/>
    <m/>
    <n v="890.64"/>
    <n v="0.2167"/>
    <m/>
    <m/>
  </r>
  <r>
    <x v="1"/>
    <x v="1"/>
    <s v="GSTS1"/>
    <s v="FT"/>
    <x v="4"/>
    <s v="GS-1"/>
    <x v="6"/>
    <s v="GS-1"/>
    <x v="6"/>
    <x v="6"/>
    <s v="Ft. Meade -Ft. Meade - General Transportation Service-1-GS-1"/>
    <x v="6"/>
    <s v="FT"/>
    <n v="100"/>
    <n v="17.5"/>
    <n v="25"/>
    <m/>
    <n v="0.57156000000000007"/>
    <n v="0.55700000000000005"/>
    <n v="0.55700000000000005"/>
    <m/>
    <m/>
    <n v="1.4560000000000003E-2"/>
    <m/>
    <m/>
    <m/>
    <m/>
    <n v="210"/>
    <n v="55.7"/>
    <n v="1.4560000000000004"/>
    <n v="0"/>
    <n v="0"/>
    <n v="0"/>
    <n v="267.15600000000001"/>
    <m/>
    <n v="300"/>
    <n v="55.7"/>
    <m/>
    <n v="0"/>
    <n v="0"/>
    <n v="0"/>
    <n v="355.7"/>
    <n v="88.543999999999983"/>
    <n v="0.33143182260551879"/>
    <m/>
    <n v="1"/>
    <n v="6.25E-2"/>
    <m/>
    <n v="5.53"/>
    <n v="2.07E-2"/>
    <m/>
    <m/>
  </r>
  <r>
    <x v="1"/>
    <x v="1"/>
    <s v="LVS"/>
    <s v="FT"/>
    <x v="5"/>
    <s v="GS-4"/>
    <x v="5"/>
    <s v="GS-4"/>
    <x v="5"/>
    <x v="5"/>
    <s v="Ft. Meade -Ft. Meade - Large Volume Service-GS-4"/>
    <x v="5"/>
    <s v="FT"/>
    <n v="13663"/>
    <n v="175"/>
    <n v="225"/>
    <m/>
    <n v="0.218"/>
    <n v="0.218"/>
    <n v="0.31365999999999999"/>
    <m/>
    <m/>
    <n v="0"/>
    <m/>
    <m/>
    <m/>
    <m/>
    <n v="2100"/>
    <n v="2978.5340000000001"/>
    <n v="0"/>
    <n v="0"/>
    <n v="0"/>
    <n v="0"/>
    <n v="5078.5339999999997"/>
    <m/>
    <n v="2700"/>
    <n v="4285.53658"/>
    <m/>
    <n v="0"/>
    <n v="0"/>
    <n v="0"/>
    <n v="6985.53658"/>
    <n v="1907.0025800000003"/>
    <n v="0.37550257219898509"/>
    <m/>
    <n v="2"/>
    <n v="0.5"/>
    <m/>
    <n v="953.5"/>
    <n v="0.18779999999999999"/>
    <m/>
    <m/>
  </r>
  <r>
    <x v="1"/>
    <x v="1"/>
    <s v="LVTS"/>
    <s v="FT"/>
    <x v="6"/>
    <s v="GS-4"/>
    <x v="5"/>
    <s v="GS-4"/>
    <x v="5"/>
    <x v="5"/>
    <s v="Ft. Meade -Ft. Meade - Large Volume Transportation Service-GS-4"/>
    <x v="5"/>
    <s v="FT"/>
    <n v="22010"/>
    <n v="175"/>
    <n v="225"/>
    <m/>
    <n v="0.218"/>
    <n v="0.218"/>
    <n v="0.31365999999999999"/>
    <m/>
    <m/>
    <n v="0"/>
    <m/>
    <m/>
    <m/>
    <m/>
    <n v="2100"/>
    <n v="4798.18"/>
    <n v="0"/>
    <n v="0"/>
    <n v="0"/>
    <n v="0"/>
    <n v="6898.18"/>
    <m/>
    <n v="2700"/>
    <n v="6903.6566000000003"/>
    <m/>
    <n v="0"/>
    <n v="0"/>
    <n v="0"/>
    <n v="9603.6566000000003"/>
    <n v="2705.4766"/>
    <n v="0.39220150822390831"/>
    <m/>
    <n v="1"/>
    <n v="0.25"/>
    <m/>
    <n v="676.37"/>
    <n v="9.8100000000000007E-2"/>
    <m/>
    <m/>
  </r>
  <r>
    <x v="1"/>
    <x v="1"/>
    <s v="LVTS"/>
    <s v="FT"/>
    <x v="6"/>
    <s v="GS-5"/>
    <x v="7"/>
    <s v="GS-5"/>
    <x v="7"/>
    <x v="7"/>
    <s v="Ft. Meade -Ft. Meade - Large Volume Transportation Service-GS-5"/>
    <x v="7"/>
    <s v="FT"/>
    <n v="119829"/>
    <n v="175"/>
    <n v="300"/>
    <m/>
    <n v="0.218"/>
    <n v="0.218"/>
    <n v="0.26922000000000001"/>
    <m/>
    <m/>
    <n v="0"/>
    <m/>
    <m/>
    <m/>
    <m/>
    <n v="2100"/>
    <n v="26122.722000000002"/>
    <n v="0"/>
    <n v="0"/>
    <n v="0"/>
    <n v="0"/>
    <n v="28222.722000000002"/>
    <m/>
    <n v="3600"/>
    <n v="32260.363380000003"/>
    <m/>
    <n v="0"/>
    <n v="0"/>
    <n v="0"/>
    <n v="35860.363380000003"/>
    <n v="7637.6413800000009"/>
    <n v="0.27062029594452303"/>
    <m/>
    <n v="1"/>
    <n v="1"/>
    <m/>
    <n v="7637.64"/>
    <n v="0.27060000000000001"/>
    <m/>
    <m/>
  </r>
  <r>
    <x v="1"/>
    <x v="0"/>
    <s v="RS"/>
    <s v="FT"/>
    <x v="7"/>
    <s v="RES-2"/>
    <x v="0"/>
    <s v="RES-2"/>
    <x v="0"/>
    <x v="0"/>
    <s v="Ft. Meade -Ft. Meade - Residential Service-RES-2"/>
    <x v="0"/>
    <s v="FT"/>
    <n v="147"/>
    <n v="8.5"/>
    <n v="12.5"/>
    <m/>
    <n v="0.70945000000000014"/>
    <n v="0.55700000000000005"/>
    <n v="0.58026"/>
    <m/>
    <m/>
    <n v="0.15245000000000003"/>
    <m/>
    <m/>
    <m/>
    <m/>
    <n v="102"/>
    <n v="81.879000000000005"/>
    <n v="22.410150000000005"/>
    <n v="0"/>
    <n v="0"/>
    <n v="0"/>
    <n v="206.28915000000003"/>
    <m/>
    <n v="150"/>
    <n v="85.298220000000001"/>
    <m/>
    <n v="0"/>
    <n v="0"/>
    <n v="0"/>
    <n v="235.29822000000001"/>
    <n v="29.00906999999998"/>
    <n v="0.14062334349625258"/>
    <m/>
    <n v="205"/>
    <n v="1"/>
    <m/>
    <n v="29.01"/>
    <n v="0.1406"/>
    <m/>
    <m/>
  </r>
  <r>
    <x v="1"/>
    <x v="0"/>
    <s v="RS"/>
    <s v="FT"/>
    <x v="7"/>
    <s v="RES-3"/>
    <x v="1"/>
    <s v="RES-3"/>
    <x v="1"/>
    <x v="1"/>
    <s v="Ft. Meade -Ft. Meade - Residential Service-RES-3"/>
    <x v="1"/>
    <s v="FT"/>
    <n v="373"/>
    <n v="8.5"/>
    <n v="16.5"/>
    <m/>
    <n v="0.70945000000000014"/>
    <n v="0.55700000000000005"/>
    <n v="0.58026"/>
    <m/>
    <m/>
    <n v="0.15245000000000003"/>
    <m/>
    <m/>
    <m/>
    <m/>
    <n v="102"/>
    <n v="207.76100000000002"/>
    <n v="56.863850000000014"/>
    <n v="0"/>
    <n v="0"/>
    <n v="0"/>
    <n v="366.62485000000004"/>
    <m/>
    <n v="198"/>
    <n v="216.43698000000001"/>
    <m/>
    <n v="0"/>
    <n v="0"/>
    <n v="0"/>
    <n v="414.43698000000001"/>
    <n v="47.812129999999968"/>
    <n v="0.1304115910309952"/>
    <m/>
    <n v="42"/>
    <n v="1"/>
    <m/>
    <n v="47.81"/>
    <n v="0.13039999999999999"/>
    <m/>
    <m/>
  </r>
  <r>
    <x v="1"/>
    <x v="0"/>
    <s v="RS"/>
    <s v="FT"/>
    <x v="7"/>
    <s v="RES-1"/>
    <x v="2"/>
    <s v="RES-1"/>
    <x v="2"/>
    <x v="2"/>
    <s v="Ft. Meade -Ft. Meade - Residential Service-RES-1"/>
    <x v="2"/>
    <s v="FT"/>
    <n v="45"/>
    <n v="8.5"/>
    <n v="11.5"/>
    <m/>
    <n v="0.70945000000000014"/>
    <n v="0.55700000000000005"/>
    <n v="0.58026"/>
    <m/>
    <m/>
    <n v="0.15245000000000003"/>
    <m/>
    <m/>
    <m/>
    <m/>
    <n v="102"/>
    <n v="25.065000000000001"/>
    <n v="6.8602500000000015"/>
    <n v="0"/>
    <n v="0"/>
    <n v="0"/>
    <n v="133.92525000000001"/>
    <m/>
    <n v="138"/>
    <n v="26.111699999999999"/>
    <m/>
    <n v="0"/>
    <n v="0"/>
    <n v="0"/>
    <n v="164.11169999999998"/>
    <n v="30.186449999999979"/>
    <n v="0.22539774986419647"/>
    <m/>
    <n v="249"/>
    <n v="1"/>
    <m/>
    <n v="30.19"/>
    <n v="0.22539999999999999"/>
    <m/>
    <m/>
  </r>
  <r>
    <x v="2"/>
    <x v="1"/>
    <s v="CS-GS"/>
    <s v="FN"/>
    <x v="8"/>
    <s v="COM-SG"/>
    <x v="8"/>
    <s v="COM-SG"/>
    <x v="8"/>
    <x v="1"/>
    <s v="FPUC-FPUC - Commercial Standby Generator Service-COM-SG"/>
    <x v="8"/>
    <s v="CF &amp; FN"/>
    <n v="207"/>
    <n v="35.81"/>
    <n v="65"/>
    <m/>
    <n v="0.62102000000000002"/>
    <n v="0.39135999999999999"/>
    <n v="0.18104999999999999"/>
    <m/>
    <m/>
    <n v="0.22966000000000003"/>
    <m/>
    <m/>
    <m/>
    <m/>
    <n v="429.72"/>
    <n v="81.01151999999999"/>
    <n v="47.539620000000006"/>
    <n v="0"/>
    <n v="0"/>
    <n v="0"/>
    <n v="558.27114000000006"/>
    <m/>
    <n v="780"/>
    <n v="37.477349999999994"/>
    <m/>
    <n v="0"/>
    <n v="0"/>
    <n v="0"/>
    <n v="817.47735"/>
    <n v="259.20620999999994"/>
    <n v="0.46430164740380436"/>
    <m/>
    <n v="303"/>
    <n v="1"/>
    <m/>
    <n v="259.20999999999998"/>
    <n v="0.46429999999999999"/>
    <m/>
    <m/>
  </r>
  <r>
    <x v="2"/>
    <x v="1"/>
    <s v="GLS"/>
    <s v="FN"/>
    <x v="9"/>
    <s v="COM - OL"/>
    <x v="9"/>
    <s v="COM - OL"/>
    <x v="9"/>
    <x v="1"/>
    <s v="FPUC-FPUC - Gas Lighting Service-COM - OL"/>
    <x v="9"/>
    <s v="CF &amp; FN"/>
    <n v="3439"/>
    <n v="0"/>
    <n v="0"/>
    <m/>
    <n v="1.3826100000000003"/>
    <n v="0.24210000000000001"/>
    <n v="0.66344000000000003"/>
    <m/>
    <m/>
    <n v="1.1405100000000004"/>
    <m/>
    <m/>
    <m/>
    <m/>
    <n v="0"/>
    <n v="832.58190000000002"/>
    <n v="3922.2138900000014"/>
    <n v="0"/>
    <n v="0"/>
    <n v="0"/>
    <n v="4754.795790000001"/>
    <m/>
    <n v="0"/>
    <n v="2281.5701600000002"/>
    <m/>
    <n v="0"/>
    <n v="0"/>
    <n v="0"/>
    <n v="2281.5701600000002"/>
    <n v="-2473.2256300000008"/>
    <n v="-0.52015391180448578"/>
    <m/>
    <n v="29"/>
    <n v="1"/>
    <m/>
    <n v="-2473.23"/>
    <n v="-0.5202"/>
    <m/>
    <m/>
  </r>
  <r>
    <x v="2"/>
    <x v="1"/>
    <s v="GS-1"/>
    <s v="FN"/>
    <x v="10"/>
    <s v="GS-2"/>
    <x v="3"/>
    <s v="GS-2"/>
    <x v="3"/>
    <x v="3"/>
    <s v="FPUC-FPUC - General Service-1-GS-2"/>
    <x v="3"/>
    <s v="CF &amp; FN"/>
    <n v="2353"/>
    <n v="20"/>
    <n v="70"/>
    <m/>
    <n v="0.62102000000000002"/>
    <n v="0.39135999999999999"/>
    <n v="0.69901999999999997"/>
    <m/>
    <m/>
    <n v="0.22966"/>
    <m/>
    <m/>
    <m/>
    <m/>
    <n v="240"/>
    <n v="920.87007999999992"/>
    <n v="540.38998000000004"/>
    <n v="0"/>
    <n v="0"/>
    <n v="0"/>
    <n v="1701.2600600000001"/>
    <m/>
    <n v="840"/>
    <n v="1644.7940599999999"/>
    <m/>
    <n v="0"/>
    <n v="0"/>
    <n v="0"/>
    <n v="2484.7940600000002"/>
    <n v="783.53400000000011"/>
    <n v="0.46056097972464016"/>
    <m/>
    <n v="127"/>
    <n v="5.1333872271624899E-2"/>
    <m/>
    <n v="40.22"/>
    <n v="2.3599999999999999E-2"/>
    <m/>
    <m/>
  </r>
  <r>
    <x v="2"/>
    <x v="1"/>
    <s v="GS-1"/>
    <s v="FN"/>
    <x v="10"/>
    <s v="GS-3"/>
    <x v="4"/>
    <s v="GS-3"/>
    <x v="4"/>
    <x v="4"/>
    <s v="FPUC-FPUC - General Service-1-GS-3"/>
    <x v="4"/>
    <s v="CF &amp; FN"/>
    <n v="7116"/>
    <n v="20"/>
    <n v="150"/>
    <m/>
    <n v="0.62102000000000002"/>
    <n v="0.39135999999999999"/>
    <n v="0.62475000000000003"/>
    <m/>
    <m/>
    <n v="0.22966"/>
    <m/>
    <m/>
    <m/>
    <m/>
    <n v="240"/>
    <n v="2784.9177599999998"/>
    <n v="1634.2605599999999"/>
    <n v="0"/>
    <n v="0"/>
    <n v="0"/>
    <n v="4659.17832"/>
    <m/>
    <n v="1800"/>
    <n v="4445.7210000000005"/>
    <m/>
    <n v="0"/>
    <n v="0"/>
    <n v="0"/>
    <n v="6245.7210000000005"/>
    <n v="1586.5426800000005"/>
    <n v="0.34051984513870259"/>
    <m/>
    <n v="27"/>
    <n v="1.6864459712679577E-2"/>
    <m/>
    <n v="26.76"/>
    <n v="5.7000000000000002E-3"/>
    <m/>
    <m/>
  </r>
  <r>
    <x v="2"/>
    <x v="1"/>
    <s v="GS-1"/>
    <s v="FN"/>
    <x v="10"/>
    <s v="GS-4"/>
    <x v="5"/>
    <s v="GS-4"/>
    <x v="5"/>
    <x v="5"/>
    <s v="FPUC-FPUC - General Service-1-GS-4"/>
    <x v="5"/>
    <s v="CF &amp; FN"/>
    <n v="17413"/>
    <n v="20"/>
    <n v="275"/>
    <m/>
    <n v="0.62102000000000002"/>
    <n v="0.39135999999999999"/>
    <n v="0.59182999999999997"/>
    <m/>
    <m/>
    <n v="0.22966"/>
    <m/>
    <m/>
    <m/>
    <m/>
    <n v="240"/>
    <n v="6814.7516799999994"/>
    <n v="3999.0695799999999"/>
    <n v="0"/>
    <n v="0"/>
    <n v="0"/>
    <n v="11053.821259999999"/>
    <m/>
    <n v="3300"/>
    <n v="10305.53579"/>
    <m/>
    <n v="0"/>
    <n v="0"/>
    <n v="0"/>
    <n v="13605.53579"/>
    <n v="2551.7145300000011"/>
    <n v="0.23084456225412148"/>
    <m/>
    <n v="13"/>
    <n v="9.3189964157706102E-3"/>
    <m/>
    <n v="23.78"/>
    <n v="2.2000000000000001E-3"/>
    <m/>
    <m/>
  </r>
  <r>
    <x v="2"/>
    <x v="1"/>
    <s v="GS-1"/>
    <s v="FN"/>
    <x v="10"/>
    <s v="GS-5"/>
    <x v="7"/>
    <s v="GS-5"/>
    <x v="7"/>
    <x v="7"/>
    <s v="FPUC-FPUC - General Service-1-GS-5"/>
    <x v="7"/>
    <s v="CF &amp; FN"/>
    <n v="128788"/>
    <n v="20"/>
    <n v="750"/>
    <m/>
    <n v="0.62102000000000002"/>
    <n v="0.39135999999999999"/>
    <n v="0.52"/>
    <m/>
    <m/>
    <n v="0.22966"/>
    <m/>
    <m/>
    <m/>
    <m/>
    <n v="240"/>
    <n v="50402.471679999995"/>
    <n v="29577.452079999999"/>
    <n v="0"/>
    <n v="0"/>
    <n v="0"/>
    <n v="80219.923759999991"/>
    <m/>
    <n v="9000"/>
    <n v="66969.760000000009"/>
    <m/>
    <n v="0"/>
    <n v="0"/>
    <n v="0"/>
    <n v="75969.760000000009"/>
    <n v="-4250.1637599999813"/>
    <n v="-5.2981398644998935E-2"/>
    <m/>
    <n v="1"/>
    <n v="8.8495575221238937E-3"/>
    <m/>
    <n v="-37.61"/>
    <n v="-5.0000000000000001E-4"/>
    <m/>
    <m/>
  </r>
  <r>
    <x v="2"/>
    <x v="1"/>
    <s v="GS-1"/>
    <s v="FN"/>
    <x v="10"/>
    <s v="GS-1"/>
    <x v="6"/>
    <s v="GS-1"/>
    <x v="6"/>
    <x v="6"/>
    <s v="FPUC-FPUC - General Service-1-GS-1"/>
    <x v="6"/>
    <s v="CF &amp; FN"/>
    <n v="227"/>
    <n v="20"/>
    <n v="40"/>
    <m/>
    <n v="0.62102000000000002"/>
    <n v="0.39135999999999999"/>
    <n v="0.70123999999999997"/>
    <m/>
    <m/>
    <n v="0.22966"/>
    <m/>
    <m/>
    <m/>
    <m/>
    <n v="240"/>
    <n v="88.838719999999995"/>
    <n v="52.132820000000002"/>
    <n v="0"/>
    <n v="0"/>
    <n v="0"/>
    <n v="380.97153999999995"/>
    <m/>
    <n v="480"/>
    <n v="159.18147999999999"/>
    <m/>
    <n v="0"/>
    <n v="0"/>
    <n v="0"/>
    <n v="639.18147999999997"/>
    <n v="258.20994000000002"/>
    <n v="0.67776700590285577"/>
    <m/>
    <n v="653"/>
    <n v="0.30758360810174279"/>
    <m/>
    <n v="79.42"/>
    <n v="0.20849999999999999"/>
    <m/>
    <m/>
  </r>
  <r>
    <x v="2"/>
    <x v="1"/>
    <s v="GS-2"/>
    <s v="FN"/>
    <x v="11"/>
    <s v="GS-2"/>
    <x v="3"/>
    <s v="GS-2"/>
    <x v="3"/>
    <x v="3"/>
    <s v="FPUC-FPUC - General Service - 2-GS-2"/>
    <x v="3"/>
    <s v="CF &amp; FN"/>
    <n v="2583"/>
    <n v="33"/>
    <n v="70"/>
    <m/>
    <n v="0.62101999999999991"/>
    <n v="0.39135999999999999"/>
    <n v="0.69901999999999997"/>
    <m/>
    <m/>
    <n v="0.22965999999999995"/>
    <m/>
    <m/>
    <m/>
    <m/>
    <n v="396"/>
    <n v="1010.88288"/>
    <n v="593.21177999999986"/>
    <n v="0"/>
    <n v="0"/>
    <n v="0"/>
    <n v="2000.09466"/>
    <m/>
    <n v="840"/>
    <n v="1805.5686599999999"/>
    <m/>
    <n v="0"/>
    <n v="0"/>
    <n v="0"/>
    <n v="2645.5686599999999"/>
    <n v="645.47399999999993"/>
    <n v="0.32272172558072826"/>
    <m/>
    <n v="1086"/>
    <n v="0.43896523848019403"/>
    <m/>
    <n v="283.33999999999997"/>
    <n v="0.14169999999999999"/>
    <m/>
    <m/>
  </r>
  <r>
    <x v="2"/>
    <x v="1"/>
    <s v="GS-2"/>
    <s v="FN"/>
    <x v="11"/>
    <s v="GS-3"/>
    <x v="4"/>
    <s v="GS-3"/>
    <x v="4"/>
    <x v="4"/>
    <s v="FPUC-FPUC - General Service - 2-GS-3"/>
    <x v="4"/>
    <s v="CF &amp; FN"/>
    <n v="6706"/>
    <n v="33"/>
    <n v="150"/>
    <m/>
    <n v="0.62101999999999991"/>
    <n v="0.39135999999999999"/>
    <n v="0.62475000000000003"/>
    <m/>
    <m/>
    <n v="0.22965999999999995"/>
    <m/>
    <m/>
    <m/>
    <m/>
    <n v="396"/>
    <n v="2624.4601600000001"/>
    <n v="1540.0999599999996"/>
    <n v="0"/>
    <n v="0"/>
    <n v="0"/>
    <n v="4560.5601200000001"/>
    <m/>
    <n v="1800"/>
    <n v="4189.5735000000004"/>
    <m/>
    <n v="0"/>
    <n v="0"/>
    <n v="0"/>
    <n v="5989.5735000000004"/>
    <n v="1429.0133800000003"/>
    <n v="0.31334163839506635"/>
    <m/>
    <n v="310"/>
    <n v="0.19362898188632105"/>
    <m/>
    <n v="276.7"/>
    <n v="6.0699999999999997E-2"/>
    <m/>
    <m/>
  </r>
  <r>
    <x v="2"/>
    <x v="1"/>
    <s v="GS-2"/>
    <s v="FN"/>
    <x v="11"/>
    <s v="GS-4"/>
    <x v="5"/>
    <s v="GS-4"/>
    <x v="5"/>
    <x v="5"/>
    <s v="FPUC-FPUC - General Service - 2-GS-4"/>
    <x v="5"/>
    <s v="CF &amp; FN"/>
    <n v="14962"/>
    <n v="33"/>
    <n v="275"/>
    <m/>
    <n v="0.62101999999999991"/>
    <n v="0.39135999999999999"/>
    <n v="0.59182999999999997"/>
    <m/>
    <m/>
    <n v="0.22965999999999995"/>
    <m/>
    <m/>
    <m/>
    <m/>
    <n v="396"/>
    <n v="5855.5283199999994"/>
    <n v="3436.1729199999991"/>
    <n v="0"/>
    <n v="0"/>
    <n v="0"/>
    <n v="9687.7012399999985"/>
    <m/>
    <n v="3300"/>
    <n v="8854.9604600000002"/>
    <m/>
    <n v="0"/>
    <n v="0"/>
    <n v="0"/>
    <n v="12154.96046"/>
    <n v="2467.2592200000017"/>
    <n v="0.25467953221067768"/>
    <m/>
    <n v="80"/>
    <n v="5.7347670250896057E-2"/>
    <m/>
    <n v="141.49"/>
    <n v="1.46E-2"/>
    <m/>
    <m/>
  </r>
  <r>
    <x v="2"/>
    <x v="1"/>
    <s v="GS-2"/>
    <s v="FN"/>
    <x v="11"/>
    <s v="GS-5"/>
    <x v="7"/>
    <s v="GS-5"/>
    <x v="7"/>
    <x v="7"/>
    <s v="FPUC-FPUC - General Service - 2-GS-5"/>
    <x v="7"/>
    <s v="CF &amp; FN"/>
    <n v="215460"/>
    <n v="33"/>
    <n v="750"/>
    <m/>
    <n v="0.62101999999999991"/>
    <n v="0.39135999999999999"/>
    <n v="0.52"/>
    <m/>
    <m/>
    <n v="0.22965999999999995"/>
    <m/>
    <m/>
    <m/>
    <m/>
    <n v="396"/>
    <n v="84322.425600000002"/>
    <n v="49482.54359999999"/>
    <n v="0"/>
    <n v="0"/>
    <n v="0"/>
    <n v="134200.96919999999"/>
    <m/>
    <n v="9000"/>
    <n v="112039.2"/>
    <m/>
    <n v="0"/>
    <n v="0"/>
    <n v="0"/>
    <n v="121039.2"/>
    <n v="-13161.769199999995"/>
    <n v="-9.8075068149358763E-2"/>
    <m/>
    <n v="1"/>
    <n v="8.8495575221238937E-3"/>
    <m/>
    <n v="-116.48"/>
    <n v="-8.9999999999999998E-4"/>
    <m/>
    <m/>
  </r>
  <r>
    <x v="2"/>
    <x v="1"/>
    <s v="GS-2"/>
    <s v="FN"/>
    <x v="11"/>
    <s v="GS-1"/>
    <x v="6"/>
    <s v="GS-1"/>
    <x v="6"/>
    <x v="6"/>
    <s v="FPUC-FPUC - General Service - 2-GS-1"/>
    <x v="6"/>
    <s v="CF &amp; FN"/>
    <n v="402"/>
    <n v="33"/>
    <n v="40"/>
    <m/>
    <n v="0.62101999999999991"/>
    <n v="0.39135999999999999"/>
    <n v="0.70123999999999997"/>
    <m/>
    <m/>
    <n v="0.22965999999999995"/>
    <m/>
    <m/>
    <m/>
    <m/>
    <n v="396"/>
    <n v="157.32671999999999"/>
    <n v="92.323319999999981"/>
    <n v="0"/>
    <n v="0"/>
    <n v="0"/>
    <n v="645.65003999999999"/>
    <m/>
    <n v="480"/>
    <n v="281.89848000000001"/>
    <m/>
    <n v="0"/>
    <n v="0"/>
    <n v="0"/>
    <n v="761.89848000000006"/>
    <n v="116.24844000000007"/>
    <n v="0.18004868395888285"/>
    <m/>
    <n v="790"/>
    <n v="0.37211493170042392"/>
    <m/>
    <n v="43.26"/>
    <n v="6.7000000000000004E-2"/>
    <m/>
    <m/>
  </r>
  <r>
    <x v="2"/>
    <x v="1"/>
    <s v="GSTS1"/>
    <s v="FN"/>
    <x v="12"/>
    <s v="GS-2"/>
    <x v="3"/>
    <s v="GS-2"/>
    <x v="3"/>
    <x v="3"/>
    <s v="FPUC-FPUC - General Transportation Service -1-GS-2"/>
    <x v="3"/>
    <s v="CF &amp; FN"/>
    <n v="2619"/>
    <n v="20"/>
    <n v="70"/>
    <m/>
    <n v="0.62101999999999991"/>
    <n v="0.39135999999999999"/>
    <n v="0.69901999999999997"/>
    <m/>
    <m/>
    <n v="0.22965999999999998"/>
    <m/>
    <m/>
    <m/>
    <m/>
    <n v="240"/>
    <n v="1024.9718399999999"/>
    <n v="601.47953999999993"/>
    <n v="0"/>
    <n v="0"/>
    <n v="0"/>
    <n v="1866.45138"/>
    <m/>
    <n v="840"/>
    <n v="1830.7333799999999"/>
    <m/>
    <n v="0"/>
    <n v="0"/>
    <n v="0"/>
    <n v="2670.7333799999997"/>
    <n v="804.2819999999997"/>
    <n v="0.43091505549959719"/>
    <m/>
    <n v="81"/>
    <n v="3.2740501212611156E-2"/>
    <m/>
    <n v="26.33"/>
    <n v="1.41E-2"/>
    <m/>
    <m/>
  </r>
  <r>
    <x v="2"/>
    <x v="1"/>
    <s v="GSTS1"/>
    <s v="FN"/>
    <x v="12"/>
    <s v="GS-3"/>
    <x v="4"/>
    <s v="GS-3"/>
    <x v="4"/>
    <x v="4"/>
    <s v="FPUC-FPUC - General Transportation Service -1-GS-3"/>
    <x v="4"/>
    <s v="CF &amp; FN"/>
    <n v="6093"/>
    <n v="20"/>
    <n v="150"/>
    <m/>
    <n v="0.62101999999999991"/>
    <n v="0.39135999999999999"/>
    <n v="0.62475000000000003"/>
    <m/>
    <m/>
    <n v="0.22965999999999998"/>
    <m/>
    <m/>
    <m/>
    <m/>
    <n v="240"/>
    <n v="2384.5564799999997"/>
    <n v="1399.3183799999999"/>
    <n v="0"/>
    <n v="0"/>
    <n v="0"/>
    <n v="4023.8748599999999"/>
    <m/>
    <n v="1800"/>
    <n v="3806.6017500000003"/>
    <m/>
    <n v="0"/>
    <n v="0"/>
    <n v="0"/>
    <n v="5606.6017499999998"/>
    <n v="1582.7268899999999"/>
    <n v="0.39333402381206256"/>
    <m/>
    <n v="44"/>
    <n v="2.7482823235477825E-2"/>
    <m/>
    <n v="43.5"/>
    <n v="1.0800000000000001E-2"/>
    <m/>
    <m/>
  </r>
  <r>
    <x v="2"/>
    <x v="1"/>
    <s v="GSTS1"/>
    <s v="FN"/>
    <x v="12"/>
    <s v="GS-4"/>
    <x v="5"/>
    <s v="GS-4"/>
    <x v="5"/>
    <x v="5"/>
    <s v="FPUC-FPUC - General Transportation Service -1-GS-4"/>
    <x v="5"/>
    <s v="CF &amp; FN"/>
    <n v="14459"/>
    <n v="20"/>
    <n v="275"/>
    <m/>
    <n v="0.62101999999999991"/>
    <n v="0.39135999999999999"/>
    <n v="0.59182999999999997"/>
    <m/>
    <m/>
    <n v="0.22965999999999998"/>
    <m/>
    <m/>
    <m/>
    <m/>
    <n v="240"/>
    <n v="5658.6742399999994"/>
    <n v="3320.6539399999997"/>
    <n v="0"/>
    <n v="0"/>
    <n v="0"/>
    <n v="9219.3281799999986"/>
    <m/>
    <n v="3300"/>
    <n v="8557.2699699999994"/>
    <m/>
    <n v="0"/>
    <n v="0"/>
    <n v="0"/>
    <n v="11857.269969999999"/>
    <n v="2637.9417900000008"/>
    <n v="0.28613167234057624"/>
    <m/>
    <n v="15"/>
    <n v="1.0752688172043012E-2"/>
    <m/>
    <n v="28.36"/>
    <n v="3.0999999999999999E-3"/>
    <m/>
    <m/>
  </r>
  <r>
    <x v="2"/>
    <x v="1"/>
    <s v="GSTS1"/>
    <s v="FN"/>
    <x v="12"/>
    <s v="GS-1"/>
    <x v="6"/>
    <s v="GS-1"/>
    <x v="6"/>
    <x v="6"/>
    <s v="FPUC-FPUC - General Transportation Service -1-GS-1"/>
    <x v="6"/>
    <s v="CF &amp; FN"/>
    <n v="243"/>
    <n v="20"/>
    <n v="40"/>
    <m/>
    <n v="0.62101999999999991"/>
    <n v="0.39135999999999999"/>
    <n v="0.70123999999999997"/>
    <m/>
    <m/>
    <n v="0.22965999999999998"/>
    <m/>
    <m/>
    <m/>
    <m/>
    <n v="240"/>
    <n v="95.10047999999999"/>
    <n v="55.807379999999995"/>
    <n v="0"/>
    <n v="0"/>
    <n v="0"/>
    <n v="390.90786000000003"/>
    <m/>
    <n v="480"/>
    <n v="170.40132"/>
    <m/>
    <n v="0"/>
    <n v="0"/>
    <n v="0"/>
    <n v="650.40131999999994"/>
    <n v="259.49345999999991"/>
    <n v="0.66382256933897388"/>
    <m/>
    <n v="64"/>
    <n v="3.0146019783325484E-2"/>
    <m/>
    <n v="7.82"/>
    <n v="0.02"/>
    <m/>
    <m/>
  </r>
  <r>
    <x v="2"/>
    <x v="1"/>
    <s v="GSTS2"/>
    <s v="FN"/>
    <x v="13"/>
    <s v="GS-2"/>
    <x v="3"/>
    <s v="GS-2"/>
    <x v="3"/>
    <x v="3"/>
    <s v="FPUC-FPUC - General Transportation Service-2-GS-2"/>
    <x v="3"/>
    <s v="CF &amp; FN"/>
    <n v="3744"/>
    <n v="33"/>
    <n v="70"/>
    <m/>
    <n v="0.62102000000000002"/>
    <n v="0.39135999999999999"/>
    <n v="0.69901999999999997"/>
    <m/>
    <m/>
    <n v="0.22966"/>
    <m/>
    <m/>
    <m/>
    <m/>
    <n v="396"/>
    <n v="1465.2518399999999"/>
    <n v="859.84703999999999"/>
    <n v="0"/>
    <n v="0"/>
    <n v="0"/>
    <n v="2721.09888"/>
    <m/>
    <n v="840"/>
    <n v="2617.1308799999997"/>
    <m/>
    <n v="0"/>
    <n v="0"/>
    <n v="0"/>
    <n v="3457.1308799999997"/>
    <n v="736.0319999999997"/>
    <n v="0.27049072174841354"/>
    <m/>
    <n v="429"/>
    <n v="0.17340339531123686"/>
    <m/>
    <n v="127.63"/>
    <n v="4.6899999999999997E-2"/>
    <m/>
    <m/>
  </r>
  <r>
    <x v="2"/>
    <x v="1"/>
    <s v="GSTS2"/>
    <s v="FN"/>
    <x v="13"/>
    <s v="GS-3"/>
    <x v="4"/>
    <s v="GS-3"/>
    <x v="4"/>
    <x v="4"/>
    <s v="FPUC-FPUC - General Transportation Service-2-GS-3"/>
    <x v="4"/>
    <s v="CF &amp; FN"/>
    <n v="8043"/>
    <n v="33"/>
    <n v="150"/>
    <m/>
    <n v="0.62102000000000002"/>
    <n v="0.39135999999999999"/>
    <n v="0.62475000000000003"/>
    <m/>
    <m/>
    <n v="0.22966"/>
    <m/>
    <m/>
    <m/>
    <m/>
    <n v="396"/>
    <n v="3147.7084799999998"/>
    <n v="1847.1553799999999"/>
    <n v="0"/>
    <n v="0"/>
    <n v="0"/>
    <n v="5390.8638599999995"/>
    <m/>
    <n v="1800"/>
    <n v="5024.8642500000005"/>
    <m/>
    <n v="0"/>
    <n v="0"/>
    <n v="0"/>
    <n v="6824.8642500000005"/>
    <n v="1434.0003900000011"/>
    <n v="0.26600567687123916"/>
    <m/>
    <n v="276"/>
    <n v="0.17239225484072454"/>
    <m/>
    <n v="247.21"/>
    <n v="4.5900000000000003E-2"/>
    <m/>
    <m/>
  </r>
  <r>
    <x v="2"/>
    <x v="1"/>
    <s v="GSTS2"/>
    <s v="FN"/>
    <x v="13"/>
    <s v="GS-4"/>
    <x v="5"/>
    <s v="GS-4"/>
    <x v="5"/>
    <x v="5"/>
    <s v="FPUC-FPUC - General Transportation Service-2-GS-4"/>
    <x v="5"/>
    <s v="CF &amp; FN"/>
    <n v="17354"/>
    <n v="33"/>
    <n v="275"/>
    <m/>
    <n v="0.62102000000000002"/>
    <n v="0.39135999999999999"/>
    <n v="0.59182999999999997"/>
    <m/>
    <m/>
    <n v="0.22966"/>
    <m/>
    <m/>
    <m/>
    <m/>
    <n v="396"/>
    <n v="6791.6614399999999"/>
    <n v="3985.51964"/>
    <n v="0"/>
    <n v="0"/>
    <n v="0"/>
    <n v="11173.18108"/>
    <m/>
    <n v="3300"/>
    <n v="10270.617819999999"/>
    <m/>
    <n v="0"/>
    <n v="0"/>
    <n v="0"/>
    <n v="13570.617819999999"/>
    <n v="2397.4367399999992"/>
    <n v="0.21457065117215474"/>
    <m/>
    <n v="99"/>
    <n v="7.0967741935483872E-2"/>
    <m/>
    <n v="170.14"/>
    <n v="1.52E-2"/>
    <m/>
    <m/>
  </r>
  <r>
    <x v="2"/>
    <x v="1"/>
    <s v="GSTS2"/>
    <s v="FN"/>
    <x v="13"/>
    <s v="GS-5"/>
    <x v="7"/>
    <s v="GS-5"/>
    <x v="7"/>
    <x v="7"/>
    <s v="FPUC-FPUC - General Transportation Service-2-GS-5"/>
    <x v="7"/>
    <s v="CF &amp; FN"/>
    <n v="62299"/>
    <n v="33"/>
    <n v="750"/>
    <m/>
    <n v="0.62102000000000002"/>
    <n v="0.39135999999999999"/>
    <n v="0.52"/>
    <m/>
    <m/>
    <n v="0.22966"/>
    <m/>
    <m/>
    <m/>
    <m/>
    <n v="396"/>
    <n v="24381.336639999998"/>
    <n v="14307.58834"/>
    <n v="0"/>
    <n v="0"/>
    <n v="0"/>
    <n v="39084.924979999996"/>
    <m/>
    <n v="9000"/>
    <n v="32395.48"/>
    <m/>
    <n v="0"/>
    <n v="0"/>
    <n v="0"/>
    <n v="41395.479999999996"/>
    <n v="2310.5550199999998"/>
    <n v="5.9116271073369732E-2"/>
    <m/>
    <n v="2"/>
    <n v="1.7699115044247787E-2"/>
    <m/>
    <n v="40.89"/>
    <n v="1E-3"/>
    <m/>
    <m/>
  </r>
  <r>
    <x v="2"/>
    <x v="1"/>
    <s v="GSTS2"/>
    <s v="FN"/>
    <x v="13"/>
    <s v="GS-1"/>
    <x v="6"/>
    <s v="GS-1"/>
    <x v="6"/>
    <x v="6"/>
    <s v="FPUC-FPUC - General Transportation Service-2-GS-1"/>
    <x v="6"/>
    <s v="CF &amp; FN"/>
    <n v="528"/>
    <n v="33"/>
    <n v="40"/>
    <m/>
    <n v="0.62102000000000002"/>
    <n v="0.39135999999999999"/>
    <n v="0.70123999999999997"/>
    <m/>
    <m/>
    <n v="0.22966"/>
    <m/>
    <m/>
    <m/>
    <m/>
    <n v="396"/>
    <n v="206.63808"/>
    <n v="121.26048"/>
    <n v="0"/>
    <n v="0"/>
    <n v="0"/>
    <n v="723.89855999999997"/>
    <m/>
    <n v="480"/>
    <n v="370.25471999999996"/>
    <m/>
    <n v="0"/>
    <n v="0"/>
    <n v="0"/>
    <n v="850.25471999999991"/>
    <n v="126.35615999999993"/>
    <n v="0.17454953909564336"/>
    <m/>
    <n v="66"/>
    <n v="3.1088082901554404E-2"/>
    <m/>
    <n v="3.93"/>
    <n v="5.4000000000000003E-3"/>
    <m/>
    <m/>
  </r>
  <r>
    <x v="2"/>
    <x v="1"/>
    <s v="ITS"/>
    <s v="FN"/>
    <x v="14"/>
    <s v="COM - INT"/>
    <x v="10"/>
    <s v="COM - INT"/>
    <x v="10"/>
    <x v="8"/>
    <s v="FPUC-FPUC - Interruptible Transportation Service (ITS)-COM - INT"/>
    <x v="10"/>
    <s v="CF &amp; FN"/>
    <n v="558968"/>
    <n v="280"/>
    <n v="750"/>
    <m/>
    <n v="0.32616000000000001"/>
    <n v="0.23080000000000001"/>
    <n v="0.36749999999999999"/>
    <m/>
    <m/>
    <n v="9.536E-2"/>
    <m/>
    <m/>
    <m/>
    <m/>
    <n v="3360"/>
    <n v="129009.8144"/>
    <n v="53303.188479999997"/>
    <n v="0"/>
    <n v="0"/>
    <n v="0"/>
    <n v="185673.00287999999"/>
    <m/>
    <n v="9000"/>
    <n v="205420.74"/>
    <m/>
    <n v="0"/>
    <n v="0"/>
    <n v="0"/>
    <n v="214420.74"/>
    <n v="28747.737120000005"/>
    <n v="0.15482992505151436"/>
    <m/>
    <n v="17"/>
    <n v="1"/>
    <m/>
    <n v="28747.74"/>
    <n v="0.15479999999999999"/>
    <m/>
    <m/>
  </r>
  <r>
    <x v="2"/>
    <x v="1"/>
    <s v="ITS"/>
    <s v="FN"/>
    <x v="14"/>
    <s v="GS-4"/>
    <x v="5"/>
    <s v="GS-4"/>
    <x v="5"/>
    <x v="5"/>
    <s v="FPUC-FPUC - Interruptible Transportation Service (ITS)-GS-4"/>
    <x v="5"/>
    <s v="CF &amp; FN"/>
    <n v="43262"/>
    <n v="280"/>
    <n v="275"/>
    <m/>
    <n v="0.32616000000000001"/>
    <n v="0.23080000000000001"/>
    <n v="0.59182999999999997"/>
    <m/>
    <m/>
    <n v="9.536E-2"/>
    <m/>
    <m/>
    <m/>
    <m/>
    <n v="3360"/>
    <n v="9984.8696"/>
    <n v="4125.46432"/>
    <n v="0"/>
    <n v="0"/>
    <n v="0"/>
    <n v="17470.333920000001"/>
    <m/>
    <n v="3300"/>
    <n v="25603.749459999999"/>
    <m/>
    <n v="0"/>
    <n v="0"/>
    <n v="0"/>
    <n v="28903.749459999999"/>
    <n v="11433.415539999998"/>
    <n v="0.65444745317151887"/>
    <m/>
    <n v="1"/>
    <n v="7.1684587813620072E-4"/>
    <m/>
    <n v="8.1999999999999993"/>
    <n v="5.0000000000000001E-4"/>
    <m/>
    <m/>
  </r>
  <r>
    <x v="2"/>
    <x v="1"/>
    <s v="LVS"/>
    <s v="FN"/>
    <x v="15"/>
    <s v="GS-2"/>
    <x v="3"/>
    <s v="GS-2"/>
    <x v="3"/>
    <x v="3"/>
    <s v="FPUC-FPUC - Large Volume Service-GS-2"/>
    <x v="3"/>
    <s v="CF &amp; FN"/>
    <n v="3359"/>
    <n v="90"/>
    <n v="70"/>
    <m/>
    <n v="0.51373999999999997"/>
    <n v="0.35365999999999997"/>
    <n v="0.69901999999999997"/>
    <m/>
    <m/>
    <n v="0.16008"/>
    <m/>
    <m/>
    <m/>
    <m/>
    <n v="1080"/>
    <n v="1187.9439399999999"/>
    <n v="537.70871999999997"/>
    <n v="0"/>
    <n v="0"/>
    <n v="0"/>
    <n v="2805.6526600000002"/>
    <m/>
    <n v="840"/>
    <n v="2348.0081799999998"/>
    <m/>
    <n v="0"/>
    <n v="0"/>
    <n v="0"/>
    <n v="3188.0081799999998"/>
    <n v="382.35551999999961"/>
    <n v="0.13628041897388665"/>
    <m/>
    <n v="132"/>
    <n v="5.3354890864995959E-2"/>
    <m/>
    <n v="20.399999999999999"/>
    <n v="7.3000000000000001E-3"/>
    <m/>
    <m/>
  </r>
  <r>
    <x v="2"/>
    <x v="1"/>
    <s v="LVS"/>
    <s v="FN"/>
    <x v="15"/>
    <s v="GS-3"/>
    <x v="4"/>
    <s v="GS-3"/>
    <x v="4"/>
    <x v="4"/>
    <s v="FPUC-FPUC - Large Volume Service-GS-3"/>
    <x v="4"/>
    <s v="CF &amp; FN"/>
    <n v="7671"/>
    <n v="90"/>
    <n v="150"/>
    <m/>
    <n v="0.51373999999999997"/>
    <n v="0.35365999999999997"/>
    <n v="0.62475000000000003"/>
    <m/>
    <m/>
    <n v="0.16008"/>
    <m/>
    <m/>
    <m/>
    <m/>
    <n v="1080"/>
    <n v="2712.9258599999998"/>
    <n v="1227.9736800000001"/>
    <n v="0"/>
    <n v="0"/>
    <n v="0"/>
    <n v="5020.8995400000003"/>
    <m/>
    <n v="1800"/>
    <n v="4792.4572500000004"/>
    <m/>
    <n v="0"/>
    <n v="0"/>
    <n v="0"/>
    <n v="6592.4572500000004"/>
    <n v="1571.55771"/>
    <n v="0.31300321734778225"/>
    <m/>
    <n v="220"/>
    <n v="0.13741411617738913"/>
    <m/>
    <n v="215.95"/>
    <n v="4.2999999999999997E-2"/>
    <m/>
    <m/>
  </r>
  <r>
    <x v="2"/>
    <x v="1"/>
    <s v="LVS"/>
    <s v="FN"/>
    <x v="15"/>
    <s v="GS-4"/>
    <x v="5"/>
    <s v="GS-4"/>
    <x v="5"/>
    <x v="5"/>
    <s v="FPUC-FPUC - Large Volume Service-GS-4"/>
    <x v="5"/>
    <s v="CF &amp; FN"/>
    <n v="18010"/>
    <n v="90"/>
    <n v="275"/>
    <m/>
    <n v="0.51373999999999997"/>
    <n v="0.35365999999999997"/>
    <n v="0.59182999999999997"/>
    <m/>
    <m/>
    <n v="0.16008"/>
    <m/>
    <m/>
    <m/>
    <m/>
    <n v="1080"/>
    <n v="6369.4165999999996"/>
    <n v="2883.0408000000002"/>
    <n v="0"/>
    <n v="0"/>
    <n v="0"/>
    <n v="10332.457399999999"/>
    <m/>
    <n v="3300"/>
    <n v="10658.8583"/>
    <m/>
    <n v="0"/>
    <n v="0"/>
    <n v="0"/>
    <n v="13958.8583"/>
    <n v="3626.4009000000005"/>
    <n v="0.35097177366538196"/>
    <m/>
    <n v="249"/>
    <n v="0.17849462365591398"/>
    <m/>
    <n v="647.29"/>
    <n v="6.2600000000000003E-2"/>
    <m/>
    <m/>
  </r>
  <r>
    <x v="2"/>
    <x v="1"/>
    <s v="LVS"/>
    <s v="FN"/>
    <x v="15"/>
    <s v="GS-5"/>
    <x v="7"/>
    <s v="GS-5"/>
    <x v="7"/>
    <x v="7"/>
    <s v="FPUC-FPUC - Large Volume Service-GS-5"/>
    <x v="7"/>
    <s v="CF &amp; FN"/>
    <n v="114592"/>
    <n v="90"/>
    <n v="750"/>
    <m/>
    <n v="0.51373999999999997"/>
    <n v="0.35365999999999997"/>
    <n v="0.52"/>
    <m/>
    <m/>
    <n v="0.16008"/>
    <m/>
    <m/>
    <m/>
    <m/>
    <n v="1080"/>
    <n v="40526.606719999996"/>
    <n v="18343.887360000001"/>
    <n v="0"/>
    <n v="0"/>
    <n v="0"/>
    <n v="59950.494079999997"/>
    <m/>
    <n v="9000"/>
    <n v="59587.840000000004"/>
    <m/>
    <n v="0"/>
    <n v="0"/>
    <n v="0"/>
    <n v="68587.839999999997"/>
    <n v="8637.3459199999998"/>
    <n v="0.14407464112762822"/>
    <m/>
    <n v="7"/>
    <n v="6.1946902654867256E-2"/>
    <m/>
    <n v="535.05999999999995"/>
    <n v="8.8999999999999999E-3"/>
    <m/>
    <m/>
  </r>
  <r>
    <x v="2"/>
    <x v="1"/>
    <s v="LVS"/>
    <s v="FN"/>
    <x v="15"/>
    <s v="GS-6"/>
    <x v="11"/>
    <s v="GS-6"/>
    <x v="11"/>
    <x v="9"/>
    <s v="FPUC-FPUC - Large Volume Service-GS-6"/>
    <x v="11"/>
    <s v="CF &amp; FN"/>
    <n v="327522"/>
    <n v="90"/>
    <n v="2500"/>
    <m/>
    <n v="0.51373999999999997"/>
    <n v="0.35365999999999997"/>
    <n v="0.49419000000000002"/>
    <m/>
    <m/>
    <n v="0.16008"/>
    <m/>
    <m/>
    <m/>
    <m/>
    <n v="1080"/>
    <n v="115831.43051999999"/>
    <n v="52429.72176"/>
    <n v="0"/>
    <n v="0"/>
    <n v="0"/>
    <n v="169341.15227999998"/>
    <m/>
    <n v="30000"/>
    <n v="161858.09718000001"/>
    <m/>
    <n v="0"/>
    <n v="0"/>
    <n v="0"/>
    <n v="191858.09718000001"/>
    <n v="22516.944900000031"/>
    <n v="0.13296794427599623"/>
    <m/>
    <n v="2"/>
    <n v="5.8823529411764705E-2"/>
    <m/>
    <n v="1324.53"/>
    <n v="7.7999999999999996E-3"/>
    <m/>
    <m/>
  </r>
  <r>
    <x v="2"/>
    <x v="1"/>
    <s v="LVS"/>
    <s v="FN"/>
    <x v="15"/>
    <s v="GS-1"/>
    <x v="6"/>
    <s v="GS-1"/>
    <x v="6"/>
    <x v="6"/>
    <s v="FPUC-FPUC - Large Volume Service-GS-1"/>
    <x v="6"/>
    <s v="CF &amp; FN"/>
    <n v="398"/>
    <n v="90"/>
    <n v="40"/>
    <m/>
    <n v="0.51373999999999997"/>
    <n v="0.35365999999999997"/>
    <n v="0.70123999999999997"/>
    <m/>
    <m/>
    <n v="0.16008"/>
    <m/>
    <m/>
    <m/>
    <m/>
    <n v="1080"/>
    <n v="140.75667999999999"/>
    <n v="63.711840000000002"/>
    <n v="0"/>
    <n v="0"/>
    <n v="0"/>
    <n v="1284.4685199999999"/>
    <m/>
    <n v="480"/>
    <n v="279.09352000000001"/>
    <m/>
    <n v="0"/>
    <n v="0"/>
    <n v="0"/>
    <n v="759.09352000000001"/>
    <n v="-525.37499999999989"/>
    <n v="-0.40902131256591634"/>
    <m/>
    <n v="63"/>
    <n v="2.9674988224211021E-2"/>
    <m/>
    <n v="-15.59"/>
    <n v="-1.21E-2"/>
    <m/>
    <m/>
  </r>
  <r>
    <x v="2"/>
    <x v="1"/>
    <s v="LVTS"/>
    <s v="FN"/>
    <x v="16"/>
    <s v="GS-2"/>
    <x v="3"/>
    <s v="GS-2"/>
    <x v="3"/>
    <x v="3"/>
    <s v="FPUC-FPUC - Large Volume Transportation Service-GS-2"/>
    <x v="3"/>
    <s v="CF &amp; FN"/>
    <n v="3378"/>
    <n v="90"/>
    <n v="70"/>
    <m/>
    <n v="0.51373999999999997"/>
    <n v="0.35365999999999997"/>
    <n v="0.69901999999999997"/>
    <m/>
    <m/>
    <n v="0.16008"/>
    <m/>
    <m/>
    <m/>
    <m/>
    <n v="1080"/>
    <n v="1194.6634799999999"/>
    <n v="540.75023999999996"/>
    <n v="0"/>
    <n v="0"/>
    <n v="0"/>
    <n v="2815.41372"/>
    <m/>
    <n v="840"/>
    <n v="2361.2895599999997"/>
    <m/>
    <n v="0"/>
    <n v="0"/>
    <n v="0"/>
    <n v="3201.2895599999997"/>
    <n v="385.8758399999997"/>
    <n v="0.13705830772182204"/>
    <m/>
    <n v="123"/>
    <n v="4.9717057396928055E-2"/>
    <m/>
    <n v="19.18"/>
    <n v="6.7999999999999996E-3"/>
    <m/>
    <m/>
  </r>
  <r>
    <x v="2"/>
    <x v="1"/>
    <s v="LVTS"/>
    <s v="FN"/>
    <x v="16"/>
    <s v="GS-3"/>
    <x v="4"/>
    <s v="GS-3"/>
    <x v="4"/>
    <x v="4"/>
    <s v="FPUC-FPUC - Large Volume Transportation Service-GS-3"/>
    <x v="4"/>
    <s v="CF &amp; FN"/>
    <n v="7260"/>
    <n v="90"/>
    <n v="150"/>
    <m/>
    <n v="0.51373999999999997"/>
    <n v="0.35365999999999997"/>
    <n v="0.62475000000000003"/>
    <m/>
    <m/>
    <n v="0.16008"/>
    <m/>
    <m/>
    <m/>
    <m/>
    <n v="1080"/>
    <n v="2567.5715999999998"/>
    <n v="1162.1808000000001"/>
    <n v="0"/>
    <n v="0"/>
    <n v="0"/>
    <n v="4809.7523999999994"/>
    <m/>
    <n v="1800"/>
    <n v="4535.6850000000004"/>
    <m/>
    <n v="0"/>
    <n v="0"/>
    <n v="0"/>
    <n v="6335.6850000000004"/>
    <n v="1525.932600000001"/>
    <n v="0.31725803598538693"/>
    <m/>
    <n v="377"/>
    <n v="0.23547782635852593"/>
    <m/>
    <n v="359.32"/>
    <n v="7.4700000000000003E-2"/>
    <m/>
    <m/>
  </r>
  <r>
    <x v="2"/>
    <x v="1"/>
    <s v="LVTS"/>
    <s v="FN"/>
    <x v="16"/>
    <s v="GS-4"/>
    <x v="5"/>
    <s v="GS-4"/>
    <x v="5"/>
    <x v="5"/>
    <s v="FPUC-FPUC - Large Volume Transportation Service-GS-4"/>
    <x v="5"/>
    <s v="CF &amp; FN"/>
    <n v="18058"/>
    <n v="90"/>
    <n v="275"/>
    <m/>
    <n v="0.51373999999999997"/>
    <n v="0.35365999999999997"/>
    <n v="0.59182999999999997"/>
    <m/>
    <m/>
    <n v="0.16008"/>
    <m/>
    <m/>
    <m/>
    <m/>
    <n v="1080"/>
    <n v="6386.3922799999991"/>
    <n v="2890.7246399999999"/>
    <n v="0"/>
    <n v="0"/>
    <n v="0"/>
    <n v="10357.116919999999"/>
    <m/>
    <n v="3300"/>
    <n v="10687.26614"/>
    <m/>
    <n v="0"/>
    <n v="0"/>
    <n v="0"/>
    <n v="13987.26614"/>
    <n v="3630.1492200000012"/>
    <n v="0.35049804381275651"/>
    <m/>
    <n v="706"/>
    <n v="0.50609318996415775"/>
    <m/>
    <n v="1837.19"/>
    <n v="0.1774"/>
    <m/>
    <m/>
  </r>
  <r>
    <x v="2"/>
    <x v="1"/>
    <s v="LVTS"/>
    <s v="FN"/>
    <x v="16"/>
    <s v="GS-5"/>
    <x v="7"/>
    <s v="GS-5"/>
    <x v="7"/>
    <x v="7"/>
    <s v="FPUC-FPUC - Large Volume Transportation Service-GS-5"/>
    <x v="7"/>
    <s v="CF &amp; FN"/>
    <n v="100610"/>
    <n v="90"/>
    <n v="750"/>
    <m/>
    <n v="0.51373999999999997"/>
    <n v="0.35365999999999997"/>
    <n v="0.52"/>
    <m/>
    <m/>
    <n v="0.16008"/>
    <m/>
    <m/>
    <m/>
    <m/>
    <n v="1080"/>
    <n v="35581.732599999996"/>
    <n v="16105.648800000001"/>
    <n v="0"/>
    <n v="0"/>
    <n v="0"/>
    <n v="52767.381399999998"/>
    <m/>
    <n v="9000"/>
    <n v="52317.200000000004"/>
    <m/>
    <n v="0"/>
    <n v="0"/>
    <n v="0"/>
    <n v="61317.200000000004"/>
    <n v="8549.818600000006"/>
    <n v="0.16202847996546604"/>
    <m/>
    <n v="55"/>
    <n v="0.48672566371681414"/>
    <m/>
    <n v="4161.42"/>
    <n v="7.8899999999999998E-2"/>
    <m/>
    <m/>
  </r>
  <r>
    <x v="2"/>
    <x v="1"/>
    <s v="LVTS"/>
    <s v="FN"/>
    <x v="16"/>
    <s v="GS-6"/>
    <x v="11"/>
    <s v="GS-6"/>
    <x v="11"/>
    <x v="9"/>
    <s v="FPUC-FPUC - Large Volume Transportation Service-GS-6"/>
    <x v="11"/>
    <s v="CF &amp; FN"/>
    <n v="343884"/>
    <n v="90"/>
    <n v="2500"/>
    <m/>
    <n v="0.51373999999999997"/>
    <n v="0.35365999999999997"/>
    <n v="0.49419000000000002"/>
    <m/>
    <m/>
    <n v="0.16008"/>
    <m/>
    <m/>
    <m/>
    <m/>
    <n v="1080"/>
    <n v="121618.01543999999"/>
    <n v="55048.950720000001"/>
    <n v="0"/>
    <n v="0"/>
    <n v="0"/>
    <n v="177746.96615999998"/>
    <m/>
    <n v="30000"/>
    <n v="169944.03396"/>
    <m/>
    <n v="0"/>
    <n v="0"/>
    <n v="0"/>
    <n v="199944.03396"/>
    <n v="22197.067800000019"/>
    <n v="0.12488015002190922"/>
    <m/>
    <n v="14"/>
    <n v="0.41176470588235292"/>
    <m/>
    <n v="9139.9699999999993"/>
    <n v="5.1400000000000001E-2"/>
    <m/>
    <m/>
  </r>
  <r>
    <x v="2"/>
    <x v="1"/>
    <s v="LVTS"/>
    <s v="FN"/>
    <x v="16"/>
    <s v="GS-7"/>
    <x v="12"/>
    <s v="GS-7"/>
    <x v="12"/>
    <x v="10"/>
    <s v="FPUC-FPUC - Large Volume Transportation Service-GS-7"/>
    <x v="12"/>
    <s v="CF &amp; FN"/>
    <n v="668053"/>
    <n v="90"/>
    <n v="4500"/>
    <m/>
    <n v="0.51373999999999997"/>
    <n v="0.35365999999999997"/>
    <n v="0.38796999999999998"/>
    <m/>
    <m/>
    <n v="0.16008"/>
    <m/>
    <m/>
    <m/>
    <m/>
    <n v="1080"/>
    <n v="236263.62397999997"/>
    <n v="106941.92423999999"/>
    <n v="0"/>
    <n v="0"/>
    <n v="0"/>
    <n v="344285.54822"/>
    <m/>
    <n v="54000"/>
    <n v="259184.52240999998"/>
    <m/>
    <n v="0"/>
    <n v="0"/>
    <n v="0"/>
    <n v="313184.52240999998"/>
    <n v="-31101.025810000021"/>
    <n v="-9.0334973311532452E-2"/>
    <m/>
    <n v="3"/>
    <n v="0.25"/>
    <m/>
    <n v="-7775.26"/>
    <n v="-2.2599999999999999E-2"/>
    <m/>
    <m/>
  </r>
  <r>
    <x v="2"/>
    <x v="1"/>
    <s v="LVTS"/>
    <s v="FN"/>
    <x v="16"/>
    <s v="GS-8"/>
    <x v="13"/>
    <s v="GS-8-A"/>
    <x v="13"/>
    <x v="11"/>
    <s v="FPUC-FPUC - Large Volume Transportation Service-GS-8-A"/>
    <x v="13"/>
    <s v="CF &amp; FN"/>
    <n v="1082083"/>
    <n v="90"/>
    <n v="9500"/>
    <m/>
    <n v="0.51373999999999997"/>
    <n v="0.35365999999999997"/>
    <n v="0.36796999999999996"/>
    <m/>
    <m/>
    <n v="0.16008"/>
    <m/>
    <m/>
    <m/>
    <m/>
    <n v="1080"/>
    <n v="382689.47378"/>
    <n v="173219.84664"/>
    <n v="0"/>
    <n v="0"/>
    <n v="0"/>
    <n v="556989.32042"/>
    <m/>
    <n v="114000"/>
    <n v="398174.08150999999"/>
    <m/>
    <n v="0"/>
    <n v="0"/>
    <n v="0"/>
    <n v="512174.08150999999"/>
    <n v="-44815.238910000015"/>
    <n v="-8.0459781304616229E-2"/>
    <m/>
    <n v="2"/>
    <n v="0.25"/>
    <m/>
    <n v="-11203.81"/>
    <n v="-2.01E-2"/>
    <m/>
    <m/>
  </r>
  <r>
    <x v="2"/>
    <x v="1"/>
    <s v="LVTS"/>
    <s v="FN"/>
    <x v="16"/>
    <s v="GS-8"/>
    <x v="13"/>
    <s v="GS-8-B"/>
    <x v="14"/>
    <x v="12"/>
    <s v="FPUC-FPUC - Large Volume Transportation Service-GS-8-B"/>
    <x v="13"/>
    <s v="CF &amp; FN"/>
    <n v="1699351"/>
    <n v="90"/>
    <n v="9500"/>
    <m/>
    <n v="0.51373999999999997"/>
    <n v="0.35365999999999997"/>
    <n v="0.34796999999999995"/>
    <m/>
    <m/>
    <n v="0.16008"/>
    <m/>
    <m/>
    <m/>
    <m/>
    <n v="1080"/>
    <n v="600992.47465999995"/>
    <n v="272032.10807999998"/>
    <n v="0"/>
    <n v="0"/>
    <n v="0"/>
    <n v="874104.58273999998"/>
    <m/>
    <n v="114000"/>
    <n v="591323.16746999987"/>
    <m/>
    <n v="0"/>
    <n v="0"/>
    <n v="0"/>
    <n v="705323.16746999987"/>
    <n v="-168781.41527000011"/>
    <n v="-0.19309064224435452"/>
    <m/>
    <n v="1"/>
    <n v="0.125"/>
    <m/>
    <n v="-21097.68"/>
    <n v="-2.41E-2"/>
    <m/>
    <m/>
  </r>
  <r>
    <x v="2"/>
    <x v="1"/>
    <s v="LVTS"/>
    <s v="FN"/>
    <x v="16"/>
    <s v="GS-1"/>
    <x v="6"/>
    <s v="GS-1"/>
    <x v="6"/>
    <x v="6"/>
    <s v="FPUC-FPUC - Large Volume Transportation Service-GS-1"/>
    <x v="6"/>
    <s v="CF &amp; FN"/>
    <n v="469"/>
    <n v="90"/>
    <n v="40"/>
    <m/>
    <n v="0.51373999999999997"/>
    <n v="0.35365999999999997"/>
    <n v="0.70123999999999997"/>
    <m/>
    <m/>
    <n v="0.16008"/>
    <m/>
    <m/>
    <m/>
    <m/>
    <n v="1080"/>
    <n v="165.86653999999999"/>
    <n v="75.077520000000007"/>
    <n v="0"/>
    <n v="0"/>
    <n v="0"/>
    <n v="1320.94406"/>
    <m/>
    <n v="480"/>
    <n v="328.88155999999998"/>
    <m/>
    <n v="0"/>
    <n v="0"/>
    <n v="0"/>
    <n v="808.88156000000004"/>
    <n v="-512.0625"/>
    <n v="-0.38764889105144995"/>
    <m/>
    <n v="20"/>
    <n v="9.4206311822892137E-3"/>
    <m/>
    <n v="-4.82"/>
    <n v="-3.7000000000000002E-3"/>
    <m/>
    <m/>
  </r>
  <r>
    <x v="2"/>
    <x v="1"/>
    <s v="NGVTS"/>
    <s v="FN"/>
    <x v="17"/>
    <s v="COM - NGV"/>
    <x v="14"/>
    <s v="COM - NGV"/>
    <x v="15"/>
    <x v="1"/>
    <s v="FPUC-FPUC - Natural Gas Vehicle Transportation Service-COM - NGV"/>
    <x v="14"/>
    <s v="CF &amp; FN"/>
    <n v="461073"/>
    <n v="100"/>
    <n v="250"/>
    <m/>
    <n v="0.40077000000000002"/>
    <n v="0.17111000000000001"/>
    <n v="0.49803999999999998"/>
    <m/>
    <m/>
    <n v="0.22966"/>
    <m/>
    <m/>
    <m/>
    <m/>
    <n v="1200"/>
    <n v="78894.201030000011"/>
    <n v="105890.02518"/>
    <n v="0"/>
    <n v="0"/>
    <n v="0"/>
    <n v="185984.22620999999"/>
    <m/>
    <n v="3000"/>
    <n v="229632.79691999999"/>
    <m/>
    <n v="0"/>
    <n v="0"/>
    <n v="0"/>
    <n v="232632.79691999999"/>
    <n v="46648.57071"/>
    <n v="0.25082003813230802"/>
    <m/>
    <n v="2"/>
    <n v="0.66666666666666663"/>
    <m/>
    <n v="31099.05"/>
    <n v="0.16719999999999999"/>
    <m/>
    <m/>
  </r>
  <r>
    <x v="2"/>
    <x v="0"/>
    <s v="RS"/>
    <s v="FN"/>
    <x v="18"/>
    <s v="RES-2"/>
    <x v="0"/>
    <s v="RES-2"/>
    <x v="0"/>
    <x v="0"/>
    <s v="FPUC-FPUC - Residential Service-RES-2"/>
    <x v="0"/>
    <s v="CF &amp; FN"/>
    <n v="159"/>
    <n v="11"/>
    <n v="19.5"/>
    <m/>
    <n v="0.81469999999999998"/>
    <n v="0.49828"/>
    <n v="0.65271999999999997"/>
    <m/>
    <m/>
    <n v="0.31642000000000003"/>
    <m/>
    <m/>
    <m/>
    <m/>
    <n v="132"/>
    <n v="79.226519999999994"/>
    <n v="50.310780000000008"/>
    <n v="0"/>
    <n v="0"/>
    <n v="0"/>
    <n v="261.53730000000002"/>
    <m/>
    <n v="234"/>
    <n v="103.78247999999999"/>
    <m/>
    <n v="0"/>
    <n v="0"/>
    <n v="0"/>
    <n v="337.78247999999996"/>
    <n v="76.245179999999948"/>
    <n v="0.29152698295807117"/>
    <m/>
    <n v="27852"/>
    <n v="0.75265504661532223"/>
    <m/>
    <n v="57.39"/>
    <n v="0.21940000000000001"/>
    <m/>
    <m/>
  </r>
  <r>
    <x v="2"/>
    <x v="0"/>
    <s v="RS"/>
    <s v="FN"/>
    <x v="18"/>
    <s v="RES-3"/>
    <x v="1"/>
    <s v="RES-3"/>
    <x v="1"/>
    <x v="1"/>
    <s v="FPUC-FPUC - Residential Service-RES-3"/>
    <x v="1"/>
    <s v="CF &amp; FN"/>
    <n v="682"/>
    <n v="11"/>
    <n v="26.5"/>
    <m/>
    <n v="0.81469999999999998"/>
    <n v="0.49828"/>
    <n v="0.65386"/>
    <m/>
    <m/>
    <n v="0.31642000000000003"/>
    <m/>
    <m/>
    <m/>
    <m/>
    <n v="132"/>
    <n v="339.82695999999999"/>
    <n v="215.79844000000003"/>
    <n v="0"/>
    <n v="0"/>
    <n v="0"/>
    <n v="687.62540000000001"/>
    <m/>
    <n v="318"/>
    <n v="445.93252000000001"/>
    <m/>
    <n v="0"/>
    <n v="0"/>
    <n v="0"/>
    <n v="763.93252000000007"/>
    <n v="76.307120000000054"/>
    <n v="0.11097193326482711"/>
    <m/>
    <n v="15664"/>
    <n v="0.81038853536137412"/>
    <m/>
    <n v="61.84"/>
    <n v="8.9899999999999994E-2"/>
    <m/>
    <m/>
  </r>
  <r>
    <x v="2"/>
    <x v="0"/>
    <s v="RS"/>
    <s v="FN"/>
    <x v="18"/>
    <s v="RES-1"/>
    <x v="2"/>
    <s v="RES-1"/>
    <x v="2"/>
    <x v="2"/>
    <s v="FPUC-FPUC - Residential Service-RES-1"/>
    <x v="2"/>
    <s v="CF &amp; FN"/>
    <n v="52"/>
    <n v="11"/>
    <n v="16.5"/>
    <m/>
    <n v="0.81469999999999998"/>
    <n v="0.49828"/>
    <n v="0.65229000000000004"/>
    <m/>
    <m/>
    <n v="0.31642000000000003"/>
    <m/>
    <m/>
    <m/>
    <m/>
    <n v="132"/>
    <n v="25.91056"/>
    <n v="16.453840000000003"/>
    <n v="0"/>
    <n v="0"/>
    <n v="0"/>
    <n v="174.36440000000002"/>
    <m/>
    <n v="198"/>
    <n v="33.919080000000001"/>
    <m/>
    <n v="0"/>
    <n v="0"/>
    <n v="0"/>
    <n v="231.91908000000001"/>
    <n v="57.554679999999991"/>
    <n v="0.33008274624866074"/>
    <m/>
    <n v="21117"/>
    <n v="0.75892183288409698"/>
    <m/>
    <n v="43.68"/>
    <n v="0.2505"/>
    <m/>
    <m/>
  </r>
  <r>
    <x v="2"/>
    <x v="0"/>
    <s v="RS-GS"/>
    <s v="FN"/>
    <x v="19"/>
    <s v="RES-SG"/>
    <x v="15"/>
    <s v="RES-SG"/>
    <x v="16"/>
    <x v="1"/>
    <s v="FPUC-FPUC - Residential Standby Generator Service-RES-SG"/>
    <x v="15"/>
    <s v="CF &amp; FN"/>
    <n v="109"/>
    <n v="21.25"/>
    <n v="36.5"/>
    <m/>
    <n v="0.81469999999999998"/>
    <n v="0.49828"/>
    <n v="0.65386"/>
    <m/>
    <m/>
    <n v="0.31642000000000003"/>
    <m/>
    <m/>
    <m/>
    <m/>
    <n v="255"/>
    <n v="54.312519999999999"/>
    <n v="34.489780000000003"/>
    <n v="0"/>
    <n v="0"/>
    <n v="0"/>
    <n v="343.8023"/>
    <m/>
    <n v="438"/>
    <n v="71.270740000000004"/>
    <m/>
    <n v="0"/>
    <n v="0"/>
    <n v="0"/>
    <n v="509.27073999999999"/>
    <n v="165.46843999999999"/>
    <n v="0.4812895085344106"/>
    <m/>
    <n v="883"/>
    <n v="1"/>
    <m/>
    <n v="165.47"/>
    <n v="0.48130000000000001"/>
    <m/>
    <m/>
  </r>
  <r>
    <x v="3"/>
    <x v="1"/>
    <s v="FTS-1"/>
    <s v="CF"/>
    <x v="20"/>
    <s v="GS-2"/>
    <x v="3"/>
    <s v="GS-2"/>
    <x v="3"/>
    <x v="3"/>
    <s v="CFG-CFG - Firm Transportation Service - 1 (Fixed Non-Residential)-GS-2"/>
    <x v="3"/>
    <s v="CF &amp; FN"/>
    <n v="1515"/>
    <n v="29"/>
    <n v="70"/>
    <m/>
    <n v="0.11405000000000003"/>
    <n v="0"/>
    <n v="0.69901999999999997"/>
    <m/>
    <m/>
    <n v="0.11405000000000003"/>
    <m/>
    <m/>
    <m/>
    <m/>
    <n v="348"/>
    <n v="0"/>
    <n v="172.78575000000004"/>
    <n v="0"/>
    <n v="0"/>
    <n v="0"/>
    <n v="520.78575000000001"/>
    <m/>
    <n v="840"/>
    <n v="1059.0153"/>
    <m/>
    <n v="0"/>
    <n v="0"/>
    <n v="0"/>
    <n v="1899.0153"/>
    <n v="1378.22955"/>
    <n v="2.6464425149881694"/>
    <m/>
    <n v="2"/>
    <n v="8.0840743734842356E-4"/>
    <m/>
    <n v="1.1100000000000001"/>
    <n v="2.0999999999999999E-3"/>
    <m/>
    <m/>
  </r>
  <r>
    <x v="3"/>
    <x v="1"/>
    <s v="FTS-1"/>
    <s v="CF"/>
    <x v="20"/>
    <s v="GS-1"/>
    <x v="6"/>
    <s v="GS-1"/>
    <x v="6"/>
    <x v="6"/>
    <s v="CFG-CFG - Firm Transportation Service - 1 (Fixed Non-Residential)-GS-1"/>
    <x v="6"/>
    <s v="CF &amp; FN"/>
    <n v="62"/>
    <n v="29"/>
    <n v="40"/>
    <m/>
    <n v="0.11405000000000003"/>
    <n v="0"/>
    <n v="0.70123999999999997"/>
    <m/>
    <m/>
    <n v="0.11405000000000003"/>
    <m/>
    <m/>
    <m/>
    <m/>
    <n v="348"/>
    <n v="0"/>
    <n v="7.0711000000000013"/>
    <n v="0"/>
    <n v="0"/>
    <n v="0"/>
    <n v="355.0711"/>
    <m/>
    <n v="480"/>
    <n v="43.476880000000001"/>
    <m/>
    <n v="0"/>
    <n v="0"/>
    <n v="0"/>
    <n v="523.47688000000005"/>
    <n v="168.40578000000005"/>
    <n v="0.47428748777357566"/>
    <m/>
    <n v="39"/>
    <n v="1.8370230805463968E-2"/>
    <m/>
    <n v="3.09"/>
    <n v="8.6999999999999994E-3"/>
    <m/>
    <m/>
  </r>
  <r>
    <x v="3"/>
    <x v="0"/>
    <s v="FTS-1"/>
    <s v="CF"/>
    <x v="21"/>
    <s v="RES-2"/>
    <x v="0"/>
    <s v="RES-2"/>
    <x v="0"/>
    <x v="0"/>
    <s v="CFG-CFG - Firm Transportation Service - 1 (Fixed Residential)-RES-2"/>
    <x v="0"/>
    <s v="CF &amp; FN"/>
    <n v="172"/>
    <n v="29"/>
    <n v="19.5"/>
    <m/>
    <n v="0.11405000000000003"/>
    <n v="0"/>
    <n v="0.65271999999999997"/>
    <m/>
    <m/>
    <n v="0.11405000000000003"/>
    <m/>
    <m/>
    <m/>
    <m/>
    <n v="348"/>
    <n v="0"/>
    <n v="19.616600000000005"/>
    <n v="0"/>
    <n v="0"/>
    <n v="0"/>
    <n v="367.61660000000001"/>
    <m/>
    <n v="234"/>
    <n v="112.26783999999999"/>
    <m/>
    <n v="0"/>
    <n v="0"/>
    <n v="0"/>
    <n v="346.26783999999998"/>
    <n v="-21.348760000000027"/>
    <n v="-5.8073438468230286E-2"/>
    <m/>
    <n v="91"/>
    <n v="2.4591271449804081E-3"/>
    <m/>
    <n v="-0.05"/>
    <n v="-1E-4"/>
    <m/>
    <m/>
  </r>
  <r>
    <x v="3"/>
    <x v="0"/>
    <s v="FTS-1"/>
    <s v="CF"/>
    <x v="21"/>
    <s v="RES-3"/>
    <x v="1"/>
    <s v="RES-3"/>
    <x v="1"/>
    <x v="1"/>
    <s v="CFG-CFG - Firm Transportation Service - 1 (Fixed Residential)-RES-3"/>
    <x v="1"/>
    <s v="CF &amp; FN"/>
    <n v="419"/>
    <n v="29"/>
    <n v="26.5"/>
    <m/>
    <n v="0.11405000000000003"/>
    <n v="0"/>
    <n v="0.65386"/>
    <m/>
    <m/>
    <n v="0.11405000000000003"/>
    <m/>
    <m/>
    <m/>
    <m/>
    <n v="348"/>
    <n v="0"/>
    <n v="47.786950000000012"/>
    <n v="0"/>
    <n v="0"/>
    <n v="0"/>
    <n v="395.78694999999999"/>
    <m/>
    <n v="318"/>
    <n v="273.96733999999998"/>
    <m/>
    <n v="0"/>
    <n v="0"/>
    <n v="0"/>
    <n v="591.96733999999992"/>
    <n v="196.18038999999993"/>
    <n v="0.49567169913004949"/>
    <m/>
    <n v="44"/>
    <n v="2.2763722903409384E-3"/>
    <m/>
    <n v="0.45"/>
    <n v="1.1000000000000001E-3"/>
    <m/>
    <m/>
  </r>
  <r>
    <x v="3"/>
    <x v="0"/>
    <s v="FTS-1"/>
    <s v="CF"/>
    <x v="21"/>
    <s v="RES-1"/>
    <x v="2"/>
    <s v="RES-1"/>
    <x v="2"/>
    <x v="2"/>
    <s v="CFG-CFG - Firm Transportation Service - 1 (Fixed Residential)-RES-1"/>
    <x v="2"/>
    <s v="CF &amp; FN"/>
    <n v="53"/>
    <n v="29"/>
    <n v="16.5"/>
    <m/>
    <n v="0.11405000000000003"/>
    <n v="0"/>
    <n v="0.65229000000000004"/>
    <m/>
    <m/>
    <n v="0.11405000000000003"/>
    <m/>
    <m/>
    <m/>
    <m/>
    <n v="348"/>
    <n v="0"/>
    <n v="6.0446500000000016"/>
    <n v="0"/>
    <n v="0"/>
    <n v="0"/>
    <n v="354.04464999999999"/>
    <m/>
    <n v="198"/>
    <n v="34.571370000000002"/>
    <m/>
    <n v="0"/>
    <n v="0"/>
    <n v="0"/>
    <n v="232.57137"/>
    <n v="-121.47327999999999"/>
    <n v="-0.34310158337373547"/>
    <m/>
    <n v="39"/>
    <n v="1.4016172506738545E-3"/>
    <m/>
    <n v="-0.17"/>
    <n v="-5.0000000000000001E-4"/>
    <m/>
    <m/>
  </r>
  <r>
    <x v="3"/>
    <x v="1"/>
    <s v="FTS-1"/>
    <s v="CF"/>
    <x v="22"/>
    <s v="GS-2"/>
    <x v="3"/>
    <s v="GS-2"/>
    <x v="3"/>
    <x v="3"/>
    <s v="CFG-CFG - Firm Transportation Service - 1 Non-Residential-GS-2"/>
    <x v="3"/>
    <s v="CF &amp; FN"/>
    <n v="1799"/>
    <n v="19"/>
    <n v="70"/>
    <m/>
    <n v="0.57715000000000005"/>
    <n v="0.46310000000000001"/>
    <n v="0.69901999999999997"/>
    <m/>
    <m/>
    <n v="0.11405000000000003"/>
    <m/>
    <m/>
    <m/>
    <m/>
    <n v="228"/>
    <n v="833.11689999999999"/>
    <n v="205.17595000000006"/>
    <n v="0"/>
    <n v="0"/>
    <n v="0"/>
    <n v="1266.29285"/>
    <m/>
    <n v="840"/>
    <n v="1257.5369799999999"/>
    <m/>
    <n v="0"/>
    <n v="0"/>
    <n v="0"/>
    <n v="2097.5369799999999"/>
    <n v="831.24412999999981"/>
    <n v="0.65643909305813408"/>
    <m/>
    <n v="10"/>
    <n v="4.0420371867421184E-3"/>
    <m/>
    <n v="3.36"/>
    <n v="2.7000000000000001E-3"/>
    <m/>
    <m/>
  </r>
  <r>
    <x v="3"/>
    <x v="1"/>
    <s v="FTS-1"/>
    <s v="CF"/>
    <x v="22"/>
    <s v="GS-1"/>
    <x v="6"/>
    <s v="GS-1"/>
    <x v="6"/>
    <x v="6"/>
    <s v="CFG-CFG - Firm Transportation Service - 1 Non-Residential-GS-1"/>
    <x v="6"/>
    <s v="CF &amp; FN"/>
    <n v="137"/>
    <n v="19"/>
    <n v="40"/>
    <m/>
    <n v="0.57715000000000005"/>
    <n v="0.46310000000000001"/>
    <n v="0.70123999999999997"/>
    <m/>
    <m/>
    <n v="0.11405000000000003"/>
    <m/>
    <m/>
    <m/>
    <m/>
    <n v="228"/>
    <n v="63.444700000000005"/>
    <n v="15.624850000000004"/>
    <n v="0"/>
    <n v="0"/>
    <n v="0"/>
    <n v="307.06954999999999"/>
    <m/>
    <n v="480"/>
    <n v="96.069879999999998"/>
    <m/>
    <n v="0"/>
    <n v="0"/>
    <n v="0"/>
    <n v="576.06988000000001"/>
    <n v="269.00033000000002"/>
    <n v="0.87602411245270018"/>
    <m/>
    <n v="194"/>
    <n v="9.1380122468205371E-2"/>
    <m/>
    <n v="24.58"/>
    <n v="8.0100000000000005E-2"/>
    <m/>
    <m/>
  </r>
  <r>
    <x v="3"/>
    <x v="0"/>
    <s v="FTS-1"/>
    <s v="CF"/>
    <x v="23"/>
    <s v="RES-2"/>
    <x v="0"/>
    <s v="RES-2"/>
    <x v="0"/>
    <x v="0"/>
    <s v="CFG-CFG - Firm Transportation Service - 1 Residential-RES-2"/>
    <x v="0"/>
    <s v="CF &amp; FN"/>
    <n v="163"/>
    <n v="19"/>
    <n v="19.5"/>
    <m/>
    <n v="0.57715000000000005"/>
    <n v="0.46310000000000001"/>
    <n v="0.65271999999999997"/>
    <m/>
    <m/>
    <n v="0.11405000000000003"/>
    <m/>
    <m/>
    <m/>
    <m/>
    <n v="228"/>
    <n v="75.485299999999995"/>
    <n v="18.590150000000005"/>
    <n v="0"/>
    <n v="0"/>
    <n v="0"/>
    <n v="322.07544999999999"/>
    <m/>
    <n v="234"/>
    <n v="106.39336"/>
    <m/>
    <n v="0"/>
    <n v="0"/>
    <n v="0"/>
    <n v="340.39336000000003"/>
    <n v="18.31791000000004"/>
    <n v="5.6874592583818606E-2"/>
    <m/>
    <n v="7307"/>
    <n v="0.19745980272936089"/>
    <m/>
    <n v="3.62"/>
    <n v="1.12E-2"/>
    <m/>
    <m/>
  </r>
  <r>
    <x v="3"/>
    <x v="0"/>
    <s v="FTS-1"/>
    <s v="CF"/>
    <x v="23"/>
    <s v="RES-3"/>
    <x v="1"/>
    <s v="RES-3"/>
    <x v="1"/>
    <x v="1"/>
    <s v="CFG-CFG - Firm Transportation Service - 1 Residential-RES-3"/>
    <x v="1"/>
    <s v="CF &amp; FN"/>
    <n v="503"/>
    <n v="19"/>
    <n v="26.5"/>
    <m/>
    <n v="0.57715000000000005"/>
    <n v="0.46310000000000001"/>
    <n v="0.65386"/>
    <m/>
    <m/>
    <n v="0.11405000000000003"/>
    <m/>
    <m/>
    <m/>
    <m/>
    <n v="228"/>
    <n v="232.9393"/>
    <n v="57.367150000000017"/>
    <n v="0"/>
    <n v="0"/>
    <n v="0"/>
    <n v="518.30645000000004"/>
    <m/>
    <n v="318"/>
    <n v="328.89157999999998"/>
    <m/>
    <n v="0"/>
    <n v="0"/>
    <n v="0"/>
    <n v="646.89157999999998"/>
    <n v="128.58512999999994"/>
    <n v="0.24808707281184697"/>
    <m/>
    <n v="2493"/>
    <n v="0.12897718454136273"/>
    <m/>
    <n v="16.579999999999998"/>
    <n v="3.2000000000000001E-2"/>
    <m/>
    <m/>
  </r>
  <r>
    <x v="3"/>
    <x v="0"/>
    <s v="FTS-1"/>
    <s v="CF"/>
    <x v="23"/>
    <s v="RES-1"/>
    <x v="2"/>
    <s v="RES-1"/>
    <x v="2"/>
    <x v="2"/>
    <s v="CFG-CFG - Firm Transportation Service - 1 Residential-RES-1"/>
    <x v="2"/>
    <s v="CF &amp; FN"/>
    <n v="60"/>
    <n v="19"/>
    <n v="16.5"/>
    <m/>
    <n v="0.57715000000000005"/>
    <n v="0.46310000000000001"/>
    <n v="0.65229000000000004"/>
    <m/>
    <m/>
    <n v="0.11405000000000003"/>
    <m/>
    <m/>
    <m/>
    <m/>
    <n v="228"/>
    <n v="27.786000000000001"/>
    <n v="6.8430000000000017"/>
    <n v="0"/>
    <n v="0"/>
    <n v="0"/>
    <n v="262.62900000000002"/>
    <m/>
    <n v="198"/>
    <n v="39.1374"/>
    <m/>
    <n v="0"/>
    <n v="0"/>
    <n v="0"/>
    <n v="237.13740000000001"/>
    <n v="-25.491600000000005"/>
    <n v="-9.7063157534011874E-2"/>
    <m/>
    <n v="4907"/>
    <n v="0.17635220125786163"/>
    <m/>
    <n v="-4.5"/>
    <n v="-1.7100000000000001E-2"/>
    <m/>
    <m/>
  </r>
  <r>
    <x v="3"/>
    <x v="1"/>
    <s v="FTS10"/>
    <s v="CF"/>
    <x v="24"/>
    <s v="GS-7"/>
    <x v="12"/>
    <s v="GS-7"/>
    <x v="12"/>
    <x v="10"/>
    <s v="CFG-CFG - Firm Transportation Service - 10-GS-7"/>
    <x v="12"/>
    <s v="CF &amp; FN"/>
    <n v="927657"/>
    <n v="3000"/>
    <n v="4500"/>
    <m/>
    <n v="0.15711000000000003"/>
    <n v="8.3180000000000004E-2"/>
    <n v="0.38796999999999998"/>
    <m/>
    <m/>
    <n v="7.393000000000001E-2"/>
    <m/>
    <m/>
    <m/>
    <m/>
    <n v="36000"/>
    <n v="77162.509260000006"/>
    <n v="68581.682010000004"/>
    <n v="0"/>
    <n v="0"/>
    <n v="0"/>
    <n v="181744.19127000001"/>
    <m/>
    <n v="54000"/>
    <n v="359903.08629000001"/>
    <m/>
    <n v="0"/>
    <n v="0"/>
    <n v="0"/>
    <n v="413903.08629000001"/>
    <n v="232158.89502"/>
    <n v="1.2773937554631591"/>
    <m/>
    <n v="2"/>
    <n v="0.16666666666666666"/>
    <m/>
    <n v="38693.15"/>
    <n v="0.21290000000000001"/>
    <m/>
    <m/>
  </r>
  <r>
    <x v="3"/>
    <x v="1"/>
    <s v="FTS10"/>
    <s v="CF"/>
    <x v="24"/>
    <s v="GS-8"/>
    <x v="13"/>
    <s v="GS-8-B"/>
    <x v="14"/>
    <x v="12"/>
    <s v="CFG-CFG - Firm Transportation Service - 10-GS-8-B"/>
    <x v="13"/>
    <s v="CF &amp; FN"/>
    <n v="1775576"/>
    <n v="3000"/>
    <n v="9500"/>
    <m/>
    <n v="0.15711000000000003"/>
    <n v="8.3180000000000004E-2"/>
    <n v="0.34796999999999995"/>
    <m/>
    <m/>
    <n v="7.393000000000001E-2"/>
    <m/>
    <m/>
    <m/>
    <m/>
    <n v="36000"/>
    <n v="147692.41168000002"/>
    <n v="131268.33368000001"/>
    <n v="0"/>
    <n v="0"/>
    <n v="0"/>
    <n v="314960.74536000006"/>
    <m/>
    <n v="114000"/>
    <n v="617847.18071999995"/>
    <m/>
    <n v="0"/>
    <n v="0"/>
    <n v="0"/>
    <n v="731847.18071999995"/>
    <n v="416886.43535999989"/>
    <n v="1.3236139471396626"/>
    <m/>
    <n v="1"/>
    <n v="0.125"/>
    <m/>
    <n v="52110.8"/>
    <n v="0.16550000000000001"/>
    <m/>
    <m/>
  </r>
  <r>
    <x v="3"/>
    <x v="1"/>
    <s v="FTS11"/>
    <s v="CF"/>
    <x v="25"/>
    <s v="GS-8"/>
    <x v="13"/>
    <s v="GS-8-B"/>
    <x v="14"/>
    <x v="12"/>
    <s v="CFG-CFG - Firm Transportation Service - 11-GS-8-B"/>
    <x v="13"/>
    <s v="CF &amp; FN"/>
    <n v="1527249"/>
    <n v="5500"/>
    <n v="9500"/>
    <m/>
    <n v="0.12304999999999999"/>
    <n v="6.9769999999999999E-2"/>
    <n v="0.34796999999999995"/>
    <m/>
    <m/>
    <n v="5.3280000000000001E-2"/>
    <m/>
    <m/>
    <m/>
    <m/>
    <n v="66000"/>
    <n v="106556.16273"/>
    <n v="81371.826719999997"/>
    <n v="0"/>
    <n v="0"/>
    <n v="0"/>
    <n v="253927.98944999999"/>
    <m/>
    <n v="114000"/>
    <n v="531436.83452999988"/>
    <m/>
    <n v="0"/>
    <n v="0"/>
    <n v="0"/>
    <n v="645436.83452999988"/>
    <n v="391508.84507999988"/>
    <n v="1.5418105185174571"/>
    <m/>
    <n v="1"/>
    <n v="0.125"/>
    <m/>
    <n v="48938.61"/>
    <n v="0.19270000000000001"/>
    <m/>
    <m/>
  </r>
  <r>
    <x v="3"/>
    <x v="1"/>
    <s v="FTS12"/>
    <s v="CF"/>
    <x v="26"/>
    <s v="GS-7"/>
    <x v="12"/>
    <s v="GS-7"/>
    <x v="12"/>
    <x v="10"/>
    <s v="CFG-CFG - Firm Transportation Service - 12-GS-7"/>
    <x v="12"/>
    <s v="CF &amp; FN"/>
    <n v="727860"/>
    <n v="9000"/>
    <n v="4500"/>
    <m/>
    <n v="9.8318000000000003E-2"/>
    <n v="6.1238000000000001E-2"/>
    <n v="0.38796999999999998"/>
    <m/>
    <m/>
    <n v="3.7080000000000002E-2"/>
    <m/>
    <m/>
    <m/>
    <m/>
    <n v="108000"/>
    <n v="44572.69068"/>
    <n v="26989.0488"/>
    <n v="0"/>
    <n v="0"/>
    <n v="0"/>
    <n v="179561.73947999999"/>
    <m/>
    <n v="54000"/>
    <n v="282387.84419999999"/>
    <m/>
    <n v="0"/>
    <n v="0"/>
    <n v="0"/>
    <n v="336387.84419999999"/>
    <n v="156826.10472"/>
    <n v="0.87338263248150183"/>
    <m/>
    <n v="2"/>
    <n v="0.16666666666666666"/>
    <m/>
    <n v="26137.68"/>
    <n v="0.14560000000000001"/>
    <m/>
    <m/>
  </r>
  <r>
    <x v="3"/>
    <x v="1"/>
    <s v="FTS12"/>
    <s v="CF"/>
    <x v="26"/>
    <s v="GS-8"/>
    <x v="13"/>
    <s v="GS-8-D"/>
    <x v="17"/>
    <x v="13"/>
    <s v="CFG-CFG - Firm Transportation Service - 12-GS-8-D"/>
    <x v="13"/>
    <s v="CF &amp; FN"/>
    <n v="6667307"/>
    <n v="9000"/>
    <n v="9500"/>
    <m/>
    <n v="9.8318000000000003E-2"/>
    <n v="6.1238000000000001E-2"/>
    <n v="0.17322000000000001"/>
    <m/>
    <m/>
    <n v="3.7080000000000002E-2"/>
    <m/>
    <m/>
    <m/>
    <m/>
    <n v="108000"/>
    <n v="408292.54606600001"/>
    <n v="247223.74356"/>
    <n v="0"/>
    <n v="0"/>
    <n v="0"/>
    <n v="763516.28962599998"/>
    <m/>
    <n v="114000"/>
    <n v="1154910.91854"/>
    <m/>
    <n v="0"/>
    <n v="0"/>
    <n v="0"/>
    <n v="1268910.91854"/>
    <n v="505394.628914"/>
    <n v="0.66193038155290962"/>
    <m/>
    <n v="2"/>
    <n v="0.25"/>
    <m/>
    <n v="126348.66"/>
    <n v="0.16550000000000001"/>
    <m/>
    <m/>
  </r>
  <r>
    <x v="3"/>
    <x v="1"/>
    <s v="FTS12"/>
    <s v="CF"/>
    <x v="26"/>
    <s v="GS-8"/>
    <x v="13"/>
    <s v="GS-8-C"/>
    <x v="18"/>
    <x v="14"/>
    <s v="CFG-CFG - Firm Transportation Service - 12-GS-8-C"/>
    <x v="13"/>
    <s v="CF &amp; FN"/>
    <n v="2236699"/>
    <n v="9000"/>
    <n v="9500"/>
    <m/>
    <n v="9.8318000000000003E-2"/>
    <n v="6.1238000000000001E-2"/>
    <n v="0.18051"/>
    <m/>
    <m/>
    <n v="3.7080000000000002E-2"/>
    <m/>
    <m/>
    <m/>
    <m/>
    <n v="108000"/>
    <n v="136970.97336199999"/>
    <n v="82936.798920000001"/>
    <n v="0"/>
    <n v="0"/>
    <n v="0"/>
    <n v="327907.77228199999"/>
    <m/>
    <n v="114000"/>
    <n v="403746.53649000003"/>
    <m/>
    <n v="0"/>
    <n v="0"/>
    <n v="0"/>
    <n v="517746.53649000003"/>
    <n v="189838.76420800004"/>
    <n v="0.57893950755378587"/>
    <m/>
    <n v="1"/>
    <n v="0.125"/>
    <m/>
    <n v="23729.85"/>
    <n v="7.2400000000000006E-2"/>
    <m/>
    <m/>
  </r>
  <r>
    <x v="3"/>
    <x v="1"/>
    <s v="FTS-2"/>
    <s v="CF"/>
    <x v="27"/>
    <s v="GS-1"/>
    <x v="6"/>
    <s v="GS-1"/>
    <x v="6"/>
    <x v="6"/>
    <s v="CFG-CFG - Firm Transportation Service - 2 (Fixed Non-Residential)-GS-1"/>
    <x v="6"/>
    <s v="CF &amp; FN"/>
    <n v="588"/>
    <n v="48"/>
    <n v="40"/>
    <m/>
    <n v="0.15536"/>
    <n v="0"/>
    <n v="0.70123999999999997"/>
    <m/>
    <m/>
    <n v="0.15536"/>
    <m/>
    <m/>
    <m/>
    <m/>
    <n v="576"/>
    <n v="0"/>
    <n v="91.351680000000002"/>
    <n v="0"/>
    <n v="0"/>
    <n v="0"/>
    <n v="667.35167999999999"/>
    <m/>
    <n v="480"/>
    <n v="412.32911999999999"/>
    <m/>
    <n v="0"/>
    <n v="0"/>
    <n v="0"/>
    <n v="892.32911999999999"/>
    <n v="224.97744"/>
    <n v="0.33711976270142902"/>
    <m/>
    <n v="6"/>
    <n v="2.8261893546867641E-3"/>
    <m/>
    <n v="0.64"/>
    <n v="1E-3"/>
    <m/>
    <m/>
  </r>
  <r>
    <x v="3"/>
    <x v="0"/>
    <s v="FTS-2"/>
    <s v="CF"/>
    <x v="28"/>
    <s v="RES-2"/>
    <x v="0"/>
    <s v="RES-2"/>
    <x v="0"/>
    <x v="0"/>
    <s v="CFG-CFG - Firm Transportation Service - 2 (Fixed Residential)-RES-2"/>
    <x v="0"/>
    <s v="CF &amp; FN"/>
    <n v="159"/>
    <n v="48"/>
    <n v="19.5"/>
    <m/>
    <n v="0.15536"/>
    <n v="0"/>
    <n v="0.65271999999999997"/>
    <m/>
    <m/>
    <n v="0.15536"/>
    <m/>
    <m/>
    <m/>
    <m/>
    <n v="576"/>
    <n v="0"/>
    <n v="24.70224"/>
    <n v="0"/>
    <n v="0"/>
    <n v="0"/>
    <n v="600.70223999999996"/>
    <m/>
    <n v="234"/>
    <n v="103.78247999999999"/>
    <m/>
    <n v="0"/>
    <n v="0"/>
    <n v="0"/>
    <n v="337.78247999999996"/>
    <n v="-262.91976"/>
    <n v="-0.43768733074809246"/>
    <m/>
    <n v="3"/>
    <n v="8.1070125658694775E-5"/>
    <m/>
    <n v="-0.02"/>
    <n v="0"/>
    <m/>
    <m/>
  </r>
  <r>
    <x v="3"/>
    <x v="0"/>
    <s v="FTS-2"/>
    <s v="CF"/>
    <x v="28"/>
    <s v="RES-3"/>
    <x v="1"/>
    <s v="RES-3"/>
    <x v="1"/>
    <x v="1"/>
    <s v="CFG-CFG - Firm Transportation Service - 2 (Fixed Residential)-RES-3"/>
    <x v="1"/>
    <s v="CF &amp; FN"/>
    <n v="667"/>
    <n v="48"/>
    <n v="26.5"/>
    <m/>
    <n v="0.15536"/>
    <n v="0"/>
    <n v="0.65386"/>
    <m/>
    <m/>
    <n v="0.15536"/>
    <m/>
    <m/>
    <m/>
    <m/>
    <n v="576"/>
    <n v="0"/>
    <n v="103.62512"/>
    <n v="0"/>
    <n v="0"/>
    <n v="0"/>
    <n v="679.62512000000004"/>
    <m/>
    <n v="318"/>
    <n v="436.12461999999999"/>
    <m/>
    <n v="0"/>
    <n v="0"/>
    <n v="0"/>
    <n v="754.12462000000005"/>
    <n v="74.499500000000012"/>
    <n v="0.10961852028071006"/>
    <m/>
    <n v="16"/>
    <n v="8.2777174194215944E-4"/>
    <m/>
    <n v="0.06"/>
    <n v="1E-4"/>
    <m/>
    <m/>
  </r>
  <r>
    <x v="3"/>
    <x v="0"/>
    <s v="FTS-2"/>
    <s v="CF"/>
    <x v="28"/>
    <s v="RES-1"/>
    <x v="2"/>
    <s v="RES-1"/>
    <x v="2"/>
    <x v="2"/>
    <s v="CFG-CFG - Firm Transportation Service - 2 (Fixed Residential)-RES-1"/>
    <x v="2"/>
    <s v="CF &amp; FN"/>
    <n v="7"/>
    <n v="48"/>
    <n v="16.5"/>
    <m/>
    <n v="0.15536"/>
    <n v="0"/>
    <n v="0.65229000000000004"/>
    <m/>
    <m/>
    <n v="0.15536"/>
    <m/>
    <m/>
    <m/>
    <m/>
    <n v="576"/>
    <n v="0"/>
    <n v="1.08752"/>
    <n v="0"/>
    <n v="0"/>
    <n v="0"/>
    <n v="577.08752000000004"/>
    <m/>
    <n v="198"/>
    <n v="4.5660300000000005"/>
    <m/>
    <n v="0"/>
    <n v="0"/>
    <n v="0"/>
    <n v="202.56603000000001"/>
    <n v="-374.52149000000003"/>
    <n v="-0.64898559927270649"/>
    <m/>
    <n v="1"/>
    <n v="3.5938903863432166E-5"/>
    <m/>
    <n v="-0.01"/>
    <n v="0"/>
    <m/>
    <m/>
  </r>
  <r>
    <x v="3"/>
    <x v="1"/>
    <s v="FTS-2"/>
    <s v="CF"/>
    <x v="29"/>
    <s v="GS-2"/>
    <x v="3"/>
    <s v="GS-2"/>
    <x v="3"/>
    <x v="3"/>
    <s v="CFG-CFG - Firm Transportation Service - 2 Non-Residential-GS-2"/>
    <x v="3"/>
    <s v="CF &amp; FN"/>
    <n v="1415"/>
    <n v="34"/>
    <n v="70"/>
    <m/>
    <n v="0.47495999999999999"/>
    <n v="0.3196"/>
    <n v="0.69901999999999997"/>
    <m/>
    <m/>
    <n v="0.15536"/>
    <m/>
    <m/>
    <m/>
    <m/>
    <n v="408"/>
    <n v="452.23399999999998"/>
    <n v="219.83439999999999"/>
    <n v="0"/>
    <n v="0"/>
    <n v="0"/>
    <n v="1080.0683999999999"/>
    <m/>
    <n v="840"/>
    <n v="989.11329999999998"/>
    <m/>
    <n v="0"/>
    <n v="0"/>
    <n v="0"/>
    <n v="1829.1133"/>
    <n v="749.0449000000001"/>
    <n v="0.69351616990183229"/>
    <m/>
    <n v="19"/>
    <n v="7.679870654810024E-3"/>
    <m/>
    <n v="5.75"/>
    <n v="5.3E-3"/>
    <m/>
    <m/>
  </r>
  <r>
    <x v="3"/>
    <x v="1"/>
    <s v="FTS-2"/>
    <s v="CF"/>
    <x v="29"/>
    <s v="GS-3"/>
    <x v="4"/>
    <s v="GS-3"/>
    <x v="4"/>
    <x v="4"/>
    <s v="CFG-CFG - Firm Transportation Service - 2 Non-Residential-GS-3"/>
    <x v="4"/>
    <s v="CF &amp; FN"/>
    <n v="5496"/>
    <n v="34"/>
    <n v="150"/>
    <m/>
    <n v="0.47495999999999999"/>
    <n v="0.3196"/>
    <n v="0.62475000000000003"/>
    <m/>
    <m/>
    <n v="0.15536"/>
    <m/>
    <m/>
    <m/>
    <m/>
    <n v="408"/>
    <n v="1756.5216"/>
    <n v="853.85856000000001"/>
    <n v="0"/>
    <n v="0"/>
    <n v="0"/>
    <n v="3018.3801600000002"/>
    <m/>
    <n v="1800"/>
    <n v="3433.6260000000002"/>
    <m/>
    <n v="0"/>
    <n v="0"/>
    <n v="0"/>
    <n v="5233.6260000000002"/>
    <n v="2215.24584"/>
    <n v="0.73391876522273458"/>
    <m/>
    <n v="1"/>
    <n v="6.2460961898813238E-4"/>
    <m/>
    <n v="1.38"/>
    <n v="5.0000000000000001E-4"/>
    <m/>
    <m/>
  </r>
  <r>
    <x v="3"/>
    <x v="1"/>
    <s v="FTS-2"/>
    <s v="CF"/>
    <x v="29"/>
    <s v="GS-1"/>
    <x v="6"/>
    <s v="GS-1"/>
    <x v="6"/>
    <x v="6"/>
    <s v="CFG-CFG - Firm Transportation Service - 2 Non-Residential-GS-1"/>
    <x v="6"/>
    <s v="CF &amp; FN"/>
    <n v="457"/>
    <n v="34"/>
    <n v="40"/>
    <m/>
    <n v="0.47495999999999999"/>
    <n v="0.3196"/>
    <n v="0.70123999999999997"/>
    <m/>
    <m/>
    <n v="0.15536"/>
    <m/>
    <m/>
    <m/>
    <m/>
    <n v="408"/>
    <n v="146.05719999999999"/>
    <n v="70.999520000000004"/>
    <n v="0"/>
    <n v="0"/>
    <n v="0"/>
    <n v="625.05671999999993"/>
    <m/>
    <n v="480"/>
    <n v="320.46668"/>
    <m/>
    <n v="0"/>
    <n v="0"/>
    <n v="0"/>
    <n v="800.46668"/>
    <n v="175.40996000000007"/>
    <n v="0.28063046822374788"/>
    <m/>
    <n v="89"/>
    <n v="4.1921808761187E-2"/>
    <m/>
    <n v="7.35"/>
    <n v="1.18E-2"/>
    <m/>
    <m/>
  </r>
  <r>
    <x v="3"/>
    <x v="0"/>
    <s v="FTS-2"/>
    <s v="CF"/>
    <x v="30"/>
    <s v="RES-2"/>
    <x v="0"/>
    <s v="RES-2"/>
    <x v="0"/>
    <x v="0"/>
    <s v="CFG-CFG - Firm Transportation Service - 2 Residential-RES-2"/>
    <x v="0"/>
    <s v="CF &amp; FN"/>
    <n v="174"/>
    <n v="34"/>
    <n v="19.5"/>
    <m/>
    <n v="0.47495999999999999"/>
    <n v="0.3196"/>
    <n v="0.65271999999999997"/>
    <m/>
    <m/>
    <n v="0.15536"/>
    <m/>
    <m/>
    <m/>
    <m/>
    <n v="408"/>
    <n v="55.610399999999998"/>
    <n v="27.032640000000001"/>
    <n v="0"/>
    <n v="0"/>
    <n v="0"/>
    <n v="490.64304000000004"/>
    <m/>
    <n v="234"/>
    <n v="113.57328"/>
    <m/>
    <n v="0"/>
    <n v="0"/>
    <n v="0"/>
    <n v="347.57328000000001"/>
    <n v="-143.06976000000003"/>
    <n v="-0.2915964323064687"/>
    <m/>
    <n v="127"/>
    <n v="3.4319686528847455E-3"/>
    <m/>
    <n v="-0.49"/>
    <n v="-1E-3"/>
    <m/>
    <m/>
  </r>
  <r>
    <x v="3"/>
    <x v="0"/>
    <s v="FTS-2"/>
    <s v="CF"/>
    <x v="30"/>
    <s v="RES-3"/>
    <x v="1"/>
    <s v="RES-3"/>
    <x v="1"/>
    <x v="1"/>
    <s v="CFG-CFG - Firm Transportation Service - 2 Residential-RES-3"/>
    <x v="1"/>
    <s v="CF &amp; FN"/>
    <n v="773"/>
    <n v="34"/>
    <n v="26.5"/>
    <m/>
    <n v="0.47495999999999999"/>
    <n v="0.3196"/>
    <n v="0.65386"/>
    <m/>
    <m/>
    <n v="0.15536"/>
    <m/>
    <m/>
    <m/>
    <m/>
    <n v="408"/>
    <n v="247.05080000000001"/>
    <n v="120.09327999999999"/>
    <n v="0"/>
    <n v="0"/>
    <n v="0"/>
    <n v="775.14408000000003"/>
    <m/>
    <n v="318"/>
    <n v="505.43378000000001"/>
    <m/>
    <n v="0"/>
    <n v="0"/>
    <n v="0"/>
    <n v="823.43378000000007"/>
    <n v="48.289700000000039"/>
    <n v="6.2297708575675424E-2"/>
    <m/>
    <n v="560"/>
    <n v="2.8972010967975581E-2"/>
    <m/>
    <n v="1.4"/>
    <n v="1.8E-3"/>
    <m/>
    <m/>
  </r>
  <r>
    <x v="3"/>
    <x v="0"/>
    <s v="FTS-2"/>
    <s v="CF"/>
    <x v="30"/>
    <s v="RES-1"/>
    <x v="2"/>
    <s v="RES-1"/>
    <x v="2"/>
    <x v="2"/>
    <s v="CFG-CFG - Firm Transportation Service - 2 Residential-RES-1"/>
    <x v="2"/>
    <s v="CF &amp; FN"/>
    <n v="60"/>
    <n v="34"/>
    <n v="16.5"/>
    <m/>
    <n v="0.47495999999999999"/>
    <n v="0.3196"/>
    <n v="0.65229000000000004"/>
    <m/>
    <m/>
    <n v="0.15536"/>
    <m/>
    <m/>
    <m/>
    <m/>
    <n v="408"/>
    <n v="19.175999999999998"/>
    <n v="9.3216000000000001"/>
    <n v="0"/>
    <n v="0"/>
    <n v="0"/>
    <n v="436.49759999999998"/>
    <m/>
    <n v="198"/>
    <n v="39.1374"/>
    <m/>
    <n v="0"/>
    <n v="0"/>
    <n v="0"/>
    <n v="237.13740000000001"/>
    <n v="-199.36019999999996"/>
    <n v="-0.45672690983867947"/>
    <m/>
    <n v="56"/>
    <n v="2.0125786163522012E-3"/>
    <m/>
    <n v="-0.4"/>
    <n v="-8.9999999999999998E-4"/>
    <m/>
    <m/>
  </r>
  <r>
    <x v="3"/>
    <x v="1"/>
    <s v="FTS21"/>
    <s v="CF"/>
    <x v="31"/>
    <s v="GS-2"/>
    <x v="3"/>
    <s v="GS-2"/>
    <x v="3"/>
    <x v="3"/>
    <s v="CFG-CFG - Firm Transportation Service - 2.1 (Fixed Non-Residential)-GS-2"/>
    <x v="3"/>
    <s v="CF &amp; FN"/>
    <n v="1433"/>
    <n v="87"/>
    <n v="70"/>
    <m/>
    <n v="0.15931999999999996"/>
    <n v="0"/>
    <n v="0.69901999999999997"/>
    <m/>
    <m/>
    <n v="0.15931999999999996"/>
    <m/>
    <m/>
    <m/>
    <m/>
    <n v="1044"/>
    <n v="0"/>
    <n v="228.30555999999996"/>
    <n v="0"/>
    <n v="0"/>
    <n v="0"/>
    <n v="1272.30556"/>
    <m/>
    <n v="840"/>
    <n v="1001.69566"/>
    <m/>
    <n v="0"/>
    <n v="0"/>
    <n v="0"/>
    <n v="1841.6956599999999"/>
    <n v="569.39009999999985"/>
    <n v="0.44752622160984651"/>
    <m/>
    <n v="8"/>
    <n v="3.2336297493936943E-3"/>
    <m/>
    <n v="1.84"/>
    <n v="1.4E-3"/>
    <m/>
    <m/>
  </r>
  <r>
    <x v="3"/>
    <x v="1"/>
    <s v="FTS21"/>
    <s v="CF"/>
    <x v="31"/>
    <s v="GS-3"/>
    <x v="4"/>
    <s v="GS-3"/>
    <x v="4"/>
    <x v="4"/>
    <s v="CFG-CFG - Firm Transportation Service - 2.1 (Fixed Non-Residential)-GS-3"/>
    <x v="4"/>
    <s v="CF &amp; FN"/>
    <n v="5386"/>
    <n v="87"/>
    <n v="150"/>
    <m/>
    <n v="0.15931999999999996"/>
    <n v="0"/>
    <n v="0.62475000000000003"/>
    <m/>
    <m/>
    <n v="0.15931999999999996"/>
    <m/>
    <m/>
    <m/>
    <m/>
    <n v="1044"/>
    <n v="0"/>
    <n v="858.0975199999998"/>
    <n v="0"/>
    <n v="0"/>
    <n v="0"/>
    <n v="1902.0975199999998"/>
    <m/>
    <n v="1800"/>
    <n v="3364.9035000000003"/>
    <m/>
    <n v="0"/>
    <n v="0"/>
    <n v="0"/>
    <n v="5164.9035000000003"/>
    <n v="3262.8059800000005"/>
    <n v="1.7153726061322034"/>
    <m/>
    <n v="1"/>
    <n v="6.2460961898813238E-4"/>
    <m/>
    <n v="2.04"/>
    <n v="1.1000000000000001E-3"/>
    <m/>
    <m/>
  </r>
  <r>
    <x v="3"/>
    <x v="1"/>
    <s v="FTS21"/>
    <s v="CF"/>
    <x v="31"/>
    <s v="GS-1"/>
    <x v="6"/>
    <s v="GS-1"/>
    <x v="6"/>
    <x v="6"/>
    <s v="CFG-CFG - Firm Transportation Service - 2.1 (Fixed Non-Residential)-GS-1"/>
    <x v="6"/>
    <s v="CF &amp; FN"/>
    <n v="715"/>
    <n v="87"/>
    <n v="40"/>
    <m/>
    <n v="0.15931999999999996"/>
    <n v="0"/>
    <n v="0.70123999999999997"/>
    <m/>
    <m/>
    <n v="0.15931999999999996"/>
    <m/>
    <m/>
    <m/>
    <m/>
    <n v="1044"/>
    <n v="0"/>
    <n v="113.91379999999997"/>
    <n v="0"/>
    <n v="0"/>
    <n v="0"/>
    <n v="1157.9138"/>
    <m/>
    <n v="480"/>
    <n v="501.38659999999999"/>
    <m/>
    <n v="0"/>
    <n v="0"/>
    <n v="0"/>
    <n v="981.38660000000004"/>
    <n v="-176.52719999999999"/>
    <n v="-0.15245279916346102"/>
    <m/>
    <n v="2"/>
    <n v="9.4206311822892137E-4"/>
    <m/>
    <n v="-0.17"/>
    <n v="-1E-4"/>
    <m/>
    <m/>
  </r>
  <r>
    <x v="3"/>
    <x v="0"/>
    <s v="FTS21"/>
    <s v="CF"/>
    <x v="32"/>
    <s v="RES-3"/>
    <x v="1"/>
    <s v="RES-3"/>
    <x v="1"/>
    <x v="1"/>
    <s v="CFG-CFG - Firm Transportation Service - 2.1 (Fixed Residential)-RES-3"/>
    <x v="1"/>
    <s v="CF &amp; FN"/>
    <n v="1194"/>
    <n v="87"/>
    <n v="26.5"/>
    <m/>
    <n v="0.15931999999999996"/>
    <n v="0"/>
    <n v="0.65386"/>
    <m/>
    <m/>
    <n v="0.15931999999999996"/>
    <m/>
    <m/>
    <m/>
    <m/>
    <n v="1044"/>
    <n v="0"/>
    <n v="190.22807999999995"/>
    <n v="0"/>
    <n v="0"/>
    <n v="0"/>
    <n v="1234.2280799999999"/>
    <m/>
    <n v="318"/>
    <n v="780.70884000000001"/>
    <m/>
    <n v="0"/>
    <n v="0"/>
    <n v="0"/>
    <n v="1098.70884"/>
    <n v="-135.51923999999985"/>
    <n v="-0.1098008076432679"/>
    <m/>
    <n v="7"/>
    <n v="3.6215013709969476E-4"/>
    <m/>
    <n v="-0.05"/>
    <n v="0"/>
    <m/>
    <m/>
  </r>
  <r>
    <x v="3"/>
    <x v="1"/>
    <s v="FTS21"/>
    <s v="CF"/>
    <x v="33"/>
    <s v="GS-2"/>
    <x v="3"/>
    <s v="GS-2"/>
    <x v="3"/>
    <x v="3"/>
    <s v="CFG-CFG - Firm Transportation Service - 2.1 Non-Residential-GS-2"/>
    <x v="3"/>
    <s v="CF &amp; FN"/>
    <n v="1980"/>
    <n v="40"/>
    <n v="70"/>
    <m/>
    <n v="0.46758999999999995"/>
    <n v="0.30826999999999999"/>
    <n v="0.69901999999999997"/>
    <m/>
    <m/>
    <n v="0.15931999999999996"/>
    <m/>
    <m/>
    <m/>
    <m/>
    <n v="480"/>
    <n v="610.37459999999999"/>
    <n v="315.45359999999994"/>
    <n v="0"/>
    <n v="0"/>
    <n v="0"/>
    <n v="1405.8281999999999"/>
    <m/>
    <n v="840"/>
    <n v="1384.0596"/>
    <m/>
    <n v="0"/>
    <n v="0"/>
    <n v="0"/>
    <n v="2224.0596"/>
    <n v="818.23140000000012"/>
    <n v="0.58202801736371501"/>
    <m/>
    <n v="149"/>
    <n v="6.0226354082457557E-2"/>
    <m/>
    <n v="49.28"/>
    <n v="3.5099999999999999E-2"/>
    <m/>
    <m/>
  </r>
  <r>
    <x v="3"/>
    <x v="1"/>
    <s v="FTS21"/>
    <s v="CF"/>
    <x v="33"/>
    <s v="GS-3"/>
    <x v="4"/>
    <s v="GS-3"/>
    <x v="4"/>
    <x v="4"/>
    <s v="CFG-CFG - Firm Transportation Service - 2.1 Non-Residential-GS-3"/>
    <x v="4"/>
    <s v="CF &amp; FN"/>
    <n v="6726"/>
    <n v="40"/>
    <n v="150"/>
    <m/>
    <n v="0.46758999999999995"/>
    <n v="0.30826999999999999"/>
    <n v="0.62475000000000003"/>
    <m/>
    <m/>
    <n v="0.15931999999999996"/>
    <m/>
    <m/>
    <m/>
    <m/>
    <n v="480"/>
    <n v="2073.4240199999999"/>
    <n v="1071.5863199999997"/>
    <n v="0"/>
    <n v="0"/>
    <n v="0"/>
    <n v="3625.0103399999998"/>
    <m/>
    <n v="1800"/>
    <n v="4202.0685000000003"/>
    <m/>
    <n v="0"/>
    <n v="0"/>
    <n v="0"/>
    <n v="6002.0685000000003"/>
    <n v="2377.0581600000005"/>
    <n v="0.65573831163196095"/>
    <m/>
    <n v="6"/>
    <n v="3.7476577139287947E-3"/>
    <m/>
    <n v="8.91"/>
    <n v="2.5000000000000001E-3"/>
    <m/>
    <m/>
  </r>
  <r>
    <x v="3"/>
    <x v="1"/>
    <s v="FTS21"/>
    <s v="CF"/>
    <x v="33"/>
    <s v="GS-4"/>
    <x v="5"/>
    <s v="GS-4"/>
    <x v="5"/>
    <x v="5"/>
    <s v="CFG-CFG - Firm Transportation Service - 2.1 Non-Residential-GS-4"/>
    <x v="5"/>
    <s v="CF &amp; FN"/>
    <n v="16080"/>
    <n v="40"/>
    <n v="275"/>
    <m/>
    <n v="0.46758999999999995"/>
    <n v="0.30826999999999999"/>
    <n v="0.59182999999999997"/>
    <m/>
    <m/>
    <n v="0.15931999999999996"/>
    <m/>
    <m/>
    <m/>
    <m/>
    <n v="480"/>
    <n v="4956.9816000000001"/>
    <n v="2561.8655999999992"/>
    <n v="0"/>
    <n v="0"/>
    <n v="0"/>
    <n v="7998.8471999999992"/>
    <m/>
    <n v="3300"/>
    <n v="9516.6263999999992"/>
    <m/>
    <n v="0"/>
    <n v="0"/>
    <n v="0"/>
    <n v="12816.626399999999"/>
    <n v="4817.7791999999999"/>
    <n v="0.60230919275467598"/>
    <m/>
    <n v="2"/>
    <n v="1.4336917562724014E-3"/>
    <m/>
    <n v="6.91"/>
    <n v="8.9999999999999998E-4"/>
    <m/>
    <m/>
  </r>
  <r>
    <x v="3"/>
    <x v="1"/>
    <s v="FTS21"/>
    <s v="CF"/>
    <x v="33"/>
    <s v="GS-1"/>
    <x v="6"/>
    <s v="GS-1"/>
    <x v="6"/>
    <x v="6"/>
    <s v="CFG-CFG - Firm Transportation Service - 2.1 Non-Residential-GS-1"/>
    <x v="6"/>
    <s v="CF &amp; FN"/>
    <n v="499"/>
    <n v="40"/>
    <n v="40"/>
    <m/>
    <n v="0.46758999999999995"/>
    <n v="0.30826999999999999"/>
    <n v="0.70123999999999997"/>
    <m/>
    <m/>
    <n v="0.15931999999999996"/>
    <m/>
    <m/>
    <m/>
    <m/>
    <n v="480"/>
    <n v="153.82673"/>
    <n v="79.500679999999974"/>
    <n v="0"/>
    <n v="0"/>
    <n v="0"/>
    <n v="713.32740999999999"/>
    <m/>
    <n v="480"/>
    <n v="349.91875999999996"/>
    <m/>
    <n v="0"/>
    <n v="0"/>
    <n v="0"/>
    <n v="829.91876000000002"/>
    <n v="116.59135000000003"/>
    <n v="0.1634471749795792"/>
    <m/>
    <n v="75"/>
    <n v="3.5327366933584549E-2"/>
    <m/>
    <n v="4.12"/>
    <n v="5.7999999999999996E-3"/>
    <m/>
    <m/>
  </r>
  <r>
    <x v="3"/>
    <x v="0"/>
    <s v="FTS21"/>
    <s v="CF"/>
    <x v="34"/>
    <s v="RES-2"/>
    <x v="0"/>
    <s v="RES-2"/>
    <x v="0"/>
    <x v="0"/>
    <s v="CFG-CFG - Firm Transportation Service - 2.1 Residential-RES-2"/>
    <x v="0"/>
    <s v="CF &amp; FN"/>
    <n v="167"/>
    <n v="40"/>
    <n v="19.5"/>
    <m/>
    <n v="0.46758999999999995"/>
    <n v="0.30826999999999999"/>
    <n v="0.65271999999999997"/>
    <m/>
    <m/>
    <n v="0.15931999999999996"/>
    <m/>
    <m/>
    <m/>
    <m/>
    <n v="480"/>
    <n v="51.481089999999995"/>
    <n v="26.606439999999992"/>
    <n v="0"/>
    <n v="0"/>
    <n v="0"/>
    <n v="558.08753000000002"/>
    <m/>
    <n v="234"/>
    <n v="109.00424"/>
    <m/>
    <n v="0"/>
    <n v="0"/>
    <n v="0"/>
    <n v="343.00423999999998"/>
    <n v="-215.08329000000003"/>
    <n v="-0.38539347044718958"/>
    <m/>
    <n v="51"/>
    <n v="1.3781921361978111E-3"/>
    <m/>
    <n v="-0.3"/>
    <n v="-5.0000000000000001E-4"/>
    <m/>
    <m/>
  </r>
  <r>
    <x v="3"/>
    <x v="0"/>
    <s v="FTS21"/>
    <s v="CF"/>
    <x v="34"/>
    <s v="RES-3"/>
    <x v="1"/>
    <s v="RES-3"/>
    <x v="1"/>
    <x v="1"/>
    <s v="CFG-CFG - Firm Transportation Service - 2.1 Residential-RES-3"/>
    <x v="1"/>
    <s v="CF &amp; FN"/>
    <n v="1035"/>
    <n v="40"/>
    <n v="26.5"/>
    <m/>
    <n v="0.46758999999999995"/>
    <n v="0.30826999999999999"/>
    <n v="0.65386"/>
    <m/>
    <m/>
    <n v="0.15931999999999996"/>
    <m/>
    <m/>
    <m/>
    <m/>
    <n v="480"/>
    <n v="319.05944999999997"/>
    <n v="164.89619999999996"/>
    <n v="0"/>
    <n v="0"/>
    <n v="0"/>
    <n v="963.95564999999988"/>
    <m/>
    <n v="318"/>
    <n v="676.74509999999998"/>
    <m/>
    <n v="0"/>
    <n v="0"/>
    <n v="0"/>
    <n v="994.74509999999998"/>
    <n v="30.789450000000102"/>
    <n v="3.19407329579946E-2"/>
    <m/>
    <n v="397"/>
    <n v="2.0539086346939833E-2"/>
    <m/>
    <n v="0.63"/>
    <n v="6.9999999999999999E-4"/>
    <m/>
    <m/>
  </r>
  <r>
    <x v="3"/>
    <x v="0"/>
    <s v="FTS21"/>
    <s v="CF"/>
    <x v="34"/>
    <s v="RES-1"/>
    <x v="2"/>
    <s v="RES-1"/>
    <x v="2"/>
    <x v="2"/>
    <s v="CFG-CFG - Firm Transportation Service - 2.1 Residential-RES-1"/>
    <x v="2"/>
    <s v="CF &amp; FN"/>
    <n v="55"/>
    <n v="40"/>
    <n v="16.5"/>
    <m/>
    <n v="0.46758999999999995"/>
    <n v="0.30826999999999999"/>
    <n v="0.65229000000000004"/>
    <m/>
    <m/>
    <n v="0.15931999999999996"/>
    <m/>
    <m/>
    <m/>
    <m/>
    <n v="480"/>
    <n v="16.95485"/>
    <n v="8.7625999999999973"/>
    <n v="0"/>
    <n v="0"/>
    <n v="0"/>
    <n v="505.71745000000004"/>
    <m/>
    <n v="198"/>
    <n v="35.875950000000003"/>
    <m/>
    <n v="0"/>
    <n v="0"/>
    <n v="0"/>
    <n v="233.87594999999999"/>
    <n v="-271.84150000000005"/>
    <n v="-0.53753632586733957"/>
    <m/>
    <n v="14"/>
    <n v="5.0314465408805029E-4"/>
    <m/>
    <n v="-0.14000000000000001"/>
    <n v="-2.9999999999999997E-4"/>
    <m/>
    <m/>
  </r>
  <r>
    <x v="3"/>
    <x v="1"/>
    <s v="FTS-3"/>
    <s v="CF"/>
    <x v="35"/>
    <s v="GS-2"/>
    <x v="3"/>
    <s v="GS-2"/>
    <x v="3"/>
    <x v="3"/>
    <s v="CFG-CFG - Firm Transportation Service - 3 (Fixed Non-Residential)-GS-2"/>
    <x v="3"/>
    <s v="CF &amp; FN"/>
    <n v="3163"/>
    <n v="162"/>
    <n v="70"/>
    <m/>
    <n v="5.9479999999999998E-2"/>
    <n v="0"/>
    <n v="0.69901999999999997"/>
    <m/>
    <m/>
    <n v="5.9479999999999998E-2"/>
    <m/>
    <m/>
    <m/>
    <m/>
    <n v="1944"/>
    <n v="0"/>
    <n v="188.13523999999998"/>
    <n v="0"/>
    <n v="0"/>
    <n v="0"/>
    <n v="2132.1352400000001"/>
    <m/>
    <n v="840"/>
    <n v="2211.0002599999998"/>
    <m/>
    <n v="0"/>
    <n v="0"/>
    <n v="0"/>
    <n v="3051.0002599999998"/>
    <n v="918.86501999999973"/>
    <n v="0.43096000795896966"/>
    <m/>
    <n v="14"/>
    <n v="5.6588520614389648E-3"/>
    <m/>
    <n v="5.2"/>
    <n v="2.3999999999999998E-3"/>
    <m/>
    <m/>
  </r>
  <r>
    <x v="3"/>
    <x v="1"/>
    <s v="FTS-3"/>
    <s v="CF"/>
    <x v="35"/>
    <s v="GS-3"/>
    <x v="4"/>
    <s v="GS-3"/>
    <x v="4"/>
    <x v="4"/>
    <s v="CFG-CFG - Firm Transportation Service - 3 (Fixed Non-Residential)-GS-3"/>
    <x v="4"/>
    <s v="CF &amp; FN"/>
    <n v="6167"/>
    <n v="162"/>
    <n v="150"/>
    <m/>
    <n v="5.9479999999999998E-2"/>
    <n v="0"/>
    <n v="0.62475000000000003"/>
    <m/>
    <m/>
    <n v="5.9479999999999998E-2"/>
    <m/>
    <m/>
    <m/>
    <m/>
    <n v="1944"/>
    <n v="0"/>
    <n v="366.81315999999998"/>
    <n v="0"/>
    <n v="0"/>
    <n v="0"/>
    <n v="2310.8131600000002"/>
    <m/>
    <n v="1800"/>
    <n v="3852.8332500000001"/>
    <m/>
    <n v="0"/>
    <n v="0"/>
    <n v="0"/>
    <n v="5652.8332499999997"/>
    <n v="3342.0200899999995"/>
    <n v="1.4462528376807406"/>
    <m/>
    <n v="3"/>
    <n v="1.8738288569643974E-3"/>
    <m/>
    <n v="6.26"/>
    <n v="2.7000000000000001E-3"/>
    <m/>
    <m/>
  </r>
  <r>
    <x v="3"/>
    <x v="1"/>
    <s v="FTS-3"/>
    <s v="CF"/>
    <x v="35"/>
    <s v="GS-1"/>
    <x v="6"/>
    <s v="GS-1"/>
    <x v="6"/>
    <x v="6"/>
    <s v="CFG-CFG - Firm Transportation Service - 3 (Fixed Non-Residential)-GS-1"/>
    <x v="6"/>
    <s v="CF &amp; FN"/>
    <n v="112"/>
    <n v="162"/>
    <n v="40"/>
    <m/>
    <n v="5.9479999999999998E-2"/>
    <n v="0"/>
    <n v="0.70123999999999997"/>
    <m/>
    <m/>
    <n v="5.9479999999999998E-2"/>
    <m/>
    <m/>
    <m/>
    <m/>
    <n v="1944"/>
    <n v="0"/>
    <n v="6.6617600000000001"/>
    <n v="0"/>
    <n v="0"/>
    <n v="0"/>
    <n v="1950.66176"/>
    <m/>
    <n v="480"/>
    <n v="78.538879999999992"/>
    <m/>
    <n v="0"/>
    <n v="0"/>
    <n v="0"/>
    <n v="558.53887999999995"/>
    <n v="-1392.1228799999999"/>
    <n v="-0.71366697627783504"/>
    <m/>
    <n v="1"/>
    <n v="4.7103155911446069E-4"/>
    <m/>
    <n v="-0.66"/>
    <n v="-2.9999999999999997E-4"/>
    <m/>
    <m/>
  </r>
  <r>
    <x v="3"/>
    <x v="1"/>
    <s v="FTS-3"/>
    <s v="CF"/>
    <x v="36"/>
    <s v="GS-2"/>
    <x v="3"/>
    <s v="GS-2"/>
    <x v="3"/>
    <x v="3"/>
    <s v="CFG-CFG - Firm Transportation Service - 3 Non-Residential-GS-2"/>
    <x v="3"/>
    <s v="CF &amp; FN"/>
    <n v="3338"/>
    <n v="108"/>
    <n v="70"/>
    <m/>
    <n v="0.30049999999999999"/>
    <n v="0.24102000000000001"/>
    <n v="0.69901999999999997"/>
    <m/>
    <m/>
    <n v="5.9479999999999998E-2"/>
    <m/>
    <m/>
    <m/>
    <m/>
    <n v="1296"/>
    <n v="804.52476000000001"/>
    <n v="198.54424"/>
    <n v="0"/>
    <n v="0"/>
    <n v="0"/>
    <n v="2299.0690000000004"/>
    <m/>
    <n v="840"/>
    <n v="2333.3287599999999"/>
    <m/>
    <n v="0"/>
    <n v="0"/>
    <n v="0"/>
    <n v="3173.3287599999999"/>
    <n v="874.25975999999946"/>
    <n v="0.38026686454386505"/>
    <m/>
    <n v="216"/>
    <n v="8.730800323362975E-2"/>
    <m/>
    <n v="76.33"/>
    <n v="3.32E-2"/>
    <m/>
    <m/>
  </r>
  <r>
    <x v="3"/>
    <x v="1"/>
    <s v="FTS-3"/>
    <s v="CF"/>
    <x v="36"/>
    <s v="GS-3"/>
    <x v="4"/>
    <s v="GS-3"/>
    <x v="4"/>
    <x v="4"/>
    <s v="CFG-CFG - Firm Transportation Service - 3 Non-Residential-GS-3"/>
    <x v="4"/>
    <s v="CF &amp; FN"/>
    <n v="6525"/>
    <n v="108"/>
    <n v="150"/>
    <m/>
    <n v="0.30049999999999999"/>
    <n v="0.24102000000000001"/>
    <n v="0.62475000000000003"/>
    <m/>
    <m/>
    <n v="5.9479999999999998E-2"/>
    <m/>
    <m/>
    <m/>
    <m/>
    <n v="1296"/>
    <n v="1572.6555000000001"/>
    <n v="388.10699999999997"/>
    <n v="0"/>
    <n v="0"/>
    <n v="0"/>
    <n v="3256.7624999999998"/>
    <m/>
    <n v="1800"/>
    <n v="4076.4937500000001"/>
    <m/>
    <n v="0"/>
    <n v="0"/>
    <n v="0"/>
    <n v="5876.4937499999996"/>
    <n v="2619.7312499999998"/>
    <n v="0.80439738851082943"/>
    <m/>
    <n v="62"/>
    <n v="3.8725796377264213E-2"/>
    <m/>
    <n v="101.45"/>
    <n v="3.1199999999999999E-2"/>
    <m/>
    <m/>
  </r>
  <r>
    <x v="3"/>
    <x v="1"/>
    <s v="FTS-3"/>
    <s v="CF"/>
    <x v="36"/>
    <s v="GS-4"/>
    <x v="5"/>
    <s v="GS-4"/>
    <x v="5"/>
    <x v="5"/>
    <s v="CFG-CFG - Firm Transportation Service - 3 Non-Residential-GS-4"/>
    <x v="5"/>
    <s v="CF &amp; FN"/>
    <n v="11608"/>
    <n v="108"/>
    <n v="275"/>
    <m/>
    <n v="0.30049999999999999"/>
    <n v="0.24102000000000001"/>
    <n v="0.59182999999999997"/>
    <m/>
    <m/>
    <n v="5.9479999999999998E-2"/>
    <m/>
    <m/>
    <m/>
    <m/>
    <n v="1296"/>
    <n v="2797.7601600000003"/>
    <n v="690.44384000000002"/>
    <n v="0"/>
    <n v="0"/>
    <n v="0"/>
    <n v="4784.2040000000006"/>
    <m/>
    <n v="3300"/>
    <n v="6869.9626399999997"/>
    <m/>
    <n v="0"/>
    <n v="0"/>
    <n v="0"/>
    <n v="10169.96264"/>
    <n v="5385.7586399999991"/>
    <n v="1.125737665032678"/>
    <m/>
    <n v="2"/>
    <n v="1.4336917562724014E-3"/>
    <m/>
    <n v="7.72"/>
    <n v="1.6000000000000001E-3"/>
    <m/>
    <m/>
  </r>
  <r>
    <x v="3"/>
    <x v="1"/>
    <s v="FTS-3"/>
    <s v="CF"/>
    <x v="36"/>
    <s v="GS-1"/>
    <x v="6"/>
    <s v="GS-1"/>
    <x v="6"/>
    <x v="6"/>
    <s v="CFG-CFG - Firm Transportation Service - 3 Non-Residential-GS-1"/>
    <x v="6"/>
    <s v="CF &amp; FN"/>
    <n v="443"/>
    <n v="108"/>
    <n v="40"/>
    <m/>
    <n v="0.30049999999999999"/>
    <n v="0.24102000000000001"/>
    <n v="0.70123999999999997"/>
    <m/>
    <m/>
    <n v="5.9479999999999998E-2"/>
    <m/>
    <m/>
    <m/>
    <m/>
    <n v="1296"/>
    <n v="106.77186"/>
    <n v="26.349640000000001"/>
    <n v="0"/>
    <n v="0"/>
    <n v="0"/>
    <n v="1429.1215"/>
    <m/>
    <n v="480"/>
    <n v="310.64931999999999"/>
    <m/>
    <n v="0"/>
    <n v="0"/>
    <n v="0"/>
    <n v="790.64931999999999"/>
    <n v="-638.47217999999998"/>
    <n v="-0.44675850163894393"/>
    <m/>
    <n v="24"/>
    <n v="1.1304757418747056E-2"/>
    <m/>
    <n v="-7.22"/>
    <n v="-5.1000000000000004E-3"/>
    <m/>
    <m/>
  </r>
  <r>
    <x v="3"/>
    <x v="0"/>
    <s v="FTS-3"/>
    <s v="CF"/>
    <x v="37"/>
    <s v="RES-3"/>
    <x v="1"/>
    <s v="RES-3"/>
    <x v="1"/>
    <x v="1"/>
    <s v="CFG-CFG - Firm Transportation Service - 3 Residential-RES-3"/>
    <x v="1"/>
    <s v="CF &amp; FN"/>
    <n v="2132"/>
    <n v="108"/>
    <n v="26.5"/>
    <m/>
    <n v="0.30049999999999999"/>
    <n v="0.24102000000000001"/>
    <n v="0.65386"/>
    <m/>
    <m/>
    <n v="5.9479999999999998E-2"/>
    <m/>
    <m/>
    <m/>
    <m/>
    <n v="1296"/>
    <n v="513.85464000000002"/>
    <n v="126.81135999999999"/>
    <n v="0"/>
    <n v="0"/>
    <n v="0"/>
    <n v="1936.6659999999999"/>
    <m/>
    <n v="318"/>
    <n v="1394.02952"/>
    <m/>
    <n v="0"/>
    <n v="0"/>
    <n v="0"/>
    <n v="1712.02952"/>
    <n v="-224.63647999999989"/>
    <n v="-0.11599133769064976"/>
    <m/>
    <n v="17"/>
    <n v="8.7950747581354446E-4"/>
    <m/>
    <n v="-0.2"/>
    <n v="-1E-4"/>
    <m/>
    <m/>
  </r>
  <r>
    <x v="3"/>
    <x v="1"/>
    <s v="FTS31"/>
    <s v="CF"/>
    <x v="38"/>
    <s v="GS-2"/>
    <x v="3"/>
    <s v="GS-2"/>
    <x v="3"/>
    <x v="3"/>
    <s v="CFG-CFG - Firm Transportation Service - 3.1 (Fixed Non-Residential)-GS-2"/>
    <x v="3"/>
    <s v="CF &amp; FN"/>
    <n v="3945"/>
    <n v="263"/>
    <n v="70"/>
    <m/>
    <n v="7.5529999999999986E-2"/>
    <n v="0"/>
    <n v="0.69901999999999997"/>
    <m/>
    <m/>
    <n v="7.5529999999999986E-2"/>
    <m/>
    <m/>
    <m/>
    <m/>
    <n v="3156"/>
    <n v="0"/>
    <n v="297.96584999999993"/>
    <n v="0"/>
    <n v="0"/>
    <n v="0"/>
    <n v="3453.96585"/>
    <m/>
    <n v="840"/>
    <n v="2757.6338999999998"/>
    <m/>
    <n v="0"/>
    <n v="0"/>
    <n v="0"/>
    <n v="3597.6338999999998"/>
    <n v="143.66804999999977"/>
    <n v="4.1595098573426768E-2"/>
    <m/>
    <n v="1"/>
    <n v="4.0420371867421178E-4"/>
    <m/>
    <n v="0.06"/>
    <n v="0"/>
    <m/>
    <m/>
  </r>
  <r>
    <x v="3"/>
    <x v="1"/>
    <s v="FTS31"/>
    <s v="CF"/>
    <x v="38"/>
    <s v="GS-3"/>
    <x v="4"/>
    <s v="GS-3"/>
    <x v="4"/>
    <x v="4"/>
    <s v="CFG-CFG - Firm Transportation Service - 3.1 (Fixed Non-Residential)-GS-3"/>
    <x v="4"/>
    <s v="CF &amp; FN"/>
    <n v="6162"/>
    <n v="263"/>
    <n v="150"/>
    <m/>
    <n v="7.5529999999999986E-2"/>
    <n v="0"/>
    <n v="0.62475000000000003"/>
    <m/>
    <m/>
    <n v="7.5529999999999986E-2"/>
    <m/>
    <m/>
    <m/>
    <m/>
    <n v="3156"/>
    <n v="0"/>
    <n v="465.4158599999999"/>
    <n v="0"/>
    <n v="0"/>
    <n v="0"/>
    <n v="3621.4158600000001"/>
    <m/>
    <n v="1800"/>
    <n v="3849.7095000000004"/>
    <m/>
    <n v="0"/>
    <n v="0"/>
    <n v="0"/>
    <n v="5649.7095000000008"/>
    <n v="2028.2936400000008"/>
    <n v="0.56008304994831515"/>
    <m/>
    <n v="5"/>
    <n v="3.1230480949406619E-3"/>
    <m/>
    <n v="6.33"/>
    <n v="1.6999999999999999E-3"/>
    <m/>
    <m/>
  </r>
  <r>
    <x v="3"/>
    <x v="1"/>
    <s v="FTS31"/>
    <s v="CF"/>
    <x v="38"/>
    <s v="GS-4"/>
    <x v="5"/>
    <s v="GS-4"/>
    <x v="5"/>
    <x v="5"/>
    <s v="CFG-CFG - Firm Transportation Service - 3.1 (Fixed Non-Residential)-GS-4"/>
    <x v="5"/>
    <s v="CF &amp; FN"/>
    <n v="11290"/>
    <n v="263"/>
    <n v="275"/>
    <m/>
    <n v="7.5529999999999986E-2"/>
    <n v="0"/>
    <n v="0.59182999999999997"/>
    <m/>
    <m/>
    <n v="7.5529999999999986E-2"/>
    <m/>
    <m/>
    <m/>
    <m/>
    <n v="3156"/>
    <n v="0"/>
    <n v="852.73369999999989"/>
    <n v="0"/>
    <n v="0"/>
    <n v="0"/>
    <n v="4008.7336999999998"/>
    <m/>
    <n v="3300"/>
    <n v="6681.7606999999998"/>
    <m/>
    <n v="0"/>
    <n v="0"/>
    <n v="0"/>
    <n v="9981.7606999999989"/>
    <n v="5973.0269999999991"/>
    <n v="1.4900034392406758"/>
    <m/>
    <n v="1"/>
    <n v="7.1684587813620072E-4"/>
    <m/>
    <n v="4.28"/>
    <n v="1.1000000000000001E-3"/>
    <m/>
    <m/>
  </r>
  <r>
    <x v="3"/>
    <x v="1"/>
    <s v="FTS31"/>
    <s v="CF"/>
    <x v="39"/>
    <s v="GS-2"/>
    <x v="3"/>
    <s v="GS-2"/>
    <x v="3"/>
    <x v="3"/>
    <s v="CFG-CFG - Firm Transportation Service - 3.1 Non-Residential-GS-2"/>
    <x v="3"/>
    <s v="CF &amp; FN"/>
    <n v="3862"/>
    <n v="134"/>
    <n v="70"/>
    <m/>
    <n v="0.27936"/>
    <n v="0.20383000000000001"/>
    <n v="0.69901999999999997"/>
    <m/>
    <m/>
    <n v="7.5529999999999986E-2"/>
    <m/>
    <m/>
    <m/>
    <m/>
    <n v="1608"/>
    <n v="787.19146000000001"/>
    <n v="291.69685999999996"/>
    <n v="0"/>
    <n v="0"/>
    <n v="0"/>
    <n v="2686.88832"/>
    <m/>
    <n v="840"/>
    <n v="2699.6152400000001"/>
    <m/>
    <n v="0"/>
    <n v="0"/>
    <n v="0"/>
    <n v="3539.6152400000001"/>
    <n v="852.72692000000006"/>
    <n v="0.31736597075981188"/>
    <m/>
    <n v="62"/>
    <n v="2.5060630557801132E-2"/>
    <m/>
    <n v="21.37"/>
    <n v="8.0000000000000002E-3"/>
    <m/>
    <m/>
  </r>
  <r>
    <x v="3"/>
    <x v="1"/>
    <s v="FTS31"/>
    <s v="CF"/>
    <x v="39"/>
    <s v="GS-3"/>
    <x v="4"/>
    <s v="GS-3"/>
    <x v="4"/>
    <x v="4"/>
    <s v="CFG-CFG - Firm Transportation Service - 3.1 Non-Residential-GS-3"/>
    <x v="4"/>
    <s v="CF &amp; FN"/>
    <n v="7421"/>
    <n v="134"/>
    <n v="150"/>
    <m/>
    <n v="0.27936"/>
    <n v="0.20383000000000001"/>
    <n v="0.62475000000000003"/>
    <m/>
    <m/>
    <n v="7.5529999999999986E-2"/>
    <m/>
    <m/>
    <m/>
    <m/>
    <n v="1608"/>
    <n v="1512.6224300000001"/>
    <n v="560.50812999999994"/>
    <n v="0"/>
    <n v="0"/>
    <n v="0"/>
    <n v="3681.1305600000005"/>
    <m/>
    <n v="1800"/>
    <n v="4636.2697500000004"/>
    <m/>
    <n v="0"/>
    <n v="0"/>
    <n v="0"/>
    <n v="6436.2697500000004"/>
    <n v="2755.1391899999999"/>
    <n v="0.74844919110937469"/>
    <m/>
    <n v="226"/>
    <n v="0.14116177389131793"/>
    <m/>
    <n v="388.92"/>
    <n v="0.1057"/>
    <m/>
    <m/>
  </r>
  <r>
    <x v="3"/>
    <x v="1"/>
    <s v="FTS31"/>
    <s v="CF"/>
    <x v="39"/>
    <s v="GS-4"/>
    <x v="5"/>
    <s v="GS-4"/>
    <x v="5"/>
    <x v="5"/>
    <s v="CFG-CFG - Firm Transportation Service - 3.1 Non-Residential-GS-4"/>
    <x v="5"/>
    <s v="CF &amp; FN"/>
    <n v="12658"/>
    <n v="134"/>
    <n v="275"/>
    <m/>
    <n v="0.27936"/>
    <n v="0.20383000000000001"/>
    <n v="0.59182999999999997"/>
    <m/>
    <m/>
    <n v="7.5529999999999986E-2"/>
    <m/>
    <m/>
    <m/>
    <m/>
    <n v="1608"/>
    <n v="2580.08014"/>
    <n v="956.05873999999983"/>
    <n v="0"/>
    <n v="0"/>
    <n v="0"/>
    <n v="5144.1388799999995"/>
    <m/>
    <n v="3300"/>
    <n v="7491.3841399999992"/>
    <m/>
    <n v="0"/>
    <n v="0"/>
    <n v="0"/>
    <n v="10791.384139999998"/>
    <n v="5647.2452599999988"/>
    <n v="1.0978018657225677"/>
    <m/>
    <n v="24"/>
    <n v="1.7204301075268817E-2"/>
    <m/>
    <n v="97.16"/>
    <n v="1.89E-2"/>
    <m/>
    <m/>
  </r>
  <r>
    <x v="3"/>
    <x v="1"/>
    <s v="FTS31"/>
    <s v="CF"/>
    <x v="39"/>
    <s v="GS-5"/>
    <x v="7"/>
    <s v="GS-5"/>
    <x v="7"/>
    <x v="7"/>
    <s v="CFG-CFG - Firm Transportation Service - 3.1 Non-Residential-GS-5"/>
    <x v="7"/>
    <s v="CF &amp; FN"/>
    <n v="77341"/>
    <n v="134"/>
    <n v="750"/>
    <m/>
    <n v="0.27936"/>
    <n v="0.20383000000000001"/>
    <n v="0.52"/>
    <m/>
    <m/>
    <n v="7.5529999999999986E-2"/>
    <m/>
    <m/>
    <m/>
    <m/>
    <n v="1608"/>
    <n v="15764.41603"/>
    <n v="5841.5657299999993"/>
    <n v="0"/>
    <n v="0"/>
    <n v="0"/>
    <n v="23213.981759999999"/>
    <m/>
    <n v="9000"/>
    <n v="40217.32"/>
    <m/>
    <n v="0"/>
    <n v="0"/>
    <n v="0"/>
    <n v="49217.32"/>
    <n v="26003.338240000001"/>
    <n v="1.120158467807808"/>
    <m/>
    <n v="1"/>
    <n v="8.8495575221238937E-3"/>
    <m/>
    <n v="230.12"/>
    <n v="9.9000000000000008E-3"/>
    <m/>
    <m/>
  </r>
  <r>
    <x v="3"/>
    <x v="1"/>
    <s v="FTS31"/>
    <s v="CF"/>
    <x v="39"/>
    <s v="GS-1"/>
    <x v="6"/>
    <s v="GS-1"/>
    <x v="6"/>
    <x v="6"/>
    <s v="CFG-CFG - Firm Transportation Service - 3.1 Non-Residential-GS-1"/>
    <x v="6"/>
    <s v="CF &amp; FN"/>
    <n v="343"/>
    <n v="134"/>
    <n v="40"/>
    <m/>
    <n v="0.27936"/>
    <n v="0.20383000000000001"/>
    <n v="0.70123999999999997"/>
    <m/>
    <m/>
    <n v="7.5529999999999986E-2"/>
    <m/>
    <m/>
    <m/>
    <m/>
    <n v="1608"/>
    <n v="69.913690000000003"/>
    <n v="25.906789999999994"/>
    <n v="0"/>
    <n v="0"/>
    <n v="0"/>
    <n v="1703.8204800000001"/>
    <m/>
    <n v="480"/>
    <n v="240.52531999999999"/>
    <m/>
    <n v="0"/>
    <n v="0"/>
    <n v="0"/>
    <n v="720.52531999999997"/>
    <n v="-983.29516000000012"/>
    <n v="-0.57711195019794581"/>
    <m/>
    <n v="13"/>
    <n v="6.1234102684879889E-3"/>
    <m/>
    <n v="-6.02"/>
    <n v="-3.5000000000000001E-3"/>
    <m/>
    <m/>
  </r>
  <r>
    <x v="3"/>
    <x v="1"/>
    <s v="FTS-4"/>
    <s v="CF"/>
    <x v="40"/>
    <s v="GS-2"/>
    <x v="3"/>
    <s v="GS-2"/>
    <x v="3"/>
    <x v="3"/>
    <s v="CFG-CFG - Firm Transportation Service - 4-GS-2"/>
    <x v="3"/>
    <s v="CF &amp; FN"/>
    <n v="2443"/>
    <n v="210"/>
    <n v="70"/>
    <m/>
    <n v="0.27281"/>
    <n v="0.189"/>
    <n v="0.69901999999999997"/>
    <m/>
    <m/>
    <n v="8.3809999999999996E-2"/>
    <m/>
    <m/>
    <m/>
    <m/>
    <n v="2520"/>
    <n v="461.72699999999998"/>
    <n v="204.74782999999999"/>
    <n v="0"/>
    <n v="0"/>
    <n v="0"/>
    <n v="3186.4748299999997"/>
    <m/>
    <n v="840"/>
    <n v="1707.70586"/>
    <m/>
    <n v="0"/>
    <n v="0"/>
    <n v="0"/>
    <n v="2547.70586"/>
    <n v="-638.76896999999963"/>
    <n v="-0.200462581403789"/>
    <m/>
    <n v="11"/>
    <n v="4.4462409054163302E-3"/>
    <m/>
    <n v="-2.84"/>
    <n v="-8.9999999999999998E-4"/>
    <m/>
    <m/>
  </r>
  <r>
    <x v="3"/>
    <x v="1"/>
    <s v="FTS-4"/>
    <s v="CF"/>
    <x v="40"/>
    <s v="GS-3"/>
    <x v="4"/>
    <s v="GS-3"/>
    <x v="4"/>
    <x v="4"/>
    <s v="CFG-CFG - Firm Transportation Service - 4-GS-3"/>
    <x v="4"/>
    <s v="CF &amp; FN"/>
    <n v="8111"/>
    <n v="210"/>
    <n v="150"/>
    <m/>
    <n v="0.27281"/>
    <n v="0.189"/>
    <n v="0.62475000000000003"/>
    <m/>
    <m/>
    <n v="8.3809999999999996E-2"/>
    <m/>
    <m/>
    <m/>
    <m/>
    <n v="2520"/>
    <n v="1532.979"/>
    <n v="679.78291000000002"/>
    <n v="0"/>
    <n v="0"/>
    <n v="0"/>
    <n v="4732.7619100000002"/>
    <m/>
    <n v="1800"/>
    <n v="5067.3472499999998"/>
    <m/>
    <n v="0"/>
    <n v="0"/>
    <n v="0"/>
    <n v="6867.3472499999998"/>
    <n v="2134.5853399999996"/>
    <n v="0.45102318278250331"/>
    <m/>
    <n v="37"/>
    <n v="2.3110555902560899E-2"/>
    <m/>
    <n v="49.33"/>
    <n v="1.04E-2"/>
    <m/>
    <m/>
  </r>
  <r>
    <x v="3"/>
    <x v="1"/>
    <s v="FTS-4"/>
    <s v="CF"/>
    <x v="40"/>
    <s v="GS-4"/>
    <x v="5"/>
    <s v="GS-4"/>
    <x v="5"/>
    <x v="5"/>
    <s v="CFG-CFG - Firm Transportation Service - 4-GS-4"/>
    <x v="5"/>
    <s v="CF &amp; FN"/>
    <n v="16039"/>
    <n v="210"/>
    <n v="275"/>
    <m/>
    <n v="0.27281"/>
    <n v="0.189"/>
    <n v="0.59182999999999997"/>
    <m/>
    <m/>
    <n v="8.3809999999999996E-2"/>
    <m/>
    <m/>
    <m/>
    <m/>
    <n v="2520"/>
    <n v="3031.3710000000001"/>
    <n v="1344.2285899999999"/>
    <n v="0"/>
    <n v="0"/>
    <n v="0"/>
    <n v="6895.5995899999998"/>
    <m/>
    <n v="3300"/>
    <n v="9492.3613699999987"/>
    <m/>
    <n v="0"/>
    <n v="0"/>
    <n v="0"/>
    <n v="12792.361369999999"/>
    <n v="5896.7617799999989"/>
    <n v="0.85514851943426129"/>
    <m/>
    <n v="165"/>
    <n v="0.11827956989247312"/>
    <m/>
    <n v="697.47"/>
    <n v="0.1011"/>
    <m/>
    <m/>
  </r>
  <r>
    <x v="3"/>
    <x v="1"/>
    <s v="FTS-4"/>
    <s v="CF"/>
    <x v="40"/>
    <s v="GS-5"/>
    <x v="7"/>
    <s v="GS-5"/>
    <x v="7"/>
    <x v="7"/>
    <s v="CFG-CFG - Firm Transportation Service - 4-GS-5"/>
    <x v="7"/>
    <s v="CF &amp; FN"/>
    <n v="86516"/>
    <n v="210"/>
    <n v="750"/>
    <m/>
    <n v="0.27281"/>
    <n v="0.189"/>
    <n v="0.52"/>
    <m/>
    <m/>
    <n v="8.3809999999999996E-2"/>
    <m/>
    <m/>
    <m/>
    <m/>
    <n v="2520"/>
    <n v="16351.523999999999"/>
    <n v="7250.9059600000001"/>
    <n v="0"/>
    <n v="0"/>
    <n v="0"/>
    <n v="26122.429959999998"/>
    <m/>
    <n v="9000"/>
    <n v="44988.32"/>
    <m/>
    <n v="0"/>
    <n v="0"/>
    <n v="0"/>
    <n v="53988.32"/>
    <n v="27865.890040000002"/>
    <n v="1.0667418797818458"/>
    <m/>
    <n v="2"/>
    <n v="1.7699115044247787E-2"/>
    <m/>
    <n v="493.2"/>
    <n v="1.89E-2"/>
    <m/>
    <m/>
  </r>
  <r>
    <x v="3"/>
    <x v="1"/>
    <s v="FTS-4"/>
    <s v="CF"/>
    <x v="40"/>
    <s v="GS-1"/>
    <x v="6"/>
    <s v="GS-1"/>
    <x v="6"/>
    <x v="6"/>
    <s v="CFG-CFG - Firm Transportation Service - 4-GS-1"/>
    <x v="6"/>
    <s v="CF &amp; FN"/>
    <n v="663"/>
    <n v="210"/>
    <n v="40"/>
    <m/>
    <n v="0.27281"/>
    <n v="0.189"/>
    <n v="0.70123999999999997"/>
    <m/>
    <m/>
    <n v="8.3809999999999996E-2"/>
    <m/>
    <m/>
    <m/>
    <m/>
    <n v="2520"/>
    <n v="125.307"/>
    <n v="55.566029999999998"/>
    <n v="0"/>
    <n v="0"/>
    <n v="0"/>
    <n v="2700.8730299999997"/>
    <m/>
    <n v="480"/>
    <n v="464.92212000000001"/>
    <m/>
    <n v="0"/>
    <n v="0"/>
    <n v="0"/>
    <n v="944.92211999999995"/>
    <n v="-1755.9509099999998"/>
    <n v="-0.65014196909508182"/>
    <m/>
    <n v="6"/>
    <n v="2.8261893546867641E-3"/>
    <m/>
    <n v="-4.96"/>
    <n v="-1.8E-3"/>
    <m/>
    <m/>
  </r>
  <r>
    <x v="3"/>
    <x v="1"/>
    <s v="FTS-5"/>
    <s v="CF"/>
    <x v="41"/>
    <s v="GS-2"/>
    <x v="3"/>
    <s v="GS-2"/>
    <x v="3"/>
    <x v="3"/>
    <s v="CFG-CFG - Firm Transportation Service - 5-GS-2"/>
    <x v="3"/>
    <s v="CF &amp; FN"/>
    <n v="4421"/>
    <n v="380"/>
    <n v="70"/>
    <m/>
    <n v="0.25567000000000001"/>
    <n v="0.1658"/>
    <n v="0.69901999999999997"/>
    <m/>
    <m/>
    <n v="8.9869999999999992E-2"/>
    <m/>
    <m/>
    <m/>
    <m/>
    <n v="4560"/>
    <n v="733.0018"/>
    <n v="397.31526999999994"/>
    <n v="0"/>
    <n v="0"/>
    <n v="0"/>
    <n v="5690.3170700000001"/>
    <m/>
    <n v="840"/>
    <n v="3090.36742"/>
    <m/>
    <n v="0"/>
    <n v="0"/>
    <n v="0"/>
    <n v="3930.36742"/>
    <n v="-1759.94965"/>
    <n v="-0.3092885033206067"/>
    <m/>
    <n v="2"/>
    <n v="8.0840743734842356E-4"/>
    <m/>
    <n v="-1.42"/>
    <n v="-2.9999999999999997E-4"/>
    <m/>
    <m/>
  </r>
  <r>
    <x v="3"/>
    <x v="1"/>
    <s v="FTS-5"/>
    <s v="CF"/>
    <x v="41"/>
    <s v="GS-3"/>
    <x v="4"/>
    <s v="GS-3"/>
    <x v="4"/>
    <x v="4"/>
    <s v="CFG-CFG - Firm Transportation Service - 5-GS-3"/>
    <x v="4"/>
    <s v="CF &amp; FN"/>
    <n v="9004"/>
    <n v="380"/>
    <n v="150"/>
    <m/>
    <n v="0.25567000000000001"/>
    <n v="0.1658"/>
    <n v="0.62475000000000003"/>
    <m/>
    <m/>
    <n v="8.9869999999999992E-2"/>
    <m/>
    <m/>
    <m/>
    <m/>
    <n v="4560"/>
    <n v="1492.8632"/>
    <n v="809.18947999999989"/>
    <n v="0"/>
    <n v="0"/>
    <n v="0"/>
    <n v="6862.0526799999998"/>
    <m/>
    <n v="1800"/>
    <n v="5625.2489999999998"/>
    <m/>
    <n v="0"/>
    <n v="0"/>
    <n v="0"/>
    <n v="7425.2489999999998"/>
    <n v="563.19632000000001"/>
    <n v="8.2074030361422412E-2"/>
    <m/>
    <n v="1"/>
    <n v="6.2460961898813238E-4"/>
    <m/>
    <n v="0.35"/>
    <n v="1E-4"/>
    <m/>
    <m/>
  </r>
  <r>
    <x v="3"/>
    <x v="1"/>
    <s v="FTS-5"/>
    <s v="CF"/>
    <x v="41"/>
    <s v="GS-4"/>
    <x v="5"/>
    <s v="GS-4"/>
    <x v="5"/>
    <x v="5"/>
    <s v="CFG-CFG - Firm Transportation Service - 5-GS-4"/>
    <x v="5"/>
    <s v="CF &amp; FN"/>
    <n v="29117"/>
    <n v="380"/>
    <n v="275"/>
    <m/>
    <n v="0.25567000000000001"/>
    <n v="0.1658"/>
    <n v="0.59182999999999997"/>
    <m/>
    <m/>
    <n v="8.9869999999999992E-2"/>
    <m/>
    <m/>
    <m/>
    <m/>
    <n v="4560"/>
    <n v="4827.5986000000003"/>
    <n v="2616.7447899999997"/>
    <n v="0"/>
    <n v="0"/>
    <n v="0"/>
    <n v="12004.343390000002"/>
    <m/>
    <n v="3300"/>
    <n v="17232.314109999999"/>
    <m/>
    <n v="0"/>
    <n v="0"/>
    <n v="0"/>
    <n v="20532.314109999999"/>
    <n v="8527.9707199999975"/>
    <n v="0.71040709541048841"/>
    <m/>
    <n v="27"/>
    <n v="1.935483870967742E-2"/>
    <m/>
    <n v="165.06"/>
    <n v="1.37E-2"/>
    <m/>
    <m/>
  </r>
  <r>
    <x v="3"/>
    <x v="1"/>
    <s v="FTS-5"/>
    <s v="CF"/>
    <x v="41"/>
    <s v="GS-5"/>
    <x v="7"/>
    <s v="GS-5"/>
    <x v="7"/>
    <x v="7"/>
    <s v="CFG-CFG - Firm Transportation Service - 5-GS-5"/>
    <x v="7"/>
    <s v="CF &amp; FN"/>
    <n v="60296"/>
    <n v="380"/>
    <n v="750"/>
    <m/>
    <n v="0.25567000000000001"/>
    <n v="0.1658"/>
    <n v="0.52"/>
    <m/>
    <m/>
    <n v="8.9869999999999992E-2"/>
    <m/>
    <m/>
    <m/>
    <m/>
    <n v="4560"/>
    <n v="9997.0768000000007"/>
    <n v="5418.8015199999991"/>
    <n v="0"/>
    <n v="0"/>
    <n v="0"/>
    <n v="19975.87832"/>
    <m/>
    <n v="9000"/>
    <n v="31353.920000000002"/>
    <m/>
    <n v="0"/>
    <n v="0"/>
    <n v="0"/>
    <n v="40353.919999999998"/>
    <n v="20378.041679999998"/>
    <n v="1.0201324494251325"/>
    <m/>
    <n v="4"/>
    <n v="3.5398230088495575E-2"/>
    <m/>
    <n v="721.35"/>
    <n v="3.61E-2"/>
    <m/>
    <m/>
  </r>
  <r>
    <x v="3"/>
    <x v="1"/>
    <s v="FTS-5"/>
    <s v="CF"/>
    <x v="41"/>
    <s v="GS-1"/>
    <x v="6"/>
    <s v="GS-1"/>
    <x v="6"/>
    <x v="6"/>
    <s v="CFG-CFG - Firm Transportation Service - 5-GS-1"/>
    <x v="6"/>
    <s v="CF &amp; FN"/>
    <n v="707"/>
    <n v="380"/>
    <n v="40"/>
    <m/>
    <n v="0.25567000000000001"/>
    <n v="0.1658"/>
    <n v="0.70123999999999997"/>
    <m/>
    <m/>
    <n v="8.9869999999999992E-2"/>
    <m/>
    <m/>
    <m/>
    <m/>
    <n v="4560"/>
    <n v="117.2206"/>
    <n v="63.538089999999997"/>
    <n v="0"/>
    <n v="0"/>
    <n v="0"/>
    <n v="4740.7586899999997"/>
    <m/>
    <n v="480"/>
    <n v="495.77668"/>
    <m/>
    <n v="0"/>
    <n v="0"/>
    <n v="0"/>
    <n v="975.77667999999994"/>
    <n v="-3764.9820099999997"/>
    <n v="-0.79417288585933066"/>
    <m/>
    <n v="2"/>
    <n v="9.4206311822892137E-4"/>
    <m/>
    <n v="-3.55"/>
    <n v="-6.9999999999999999E-4"/>
    <m/>
    <m/>
  </r>
  <r>
    <x v="3"/>
    <x v="1"/>
    <s v="FTS-6"/>
    <s v="CF"/>
    <x v="42"/>
    <s v="GS-2"/>
    <x v="3"/>
    <s v="GS-2"/>
    <x v="3"/>
    <x v="3"/>
    <s v="CFG-CFG - Firm Transportation Service - 6-GS-2"/>
    <x v="3"/>
    <s v="CF &amp; FN"/>
    <n v="3857"/>
    <n v="600"/>
    <n v="70"/>
    <m/>
    <n v="0.20905000000000001"/>
    <n v="0.15137"/>
    <n v="0.69901999999999997"/>
    <m/>
    <m/>
    <n v="5.7680000000000009E-2"/>
    <m/>
    <m/>
    <m/>
    <m/>
    <n v="7200"/>
    <n v="583.83409000000006"/>
    <n v="222.47176000000005"/>
    <n v="0"/>
    <n v="0"/>
    <n v="0"/>
    <n v="8006.3058500000006"/>
    <m/>
    <n v="840"/>
    <n v="2696.12014"/>
    <m/>
    <n v="0"/>
    <n v="0"/>
    <n v="0"/>
    <n v="3536.12014"/>
    <n v="-4470.1857100000007"/>
    <n v="-0.55833311813837339"/>
    <m/>
    <n v="2"/>
    <n v="8.0840743734842356E-4"/>
    <m/>
    <n v="-3.61"/>
    <n v="-5.0000000000000001E-4"/>
    <m/>
    <m/>
  </r>
  <r>
    <x v="3"/>
    <x v="1"/>
    <s v="FTS-6"/>
    <s v="CF"/>
    <x v="42"/>
    <s v="GS-3"/>
    <x v="4"/>
    <s v="GS-3"/>
    <x v="4"/>
    <x v="4"/>
    <s v="CFG-CFG - Firm Transportation Service - 6-GS-3"/>
    <x v="4"/>
    <s v="CF &amp; FN"/>
    <n v="6530"/>
    <n v="600"/>
    <n v="150"/>
    <m/>
    <n v="0.20905000000000001"/>
    <n v="0.15137"/>
    <n v="0.62475000000000003"/>
    <m/>
    <m/>
    <n v="5.7680000000000009E-2"/>
    <m/>
    <m/>
    <m/>
    <m/>
    <n v="7200"/>
    <n v="988.4461"/>
    <n v="376.65040000000005"/>
    <n v="0"/>
    <n v="0"/>
    <n v="0"/>
    <n v="8565.0964999999997"/>
    <m/>
    <n v="1800"/>
    <n v="4079.6175000000003"/>
    <m/>
    <n v="0"/>
    <n v="0"/>
    <n v="0"/>
    <n v="5879.6175000000003"/>
    <n v="-2685.4789999999994"/>
    <n v="-0.31353750655348711"/>
    <m/>
    <n v="4"/>
    <n v="2.4984384759525295E-3"/>
    <m/>
    <n v="-6.71"/>
    <n v="-8.0000000000000004E-4"/>
    <m/>
    <m/>
  </r>
  <r>
    <x v="3"/>
    <x v="1"/>
    <s v="FTS-6"/>
    <s v="CF"/>
    <x v="42"/>
    <s v="GS-4"/>
    <x v="5"/>
    <s v="GS-4"/>
    <x v="5"/>
    <x v="5"/>
    <s v="CFG-CFG - Firm Transportation Service - 6-GS-4"/>
    <x v="5"/>
    <s v="CF &amp; FN"/>
    <n v="41456"/>
    <n v="600"/>
    <n v="275"/>
    <m/>
    <n v="0.20905000000000001"/>
    <n v="0.15137"/>
    <n v="0.59182999999999997"/>
    <m/>
    <m/>
    <n v="5.7680000000000009E-2"/>
    <m/>
    <m/>
    <m/>
    <m/>
    <n v="7200"/>
    <n v="6275.1947200000004"/>
    <n v="2391.1820800000005"/>
    <n v="0"/>
    <n v="0"/>
    <n v="0"/>
    <n v="15866.3768"/>
    <m/>
    <n v="3300"/>
    <n v="24534.904479999997"/>
    <m/>
    <n v="0"/>
    <n v="0"/>
    <n v="0"/>
    <n v="27834.904479999997"/>
    <n v="11968.527679999997"/>
    <n v="0.75433275226389418"/>
    <m/>
    <n v="9"/>
    <n v="6.4516129032258064E-3"/>
    <m/>
    <n v="77.22"/>
    <n v="4.8999999999999998E-3"/>
    <m/>
    <m/>
  </r>
  <r>
    <x v="3"/>
    <x v="1"/>
    <s v="FTS-6"/>
    <s v="CF"/>
    <x v="42"/>
    <s v="GS-5"/>
    <x v="7"/>
    <s v="GS-5"/>
    <x v="7"/>
    <x v="7"/>
    <s v="CFG-CFG - Firm Transportation Service - 6-GS-5"/>
    <x v="7"/>
    <s v="CF &amp; FN"/>
    <n v="106491"/>
    <n v="600"/>
    <n v="750"/>
    <m/>
    <n v="0.20905000000000001"/>
    <n v="0.15137"/>
    <n v="0.52"/>
    <m/>
    <m/>
    <n v="5.7680000000000009E-2"/>
    <m/>
    <m/>
    <m/>
    <m/>
    <n v="7200"/>
    <n v="16119.542670000001"/>
    <n v="6142.4008800000011"/>
    <n v="0"/>
    <n v="0"/>
    <n v="0"/>
    <n v="29461.943550000004"/>
    <m/>
    <n v="9000"/>
    <n v="55375.32"/>
    <m/>
    <n v="0"/>
    <n v="0"/>
    <n v="0"/>
    <n v="64375.32"/>
    <n v="34913.376449999996"/>
    <n v="1.1850330373061893"/>
    <m/>
    <n v="13"/>
    <n v="0.11504424778761062"/>
    <m/>
    <n v="4016.58"/>
    <n v="0.1363"/>
    <m/>
    <m/>
  </r>
  <r>
    <x v="3"/>
    <x v="1"/>
    <s v="FTS-6"/>
    <s v="CF"/>
    <x v="42"/>
    <s v="GS-7"/>
    <x v="12"/>
    <s v="GS-7"/>
    <x v="12"/>
    <x v="10"/>
    <s v="CFG-CFG - Firm Transportation Service - 6-GS-7"/>
    <x v="12"/>
    <s v="CF &amp; FN"/>
    <n v="690294"/>
    <n v="600"/>
    <n v="4500"/>
    <m/>
    <n v="0.20905000000000001"/>
    <n v="0.15137"/>
    <n v="0.38796999999999998"/>
    <m/>
    <m/>
    <n v="5.7680000000000009E-2"/>
    <m/>
    <m/>
    <m/>
    <m/>
    <n v="7200"/>
    <n v="104489.80278"/>
    <n v="39816.157920000005"/>
    <n v="0"/>
    <n v="0"/>
    <n v="0"/>
    <n v="151505.9607"/>
    <m/>
    <n v="54000"/>
    <n v="267813.36317999999"/>
    <m/>
    <n v="0"/>
    <n v="0"/>
    <n v="0"/>
    <n v="321813.36317999999"/>
    <n v="170307.40247999999"/>
    <n v="1.1240970433977122"/>
    <m/>
    <n v="1"/>
    <n v="8.3333333333333329E-2"/>
    <m/>
    <n v="14192.28"/>
    <n v="9.3700000000000006E-2"/>
    <m/>
    <m/>
  </r>
  <r>
    <x v="3"/>
    <x v="1"/>
    <s v="FTS-6"/>
    <s v="CF"/>
    <x v="42"/>
    <s v="GS-1"/>
    <x v="6"/>
    <s v="GS-1"/>
    <x v="6"/>
    <x v="6"/>
    <s v="CFG-CFG - Firm Transportation Service - 6-GS-1"/>
    <x v="6"/>
    <s v="CF &amp; FN"/>
    <n v="43"/>
    <n v="600"/>
    <n v="40"/>
    <m/>
    <n v="0.20905000000000001"/>
    <n v="0.15137"/>
    <n v="0.70123999999999997"/>
    <m/>
    <m/>
    <n v="5.7680000000000009E-2"/>
    <m/>
    <m/>
    <m/>
    <m/>
    <n v="7200"/>
    <n v="6.5089100000000002"/>
    <n v="2.4802400000000002"/>
    <n v="0"/>
    <n v="0"/>
    <n v="0"/>
    <n v="7208.9891499999994"/>
    <m/>
    <n v="480"/>
    <n v="30.153319999999997"/>
    <m/>
    <n v="0"/>
    <n v="0"/>
    <n v="0"/>
    <n v="510.15332000000001"/>
    <n v="-6698.8358299999991"/>
    <n v="-0.92923372342709099"/>
    <m/>
    <n v="1"/>
    <n v="4.7103155911446069E-4"/>
    <m/>
    <n v="-3.16"/>
    <n v="-4.0000000000000002E-4"/>
    <m/>
    <m/>
  </r>
  <r>
    <x v="3"/>
    <x v="1"/>
    <s v="FTS-7"/>
    <s v="CF"/>
    <x v="43"/>
    <s v="GS-3"/>
    <x v="4"/>
    <s v="GS-3"/>
    <x v="4"/>
    <x v="4"/>
    <s v="CFG-CFG - Firm Transportation Service - 7-GS-3"/>
    <x v="4"/>
    <s v="CF &amp; FN"/>
    <n v="5827"/>
    <n v="700"/>
    <n v="150"/>
    <m/>
    <n v="0.20016"/>
    <n v="0.123"/>
    <n v="0.62475000000000003"/>
    <m/>
    <m/>
    <n v="7.7160000000000006E-2"/>
    <m/>
    <m/>
    <m/>
    <m/>
    <n v="8400"/>
    <n v="716.721"/>
    <n v="449.61132000000003"/>
    <n v="0"/>
    <n v="0"/>
    <n v="0"/>
    <n v="9566.3323199999995"/>
    <m/>
    <n v="1800"/>
    <n v="3640.4182500000002"/>
    <m/>
    <n v="0"/>
    <n v="0"/>
    <n v="0"/>
    <n v="5440.4182500000006"/>
    <n v="-4125.9140699999989"/>
    <n v="-0.43129528977099124"/>
    <m/>
    <n v="1"/>
    <n v="6.2460961898813238E-4"/>
    <m/>
    <n v="-2.58"/>
    <n v="-2.9999999999999997E-4"/>
    <m/>
    <m/>
  </r>
  <r>
    <x v="3"/>
    <x v="1"/>
    <s v="FTS-7"/>
    <s v="CF"/>
    <x v="43"/>
    <s v="GS-4"/>
    <x v="5"/>
    <s v="GS-4"/>
    <x v="5"/>
    <x v="5"/>
    <s v="CFG-CFG - Firm Transportation Service - 7-GS-4"/>
    <x v="5"/>
    <s v="CF &amp; FN"/>
    <n v="12304"/>
    <n v="700"/>
    <n v="275"/>
    <m/>
    <n v="0.20016"/>
    <n v="0.123"/>
    <n v="0.59182999999999997"/>
    <m/>
    <m/>
    <n v="7.7160000000000006E-2"/>
    <m/>
    <m/>
    <m/>
    <m/>
    <n v="8400"/>
    <n v="1513.3920000000001"/>
    <n v="949.37664000000007"/>
    <n v="0"/>
    <n v="0"/>
    <n v="0"/>
    <n v="10862.76864"/>
    <m/>
    <n v="3300"/>
    <n v="7281.8763199999994"/>
    <m/>
    <n v="0"/>
    <n v="0"/>
    <n v="0"/>
    <n v="10581.876319999999"/>
    <n v="-280.89232000000084"/>
    <n v="-2.5858262226599427E-2"/>
    <m/>
    <n v="1"/>
    <n v="7.1684587813620072E-4"/>
    <m/>
    <n v="-0.2"/>
    <n v="0"/>
    <m/>
    <m/>
  </r>
  <r>
    <x v="3"/>
    <x v="1"/>
    <s v="FTS-7"/>
    <s v="CF"/>
    <x v="43"/>
    <s v="GS-5"/>
    <x v="7"/>
    <s v="GS-5"/>
    <x v="7"/>
    <x v="7"/>
    <s v="CFG-CFG - Firm Transportation Service - 7-GS-5"/>
    <x v="7"/>
    <s v="CF &amp; FN"/>
    <n v="131677"/>
    <n v="700"/>
    <n v="750"/>
    <m/>
    <n v="0.20016"/>
    <n v="0.123"/>
    <n v="0.52"/>
    <m/>
    <m/>
    <n v="7.7160000000000006E-2"/>
    <m/>
    <m/>
    <m/>
    <m/>
    <n v="8400"/>
    <n v="16196.271000000001"/>
    <n v="10160.197320000001"/>
    <n v="0"/>
    <n v="0"/>
    <n v="0"/>
    <n v="34756.46832"/>
    <m/>
    <n v="9000"/>
    <n v="68472.040000000008"/>
    <m/>
    <n v="0"/>
    <n v="0"/>
    <n v="0"/>
    <n v="77472.040000000008"/>
    <n v="42715.571680000008"/>
    <n v="1.228996320532949"/>
    <m/>
    <n v="20"/>
    <n v="0.17699115044247787"/>
    <m/>
    <n v="7560.28"/>
    <n v="0.2175"/>
    <m/>
    <m/>
  </r>
  <r>
    <x v="3"/>
    <x v="1"/>
    <s v="FTS-7"/>
    <s v="CF"/>
    <x v="43"/>
    <s v="GS-6"/>
    <x v="11"/>
    <s v="GS-6"/>
    <x v="11"/>
    <x v="9"/>
    <s v="CFG-CFG - Firm Transportation Service - 7-GS-6"/>
    <x v="11"/>
    <s v="CF &amp; FN"/>
    <n v="325033"/>
    <n v="700"/>
    <n v="2500"/>
    <m/>
    <n v="0.20016"/>
    <n v="0.123"/>
    <n v="0.49419000000000002"/>
    <m/>
    <m/>
    <n v="7.7160000000000006E-2"/>
    <m/>
    <m/>
    <m/>
    <m/>
    <n v="8400"/>
    <n v="39979.059000000001"/>
    <n v="25079.546280000002"/>
    <n v="0"/>
    <n v="0"/>
    <n v="0"/>
    <n v="73458.605280000003"/>
    <m/>
    <n v="30000"/>
    <n v="160628.05827000001"/>
    <m/>
    <n v="0"/>
    <n v="0"/>
    <n v="0"/>
    <n v="190628.05827000001"/>
    <n v="117169.45299000001"/>
    <n v="1.5950405339631573"/>
    <m/>
    <n v="3"/>
    <n v="8.8235294117647065E-2"/>
    <m/>
    <n v="10338.48"/>
    <n v="0.14069999999999999"/>
    <m/>
    <m/>
  </r>
  <r>
    <x v="3"/>
    <x v="1"/>
    <s v="FTS-7"/>
    <s v="CF"/>
    <x v="43"/>
    <s v="GS-7"/>
    <x v="12"/>
    <s v="GS-7"/>
    <x v="12"/>
    <x v="10"/>
    <s v="CFG-CFG - Firm Transportation Service - 7-GS-7"/>
    <x v="12"/>
    <s v="CF &amp; FN"/>
    <n v="667664"/>
    <n v="700"/>
    <n v="4500"/>
    <m/>
    <n v="0.20016"/>
    <n v="0.123"/>
    <n v="0.38796999999999998"/>
    <m/>
    <m/>
    <n v="7.7160000000000006E-2"/>
    <m/>
    <m/>
    <m/>
    <m/>
    <n v="8400"/>
    <n v="82122.672000000006"/>
    <n v="51516.954240000006"/>
    <n v="0"/>
    <n v="0"/>
    <n v="0"/>
    <n v="142039.62624000001"/>
    <m/>
    <n v="54000"/>
    <n v="259033.60207999998"/>
    <m/>
    <n v="0"/>
    <n v="0"/>
    <n v="0"/>
    <n v="313033.60207999998"/>
    <n v="170993.97583999997"/>
    <n v="1.2038469852847731"/>
    <m/>
    <n v="1"/>
    <n v="8.3333333333333329E-2"/>
    <m/>
    <n v="14249.5"/>
    <n v="0.1003"/>
    <m/>
    <m/>
  </r>
  <r>
    <x v="3"/>
    <x v="1"/>
    <s v="FTS-8"/>
    <s v="CF"/>
    <x v="44"/>
    <s v="GS-5"/>
    <x v="7"/>
    <s v="GS-5"/>
    <x v="7"/>
    <x v="7"/>
    <s v="CFG-CFG - Firm Transportation Service - 8-GS-5"/>
    <x v="7"/>
    <s v="CF &amp; FN"/>
    <n v="164505"/>
    <n v="1200"/>
    <n v="750"/>
    <m/>
    <n v="0.19342000000000001"/>
    <n v="0.11024"/>
    <n v="0.52"/>
    <m/>
    <m/>
    <n v="8.3180000000000004E-2"/>
    <m/>
    <m/>
    <m/>
    <m/>
    <n v="14400"/>
    <n v="18135.031200000001"/>
    <n v="13683.525900000001"/>
    <n v="0"/>
    <n v="0"/>
    <n v="0"/>
    <n v="46218.557100000005"/>
    <m/>
    <n v="9000"/>
    <n v="85542.6"/>
    <m/>
    <n v="0"/>
    <n v="0"/>
    <n v="0"/>
    <n v="94542.6"/>
    <n v="48324.0429"/>
    <n v="1.045554987695624"/>
    <m/>
    <n v="6"/>
    <n v="5.3097345132743362E-2"/>
    <m/>
    <n v="2565.88"/>
    <n v="5.5500000000000001E-2"/>
    <m/>
    <m/>
  </r>
  <r>
    <x v="3"/>
    <x v="1"/>
    <s v="FTS-8"/>
    <s v="CF"/>
    <x v="44"/>
    <s v="GS-6"/>
    <x v="11"/>
    <s v="GS-6"/>
    <x v="11"/>
    <x v="9"/>
    <s v="CFG-CFG - Firm Transportation Service - 8-GS-6"/>
    <x v="11"/>
    <s v="CF &amp; FN"/>
    <n v="347005"/>
    <n v="1200"/>
    <n v="2500"/>
    <m/>
    <n v="0.19342000000000001"/>
    <n v="0.11024"/>
    <n v="0.49419000000000002"/>
    <m/>
    <m/>
    <n v="8.3180000000000004E-2"/>
    <m/>
    <m/>
    <m/>
    <m/>
    <n v="14400"/>
    <n v="38253.831200000001"/>
    <n v="28863.875900000003"/>
    <n v="0"/>
    <n v="0"/>
    <n v="0"/>
    <n v="81517.7071"/>
    <m/>
    <n v="30000"/>
    <n v="171486.40095000001"/>
    <m/>
    <n v="0"/>
    <n v="0"/>
    <n v="0"/>
    <n v="201486.40095000001"/>
    <n v="119968.69385000001"/>
    <n v="1.4716887669918284"/>
    <m/>
    <n v="13"/>
    <n v="0.38235294117647056"/>
    <m/>
    <n v="45870.38"/>
    <n v="0.56269999999999998"/>
    <m/>
    <m/>
  </r>
  <r>
    <x v="3"/>
    <x v="1"/>
    <s v="FTS-9"/>
    <s v="CF"/>
    <x v="45"/>
    <s v="GS-4"/>
    <x v="5"/>
    <s v="GS-4"/>
    <x v="5"/>
    <x v="5"/>
    <s v="CFG-CFG - Firm Transportation Service - 9-GS-4"/>
    <x v="5"/>
    <s v="CF &amp; FN"/>
    <n v="24459"/>
    <n v="2000"/>
    <n v="275"/>
    <m/>
    <n v="0.22033"/>
    <n v="9.1329999999999995E-2"/>
    <n v="0.59182999999999997"/>
    <m/>
    <m/>
    <n v="0.129"/>
    <m/>
    <m/>
    <m/>
    <m/>
    <n v="24000"/>
    <n v="2233.8404699999996"/>
    <n v="3155.2110000000002"/>
    <n v="0"/>
    <n v="0"/>
    <n v="0"/>
    <n v="29389.051469999999"/>
    <m/>
    <n v="3300"/>
    <n v="14475.569969999999"/>
    <m/>
    <n v="0"/>
    <n v="0"/>
    <n v="0"/>
    <n v="17775.569969999997"/>
    <n v="-11613.481500000002"/>
    <n v="-0.39516353604861687"/>
    <m/>
    <n v="1"/>
    <n v="7.1684587813620072E-4"/>
    <m/>
    <n v="-8.33"/>
    <n v="-2.9999999999999997E-4"/>
    <m/>
    <m/>
  </r>
  <r>
    <x v="3"/>
    <x v="1"/>
    <s v="FTS-9"/>
    <s v="CF"/>
    <x v="45"/>
    <s v="GS-5"/>
    <x v="7"/>
    <s v="GS-5"/>
    <x v="7"/>
    <x v="7"/>
    <s v="CFG-CFG - Firm Transportation Service - 9-GS-5"/>
    <x v="7"/>
    <s v="CF &amp; FN"/>
    <n v="128709"/>
    <n v="2000"/>
    <n v="750"/>
    <m/>
    <n v="0.22033"/>
    <n v="9.1329999999999995E-2"/>
    <n v="0.52"/>
    <m/>
    <m/>
    <n v="0.129"/>
    <m/>
    <m/>
    <m/>
    <m/>
    <n v="24000"/>
    <n v="11754.992969999999"/>
    <n v="16603.460999999999"/>
    <n v="0"/>
    <n v="0"/>
    <n v="0"/>
    <n v="52358.453970000002"/>
    <m/>
    <n v="9000"/>
    <n v="66928.680000000008"/>
    <m/>
    <n v="0"/>
    <n v="0"/>
    <n v="0"/>
    <n v="75928.680000000008"/>
    <n v="23570.226030000005"/>
    <n v="0.45017039738234282"/>
    <m/>
    <n v="1"/>
    <n v="8.8495575221238937E-3"/>
    <m/>
    <n v="208.59"/>
    <n v="4.0000000000000001E-3"/>
    <m/>
    <m/>
  </r>
  <r>
    <x v="3"/>
    <x v="1"/>
    <s v="FTS-9"/>
    <s v="CF"/>
    <x v="45"/>
    <s v="GS-6"/>
    <x v="11"/>
    <s v="GS-6"/>
    <x v="11"/>
    <x v="9"/>
    <s v="CFG-CFG - Firm Transportation Service - 9-GS-6"/>
    <x v="11"/>
    <s v="CF &amp; FN"/>
    <n v="481287"/>
    <n v="2000"/>
    <n v="2500"/>
    <m/>
    <n v="0.22033"/>
    <n v="9.1329999999999995E-2"/>
    <n v="0.49419000000000002"/>
    <m/>
    <m/>
    <n v="0.129"/>
    <m/>
    <m/>
    <m/>
    <m/>
    <n v="24000"/>
    <n v="43955.941709999999"/>
    <n v="62086.023000000001"/>
    <n v="0"/>
    <n v="0"/>
    <n v="0"/>
    <n v="130041.96471"/>
    <m/>
    <n v="30000"/>
    <n v="237847.22253"/>
    <m/>
    <n v="0"/>
    <n v="0"/>
    <n v="0"/>
    <n v="267847.22253000003"/>
    <n v="137805.25782000003"/>
    <n v="1.0596983683483447"/>
    <m/>
    <n v="2"/>
    <n v="5.8823529411764705E-2"/>
    <m/>
    <n v="8106.19"/>
    <n v="6.2300000000000001E-2"/>
    <m/>
    <m/>
  </r>
  <r>
    <x v="3"/>
    <x v="1"/>
    <s v="FTS-9"/>
    <s v="CF"/>
    <x v="45"/>
    <s v="GS-7"/>
    <x v="12"/>
    <s v="GS-7"/>
    <x v="12"/>
    <x v="10"/>
    <s v="CFG-CFG - Firm Transportation Service - 9-GS-7"/>
    <x v="12"/>
    <s v="CF &amp; FN"/>
    <n v="862528"/>
    <n v="2000"/>
    <n v="4500"/>
    <m/>
    <n v="0.22033"/>
    <n v="9.1329999999999995E-2"/>
    <n v="0.38796999999999998"/>
    <m/>
    <m/>
    <n v="0.129"/>
    <m/>
    <m/>
    <m/>
    <m/>
    <n v="24000"/>
    <n v="78774.682239999995"/>
    <n v="111266.11200000001"/>
    <n v="0"/>
    <n v="0"/>
    <n v="0"/>
    <n v="214040.79424000002"/>
    <m/>
    <n v="54000"/>
    <n v="334634.98816000001"/>
    <m/>
    <n v="0"/>
    <n v="0"/>
    <n v="0"/>
    <n v="388634.98816000001"/>
    <n v="174594.19391999999"/>
    <n v="0.81570522357635589"/>
    <m/>
    <n v="3"/>
    <n v="0.25"/>
    <m/>
    <n v="43648.55"/>
    <n v="0.2039"/>
    <m/>
    <m/>
  </r>
  <r>
    <x v="3"/>
    <x v="0"/>
    <s v="FTS-A"/>
    <s v="CF"/>
    <x v="46"/>
    <s v="RES-2"/>
    <x v="0"/>
    <s v="RES-2"/>
    <x v="0"/>
    <x v="0"/>
    <s v="CFG-CFG - Firm Transportation Service - A (Fixed Residential)-RES-2"/>
    <x v="0"/>
    <s v="CF &amp; FN"/>
    <n v="142"/>
    <n v="17"/>
    <n v="19.5"/>
    <m/>
    <n v="0.71307000000000009"/>
    <n v="0"/>
    <n v="0.65271999999999997"/>
    <m/>
    <m/>
    <n v="0.71307000000000009"/>
    <m/>
    <m/>
    <m/>
    <m/>
    <n v="204"/>
    <n v="0"/>
    <n v="101.25594000000001"/>
    <n v="0"/>
    <n v="0"/>
    <n v="0"/>
    <n v="305.25594000000001"/>
    <m/>
    <n v="234"/>
    <n v="92.686239999999998"/>
    <m/>
    <n v="0"/>
    <n v="0"/>
    <n v="0"/>
    <n v="326.68624"/>
    <n v="21.430299999999988"/>
    <n v="7.0204366866702048E-2"/>
    <m/>
    <n v="5"/>
    <n v="1.3511687609782462E-4"/>
    <m/>
    <n v="0"/>
    <n v="0"/>
    <m/>
    <m/>
  </r>
  <r>
    <x v="3"/>
    <x v="0"/>
    <s v="FTS-A"/>
    <s v="CF"/>
    <x v="46"/>
    <s v="RES-3"/>
    <x v="1"/>
    <s v="RES-3"/>
    <x v="1"/>
    <x v="1"/>
    <s v="CFG-CFG - Firm Transportation Service - A (Fixed Residential)-RES-3"/>
    <x v="1"/>
    <s v="CF &amp; FN"/>
    <n v="247"/>
    <n v="17"/>
    <n v="26.5"/>
    <m/>
    <n v="0.71307000000000009"/>
    <n v="0"/>
    <n v="0.65386"/>
    <m/>
    <m/>
    <n v="0.71307000000000009"/>
    <m/>
    <m/>
    <m/>
    <m/>
    <n v="204"/>
    <n v="0"/>
    <n v="176.12829000000002"/>
    <n v="0"/>
    <n v="0"/>
    <n v="0"/>
    <n v="380.12828999999999"/>
    <m/>
    <n v="318"/>
    <n v="161.50342000000001"/>
    <m/>
    <n v="0"/>
    <n v="0"/>
    <n v="0"/>
    <n v="479.50342000000001"/>
    <n v="99.375130000000013"/>
    <n v="0.26142524146255997"/>
    <m/>
    <n v="1"/>
    <n v="5.1735733871384965E-5"/>
    <m/>
    <n v="0.01"/>
    <n v="0"/>
    <m/>
    <m/>
  </r>
  <r>
    <x v="3"/>
    <x v="0"/>
    <s v="FTS-A"/>
    <s v="CF"/>
    <x v="46"/>
    <s v="RES-1"/>
    <x v="2"/>
    <s v="RES-1"/>
    <x v="2"/>
    <x v="2"/>
    <s v="CFG-CFG - Firm Transportation Service - A (Fixed Residential)-RES-1"/>
    <x v="2"/>
    <s v="CF &amp; FN"/>
    <n v="67"/>
    <n v="17"/>
    <n v="16.5"/>
    <m/>
    <n v="0.71307000000000009"/>
    <n v="0"/>
    <n v="0.65229000000000004"/>
    <m/>
    <m/>
    <n v="0.71307000000000009"/>
    <m/>
    <m/>
    <m/>
    <m/>
    <n v="204"/>
    <n v="0"/>
    <n v="47.775690000000004"/>
    <n v="0"/>
    <n v="0"/>
    <n v="0"/>
    <n v="251.77569"/>
    <m/>
    <n v="198"/>
    <n v="43.703430000000004"/>
    <m/>
    <n v="0"/>
    <n v="0"/>
    <n v="0"/>
    <n v="241.70343"/>
    <n v="-10.07226"/>
    <n v="-4.0004894833174723E-2"/>
    <m/>
    <n v="24"/>
    <n v="8.6253369272237194E-4"/>
    <m/>
    <n v="-0.01"/>
    <n v="0"/>
    <m/>
    <m/>
  </r>
  <r>
    <x v="3"/>
    <x v="1"/>
    <s v="FTS-A"/>
    <s v="CF"/>
    <x v="47"/>
    <s v="GS-1"/>
    <x v="6"/>
    <s v="GS-1"/>
    <x v="6"/>
    <x v="6"/>
    <s v="CFG-CFG - Firm Transportation Service - A Non-Residential-GS-1"/>
    <x v="6"/>
    <s v="CF &amp; FN"/>
    <n v="35"/>
    <n v="13"/>
    <n v="40"/>
    <m/>
    <n v="1.17665"/>
    <n v="0.46357999999999999"/>
    <n v="0.70123999999999997"/>
    <m/>
    <m/>
    <n v="0.71307000000000009"/>
    <m/>
    <m/>
    <m/>
    <m/>
    <n v="156"/>
    <n v="16.225300000000001"/>
    <n v="24.957450000000001"/>
    <n v="0"/>
    <n v="0"/>
    <n v="0"/>
    <n v="197.18275"/>
    <m/>
    <n v="480"/>
    <n v="24.543399999999998"/>
    <m/>
    <n v="0"/>
    <n v="0"/>
    <n v="0"/>
    <n v="504.54340000000002"/>
    <n v="307.36065000000002"/>
    <n v="1.5587603378084545"/>
    <m/>
    <n v="9"/>
    <n v="4.2392840320301462E-3"/>
    <m/>
    <n v="1.3"/>
    <n v="6.6E-3"/>
    <m/>
    <m/>
  </r>
  <r>
    <x v="3"/>
    <x v="0"/>
    <s v="FTS-A"/>
    <s v="CF"/>
    <x v="48"/>
    <s v="RES-2"/>
    <x v="0"/>
    <s v="RES-2"/>
    <x v="0"/>
    <x v="0"/>
    <s v="CFG-CFG - Firm Transportation Service - A Residential-RES-2"/>
    <x v="0"/>
    <s v="CF &amp; FN"/>
    <n v="139"/>
    <n v="13"/>
    <n v="19.5"/>
    <m/>
    <n v="1.17665"/>
    <n v="0.46357999999999999"/>
    <n v="0.65271999999999997"/>
    <m/>
    <m/>
    <n v="0.71307000000000009"/>
    <m/>
    <m/>
    <m/>
    <m/>
    <n v="156"/>
    <n v="64.437619999999995"/>
    <n v="99.116730000000018"/>
    <n v="0"/>
    <n v="0"/>
    <n v="0"/>
    <n v="319.55435"/>
    <m/>
    <n v="234"/>
    <n v="90.728079999999991"/>
    <m/>
    <n v="0"/>
    <n v="0"/>
    <n v="0"/>
    <n v="324.72807999999998"/>
    <n v="5.1737299999999777"/>
    <n v="1.6190453986935173E-2"/>
    <m/>
    <n v="285"/>
    <n v="7.7016619375760032E-3"/>
    <m/>
    <n v="0.04"/>
    <n v="1E-4"/>
    <m/>
    <m/>
  </r>
  <r>
    <x v="3"/>
    <x v="0"/>
    <s v="FTS-A"/>
    <s v="CF"/>
    <x v="48"/>
    <s v="RES-3"/>
    <x v="1"/>
    <s v="RES-3"/>
    <x v="1"/>
    <x v="1"/>
    <s v="CFG-CFG - Firm Transportation Service - A Residential-RES-3"/>
    <x v="1"/>
    <s v="CF &amp; FN"/>
    <n v="449"/>
    <n v="13"/>
    <n v="26.5"/>
    <m/>
    <n v="1.17665"/>
    <n v="0.46357999999999999"/>
    <n v="0.65386"/>
    <m/>
    <m/>
    <n v="0.71307000000000009"/>
    <m/>
    <m/>
    <m/>
    <m/>
    <n v="156"/>
    <n v="208.14741999999998"/>
    <n v="320.16843000000006"/>
    <n v="0"/>
    <n v="0"/>
    <n v="0"/>
    <n v="684.31585000000007"/>
    <m/>
    <n v="318"/>
    <n v="293.58314000000001"/>
    <m/>
    <n v="0"/>
    <n v="0"/>
    <n v="0"/>
    <n v="611.58313999999996"/>
    <n v="-72.732710000000111"/>
    <n v="-0.1062852920913641"/>
    <m/>
    <n v="14"/>
    <n v="7.2430027419938953E-4"/>
    <m/>
    <n v="-0.05"/>
    <n v="-1E-4"/>
    <m/>
    <m/>
  </r>
  <r>
    <x v="3"/>
    <x v="0"/>
    <s v="FTS-A"/>
    <s v="CF"/>
    <x v="48"/>
    <s v="RES-1"/>
    <x v="2"/>
    <s v="RES-1"/>
    <x v="2"/>
    <x v="2"/>
    <s v="CFG-CFG - Firm Transportation Service - A Residential-RES-1"/>
    <x v="2"/>
    <s v="CF &amp; FN"/>
    <n v="55"/>
    <n v="13"/>
    <n v="16.5"/>
    <m/>
    <n v="1.17665"/>
    <n v="0.46357999999999999"/>
    <n v="0.65229000000000004"/>
    <m/>
    <m/>
    <n v="0.71307000000000009"/>
    <m/>
    <m/>
    <m/>
    <m/>
    <n v="156"/>
    <n v="25.4969"/>
    <n v="39.218850000000003"/>
    <n v="0"/>
    <n v="0"/>
    <n v="0"/>
    <n v="220.71575000000001"/>
    <m/>
    <n v="198"/>
    <n v="35.875950000000003"/>
    <m/>
    <n v="0"/>
    <n v="0"/>
    <n v="0"/>
    <n v="233.87594999999999"/>
    <n v="13.160199999999975"/>
    <n v="5.962510604703096E-2"/>
    <m/>
    <n v="804"/>
    <n v="2.8894878706199462E-2"/>
    <m/>
    <n v="0.38"/>
    <n v="1.6999999999999999E-3"/>
    <m/>
    <m/>
  </r>
  <r>
    <x v="3"/>
    <x v="1"/>
    <s v="FTS-B"/>
    <s v="CF"/>
    <x v="49"/>
    <s v="GS-1"/>
    <x v="6"/>
    <s v="GS-1"/>
    <x v="6"/>
    <x v="6"/>
    <s v="CFG-CFG - Firm Transportation Service - B (Fixed Non-Residential)-GS-1"/>
    <x v="6"/>
    <s v="CF &amp; FN"/>
    <n v="17"/>
    <n v="23"/>
    <n v="40"/>
    <m/>
    <n v="0.21507999999999991"/>
    <n v="0"/>
    <n v="0.70123999999999997"/>
    <m/>
    <m/>
    <n v="0.21507999999999991"/>
    <m/>
    <m/>
    <m/>
    <m/>
    <n v="276"/>
    <n v="0"/>
    <n v="3.6563599999999985"/>
    <n v="0"/>
    <n v="0"/>
    <n v="0"/>
    <n v="279.65636000000001"/>
    <m/>
    <n v="480"/>
    <n v="11.92108"/>
    <m/>
    <n v="0"/>
    <n v="0"/>
    <n v="0"/>
    <n v="491.92108000000002"/>
    <n v="212.26472000000001"/>
    <n v="0.7590198198961039"/>
    <m/>
    <n v="1"/>
    <n v="4.7103155911446069E-4"/>
    <m/>
    <n v="0.1"/>
    <n v="4.0000000000000002E-4"/>
    <m/>
    <m/>
  </r>
  <r>
    <x v="3"/>
    <x v="0"/>
    <s v="FTS-B"/>
    <s v="CF"/>
    <x v="50"/>
    <s v="RES-2"/>
    <x v="0"/>
    <s v="RES-2"/>
    <x v="0"/>
    <x v="0"/>
    <s v="CFG-CFG - Firm Transportation Service - B (Fixed Residential)-RES-2"/>
    <x v="0"/>
    <s v="CF &amp; FN"/>
    <n v="144"/>
    <n v="23"/>
    <n v="19.5"/>
    <m/>
    <n v="0.21507999999999991"/>
    <n v="0"/>
    <n v="0.65271999999999997"/>
    <m/>
    <m/>
    <n v="0.21507999999999991"/>
    <m/>
    <m/>
    <m/>
    <m/>
    <n v="276"/>
    <n v="0"/>
    <n v="30.971519999999988"/>
    <n v="0"/>
    <n v="0"/>
    <n v="0"/>
    <n v="306.97152"/>
    <m/>
    <n v="234"/>
    <n v="93.991680000000002"/>
    <m/>
    <n v="0"/>
    <n v="0"/>
    <n v="0"/>
    <n v="327.99167999999997"/>
    <n v="21.020159999999976"/>
    <n v="6.8475928972172972E-2"/>
    <m/>
    <n v="41"/>
    <n v="1.1079583840021619E-3"/>
    <m/>
    <n v="0.02"/>
    <n v="1E-4"/>
    <m/>
    <m/>
  </r>
  <r>
    <x v="3"/>
    <x v="0"/>
    <s v="FTS-B"/>
    <s v="CF"/>
    <x v="50"/>
    <s v="RES-3"/>
    <x v="1"/>
    <s v="RES-3"/>
    <x v="1"/>
    <x v="1"/>
    <s v="CFG-CFG - Firm Transportation Service - B (Fixed Residential)-RES-3"/>
    <x v="1"/>
    <s v="CF &amp; FN"/>
    <n v="332"/>
    <n v="23"/>
    <n v="26.5"/>
    <m/>
    <n v="0.21507999999999991"/>
    <n v="0"/>
    <n v="0.65386"/>
    <m/>
    <m/>
    <n v="0.21507999999999991"/>
    <m/>
    <m/>
    <m/>
    <m/>
    <n v="276"/>
    <n v="0"/>
    <n v="71.406559999999971"/>
    <n v="0"/>
    <n v="0"/>
    <n v="0"/>
    <n v="347.40655999999996"/>
    <m/>
    <n v="318"/>
    <n v="217.08152000000001"/>
    <m/>
    <n v="0"/>
    <n v="0"/>
    <n v="0"/>
    <n v="535.08151999999995"/>
    <n v="187.67496"/>
    <n v="0.54021708743784236"/>
    <m/>
    <n v="3"/>
    <n v="1.552072016141549E-4"/>
    <m/>
    <n v="0.03"/>
    <n v="1E-4"/>
    <m/>
    <m/>
  </r>
  <r>
    <x v="3"/>
    <x v="0"/>
    <s v="FTS-B"/>
    <s v="CF"/>
    <x v="50"/>
    <s v="RES-1"/>
    <x v="2"/>
    <s v="RES-1"/>
    <x v="2"/>
    <x v="2"/>
    <s v="CFG-CFG - Firm Transportation Service - B (Fixed Residential)-RES-1"/>
    <x v="2"/>
    <s v="CF &amp; FN"/>
    <n v="66"/>
    <n v="23"/>
    <n v="16.5"/>
    <m/>
    <n v="0.21507999999999991"/>
    <n v="0"/>
    <n v="0.65229000000000004"/>
    <m/>
    <m/>
    <n v="0.21507999999999991"/>
    <m/>
    <m/>
    <m/>
    <m/>
    <n v="276"/>
    <n v="0"/>
    <n v="14.195279999999993"/>
    <n v="0"/>
    <n v="0"/>
    <n v="0"/>
    <n v="290.19527999999997"/>
    <m/>
    <n v="198"/>
    <n v="43.051140000000004"/>
    <m/>
    <n v="0"/>
    <n v="0"/>
    <n v="0"/>
    <n v="241.05114"/>
    <n v="-49.144139999999965"/>
    <n v="-0.16934851593726807"/>
    <m/>
    <n v="17"/>
    <n v="6.109613656783468E-4"/>
    <m/>
    <n v="-0.03"/>
    <n v="-1E-4"/>
    <m/>
    <m/>
  </r>
  <r>
    <x v="3"/>
    <x v="1"/>
    <s v="FTS-B"/>
    <s v="CF"/>
    <x v="51"/>
    <s v="GS-1"/>
    <x v="6"/>
    <s v="GS-1"/>
    <x v="6"/>
    <x v="6"/>
    <s v="CFG-CFG - Firm Transportation Service - B Non-Residential-GS-1"/>
    <x v="6"/>
    <s v="CF &amp; FN"/>
    <n v="116"/>
    <n v="15.5"/>
    <n v="40"/>
    <m/>
    <n v="0.7079399999999999"/>
    <n v="0.49286000000000002"/>
    <n v="0.70123999999999997"/>
    <m/>
    <m/>
    <n v="0.21507999999999991"/>
    <m/>
    <m/>
    <m/>
    <m/>
    <n v="186"/>
    <n v="57.171759999999999"/>
    <n v="24.949279999999991"/>
    <n v="0"/>
    <n v="0"/>
    <n v="0"/>
    <n v="268.12103999999999"/>
    <m/>
    <n v="480"/>
    <n v="81.34384"/>
    <m/>
    <n v="0"/>
    <n v="0"/>
    <n v="0"/>
    <n v="561.34384"/>
    <n v="293.22280000000001"/>
    <n v="1.0936210004257778"/>
    <m/>
    <n v="5"/>
    <n v="2.3551577955723034E-3"/>
    <m/>
    <n v="0.69"/>
    <n v="2.5999999999999999E-3"/>
    <m/>
    <m/>
  </r>
  <r>
    <x v="3"/>
    <x v="0"/>
    <s v="FTS-B"/>
    <s v="CF"/>
    <x v="52"/>
    <s v="RES-2"/>
    <x v="0"/>
    <s v="RES-2"/>
    <x v="0"/>
    <x v="0"/>
    <s v="CFG-CFG - Firm Transportation Service - B Residential-RES-2"/>
    <x v="0"/>
    <s v="CF &amp; FN"/>
    <n v="150"/>
    <n v="15.5"/>
    <n v="19.5"/>
    <m/>
    <n v="0.7079399999999999"/>
    <n v="0.49286000000000002"/>
    <n v="0.65271999999999997"/>
    <m/>
    <m/>
    <n v="0.21507999999999991"/>
    <m/>
    <m/>
    <m/>
    <m/>
    <n v="186"/>
    <n v="73.929000000000002"/>
    <n v="32.261999999999986"/>
    <n v="0"/>
    <n v="0"/>
    <n v="0"/>
    <n v="292.19099999999997"/>
    <m/>
    <n v="234"/>
    <n v="97.908000000000001"/>
    <m/>
    <n v="0"/>
    <n v="0"/>
    <n v="0"/>
    <n v="331.90800000000002"/>
    <n v="39.717000000000041"/>
    <n v="0.13592821134121189"/>
    <m/>
    <n v="1243"/>
    <n v="3.3590055397919198E-2"/>
    <m/>
    <n v="1.33"/>
    <n v="4.5999999999999999E-3"/>
    <m/>
    <m/>
  </r>
  <r>
    <x v="3"/>
    <x v="0"/>
    <s v="FTS-B"/>
    <s v="CF"/>
    <x v="52"/>
    <s v="RES-3"/>
    <x v="1"/>
    <s v="RES-3"/>
    <x v="1"/>
    <x v="1"/>
    <s v="CFG-CFG - Firm Transportation Service - B Residential-RES-3"/>
    <x v="1"/>
    <s v="CF &amp; FN"/>
    <n v="340"/>
    <n v="15.5"/>
    <n v="26.5"/>
    <m/>
    <n v="0.7079399999999999"/>
    <n v="0.49286000000000002"/>
    <n v="0.65386"/>
    <m/>
    <m/>
    <n v="0.21507999999999991"/>
    <m/>
    <m/>
    <m/>
    <m/>
    <n v="186"/>
    <n v="167.57240000000002"/>
    <n v="73.127199999999974"/>
    <n v="0"/>
    <n v="0"/>
    <n v="0"/>
    <n v="426.69959999999998"/>
    <m/>
    <n v="318"/>
    <n v="222.3124"/>
    <m/>
    <n v="0"/>
    <n v="0"/>
    <n v="0"/>
    <n v="540.31240000000003"/>
    <n v="113.61280000000005"/>
    <n v="0.26625944809884999"/>
    <m/>
    <n v="113"/>
    <n v="5.8461379274665007E-3"/>
    <m/>
    <n v="0.66"/>
    <n v="1.6000000000000001E-3"/>
    <m/>
    <m/>
  </r>
  <r>
    <x v="3"/>
    <x v="0"/>
    <s v="FTS-B"/>
    <s v="CF"/>
    <x v="52"/>
    <s v="RES-1"/>
    <x v="2"/>
    <s v="RES-1"/>
    <x v="2"/>
    <x v="2"/>
    <s v="CFG-CFG - Firm Transportation Service - B Residential-RES-1"/>
    <x v="2"/>
    <s v="CF &amp; FN"/>
    <n v="68"/>
    <n v="15.5"/>
    <n v="16.5"/>
    <m/>
    <n v="0.7079399999999999"/>
    <n v="0.49286000000000002"/>
    <n v="0.65229000000000004"/>
    <m/>
    <m/>
    <n v="0.21507999999999991"/>
    <m/>
    <m/>
    <m/>
    <m/>
    <n v="186"/>
    <n v="33.514479999999999"/>
    <n v="14.625439999999994"/>
    <n v="0"/>
    <n v="0"/>
    <n v="0"/>
    <n v="234.13991999999999"/>
    <m/>
    <n v="198"/>
    <n v="44.355720000000005"/>
    <m/>
    <n v="0"/>
    <n v="0"/>
    <n v="0"/>
    <n v="242.35572000000002"/>
    <n v="8.21580000000003"/>
    <n v="3.508927482336216E-2"/>
    <m/>
    <n v="846"/>
    <n v="3.040431266846361E-2"/>
    <m/>
    <n v="0.25"/>
    <n v="1.1000000000000001E-3"/>
    <m/>
    <m/>
  </r>
  <r>
    <x v="3"/>
    <x v="1"/>
    <s v="NVS"/>
    <s v="CF"/>
    <x v="53"/>
    <s v="COM - NGV"/>
    <x v="14"/>
    <s v="COM - NGV"/>
    <x v="15"/>
    <x v="1"/>
    <s v="CFG-CFG - Firm Transportation Service - NGV-COM - NGV"/>
    <x v="14"/>
    <s v="CF &amp; FN"/>
    <n v="100131"/>
    <n v="100"/>
    <n v="250"/>
    <m/>
    <n v="0.22440000000000002"/>
    <n v="0.17111000000000001"/>
    <n v="0.49803999999999998"/>
    <m/>
    <m/>
    <n v="5.3290000000000004E-2"/>
    <m/>
    <m/>
    <m/>
    <m/>
    <n v="1200"/>
    <n v="17133.415410000001"/>
    <n v="5335.98099"/>
    <n v="0"/>
    <n v="0"/>
    <n v="0"/>
    <n v="23669.396400000001"/>
    <m/>
    <n v="3000"/>
    <n v="49869.243239999996"/>
    <m/>
    <n v="0"/>
    <n v="0"/>
    <n v="0"/>
    <n v="52869.243239999996"/>
    <n v="29199.846839999995"/>
    <n v="1.2336540546509245"/>
    <m/>
    <n v="1"/>
    <n v="0.33333333333333331"/>
    <m/>
    <n v="9733.2800000000007"/>
    <n v="0.41120000000000001"/>
    <m/>
    <m/>
  </r>
  <r>
    <x v="4"/>
    <x v="2"/>
    <m/>
    <m/>
    <x v="54"/>
    <m/>
    <x v="16"/>
    <m/>
    <x v="19"/>
    <x v="15"/>
    <m/>
    <x v="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4386"/>
    <m/>
    <m/>
    <m/>
    <m/>
    <m/>
    <m/>
  </r>
  <r>
    <x v="4"/>
    <x v="2"/>
    <m/>
    <m/>
    <x v="54"/>
    <m/>
    <x v="16"/>
    <m/>
    <x v="19"/>
    <x v="15"/>
    <m/>
    <x v="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20CD33-DC5C-4031-B54B-41C29FFBC9D2}" name="PivotTable4" cacheId="0" applyNumberFormats="0" applyBorderFormats="0" applyFontFormats="0" applyPatternFormats="0" applyAlignmentFormats="0" applyWidthHeightFormats="1" dataCaption="Values" updatedVersion="7" minRefreshableVersion="3" itemPrintTitles="1" createdVersion="7" indent="0" compact="0" compactData="0" gridDropZones="1" multipleFieldFilters="0">
  <location ref="A8:F47" firstHeaderRow="1" firstDataRow="2" firstDataCol="3"/>
  <pivotFields count="5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9">
        <item x="10"/>
        <item x="14"/>
        <item x="9"/>
        <item x="8"/>
        <item m="1" x="18"/>
        <item x="6"/>
        <item x="3"/>
        <item x="4"/>
        <item x="5"/>
        <item x="7"/>
        <item x="11"/>
        <item x="12"/>
        <item m="1" x="17"/>
        <item x="15"/>
        <item x="2"/>
        <item x="0"/>
        <item x="16"/>
        <item x="1"/>
        <item x="13"/>
      </items>
    </pivotField>
    <pivotField compact="0" outline="0" showAll="0"/>
    <pivotField axis="axisRow" compact="0" outline="0" showAll="0">
      <items count="21">
        <item x="10"/>
        <item x="15"/>
        <item x="9"/>
        <item x="8"/>
        <item x="6"/>
        <item x="3"/>
        <item x="4"/>
        <item x="5"/>
        <item x="7"/>
        <item x="11"/>
        <item x="12"/>
        <item x="13"/>
        <item x="14"/>
        <item x="18"/>
        <item x="2"/>
        <item x="0"/>
        <item x="1"/>
        <item x="16"/>
        <item x="19"/>
        <item x="17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17">
        <item x="2"/>
        <item x="0"/>
        <item x="1"/>
        <item x="15"/>
        <item x="6"/>
        <item x="3"/>
        <item x="4"/>
        <item x="5"/>
        <item x="7"/>
        <item x="11"/>
        <item x="12"/>
        <item x="13"/>
        <item x="10"/>
        <item x="14"/>
        <item x="9"/>
        <item x="8"/>
        <item h="1" x="16"/>
      </items>
    </pivotField>
    <pivotField axis="axisRow" compact="0" outline="0" showAll="0" insertBlankRow="1" sortType="descending" defaultSubtotal="0">
      <items count="4">
        <item x="3"/>
        <item x="1"/>
        <item x="0"/>
        <item x="2"/>
      </items>
    </pivotField>
    <pivotField compact="0" outline="0" showAll="0"/>
    <pivotField compact="0" numFmtId="171" outline="0" showAll="0"/>
    <pivotField compact="0" outline="0" showAll="0"/>
    <pivotField compact="0" outline="0" showAll="0"/>
    <pivotField compact="0" outline="0" showAll="0"/>
    <pivotField compact="0" numFmtId="168" outline="0" showAll="0"/>
    <pivotField compact="0" outline="0" showAll="0"/>
    <pivotField compact="0" outline="0" showAll="0"/>
    <pivotField compact="0" outline="0" showAll="0"/>
    <pivotField compact="0" numFmtId="168" outline="0" showAll="0"/>
    <pivotField compact="0" numFmtId="168" outline="0" showAll="0"/>
    <pivotField compact="0" numFmtId="168" outline="0" showAll="0"/>
    <pivotField compact="0" numFmtId="168" outline="0" showAll="0"/>
    <pivotField compact="0" outline="0" showAll="0"/>
    <pivotField compact="0" numFmtId="171" outline="0" showAll="0"/>
    <pivotField compact="0" numFmtId="171" outline="0" showAll="0"/>
    <pivotField compact="0" numFmtId="171" outline="0" showAll="0"/>
    <pivotField compact="0" numFmtId="171" outline="0" showAll="0"/>
    <pivotField compact="0" numFmtId="171" outline="0" showAll="0"/>
    <pivotField compact="0" numFmtId="171" outline="0" showAll="0"/>
    <pivotField compact="0" numFmtId="171" outline="0" showAll="0"/>
    <pivotField compact="0" outline="0" showAll="0"/>
    <pivotField compact="0" numFmtId="171" outline="0" showAll="0"/>
    <pivotField compact="0" numFmtId="171" outline="0" showAll="0"/>
    <pivotField compact="0" numFmtId="171" outline="0" showAll="0"/>
    <pivotField compact="0" numFmtId="171" outline="0" showAll="0"/>
    <pivotField compact="0" numFmtId="171" outline="0" showAll="0"/>
    <pivotField compact="0" numFmtId="171" outline="0" showAll="0"/>
    <pivotField compact="0" numFmtId="171" outline="0" showAll="0"/>
    <pivotField compact="0" outline="0" showAll="0"/>
    <pivotField compact="0" outline="0" showAll="0"/>
    <pivotField compact="0" outline="0" showAll="0"/>
    <pivotField dataField="1" compact="0" numFmtId="43" outline="0" showAll="0"/>
    <pivotField compact="0" numFmtId="9" outline="0" showAll="0"/>
    <pivotField compact="0" outline="0" showAll="0"/>
    <pivotField dataField="1" compact="0" numFmtId="43" outline="0" showAll="0"/>
    <pivotField dataField="1" compact="0" numFmtId="10" outline="0" showAll="0"/>
    <pivotField compact="0" outline="0" showAll="0"/>
    <pivotField compact="0" outline="0" showAll="0"/>
  </pivotFields>
  <rowFields count="3">
    <field x="12"/>
    <field x="11"/>
    <field x="8"/>
  </rowFields>
  <rowItems count="38">
    <i>
      <x v="1"/>
      <x/>
      <x v="14"/>
    </i>
    <i r="1">
      <x v="1"/>
      <x v="15"/>
    </i>
    <i r="1">
      <x v="2"/>
      <x v="16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t="blank">
      <x v="1"/>
    </i>
    <i>
      <x v="2"/>
      <x/>
      <x v="14"/>
    </i>
    <i r="1">
      <x v="1"/>
      <x v="15"/>
    </i>
    <i r="1">
      <x v="2"/>
      <x v="16"/>
    </i>
    <i r="1">
      <x v="4"/>
      <x v="4"/>
    </i>
    <i r="1">
      <x v="5"/>
      <x v="5"/>
    </i>
    <i r="1">
      <x v="6"/>
      <x v="6"/>
    </i>
    <i r="1">
      <x v="7"/>
      <x v="7"/>
    </i>
    <i t="blank">
      <x v="2"/>
    </i>
    <i>
      <x v="3"/>
      <x/>
      <x v="14"/>
    </i>
    <i r="1">
      <x v="1"/>
      <x v="15"/>
    </i>
    <i r="1">
      <x v="2"/>
      <x v="16"/>
    </i>
    <i r="1">
      <x v="3"/>
      <x v="17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r="1">
      <x v="9"/>
      <x v="9"/>
    </i>
    <i r="1">
      <x v="10"/>
      <x v="10"/>
    </i>
    <i r="1">
      <x v="11"/>
      <x v="11"/>
    </i>
    <i r="2">
      <x v="12"/>
    </i>
    <i r="2">
      <x v="13"/>
    </i>
    <i r="2">
      <x v="19"/>
    </i>
    <i r="1">
      <x v="12"/>
      <x/>
    </i>
    <i r="1">
      <x v="13"/>
      <x v="1"/>
    </i>
    <i r="1">
      <x v="14"/>
      <x v="2"/>
    </i>
    <i r="1">
      <x v="15"/>
      <x v="3"/>
    </i>
    <i t="blank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ustomer Count" fld="45" baseField="0" baseItem="0" numFmtId="164"/>
    <dataField name="Sum of Consolidated Weighted Average Bill Change $" fld="48" baseField="0" baseItem="0" numFmtId="165"/>
    <dataField name="Sum of Consolidated Weighted Average Bill Change %" fld="49" baseField="0" baseItem="0" numFmtId="9"/>
  </dataFields>
  <formats count="17">
    <format dxfId="50">
      <pivotArea outline="0" fieldPosition="0">
        <references count="1">
          <reference field="4294967294" count="1" selected="0">
            <x v="0"/>
          </reference>
        </references>
      </pivotArea>
    </format>
    <format dxfId="49">
      <pivotArea outline="0" fieldPosition="0">
        <references count="1">
          <reference field="4294967294" count="1" selected="0">
            <x v="2"/>
          </reference>
        </references>
      </pivotArea>
    </format>
    <format dxfId="48">
      <pivotArea field="11" grandRow="1" outline="0" axis="axisRow" fieldPosition="1">
        <references count="1">
          <reference field="4294967294" count="2" selected="0">
            <x v="1"/>
            <x v="2"/>
          </reference>
        </references>
      </pivotArea>
    </format>
    <format dxfId="47">
      <pivotArea grandRow="1" outline="0" collapsedLevelsAreSubtotals="1" fieldPosition="0"/>
    </format>
    <format dxfId="46">
      <pivotArea dataOnly="0" labelOnly="1" grandRow="1" outline="0" fieldPosition="0"/>
    </format>
    <format dxfId="45">
      <pivotArea field="6" type="button" dataOnly="0" labelOnly="1" outline="0"/>
    </format>
    <format dxfId="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">
      <pivotArea outline="0" fieldPosition="0">
        <references count="1">
          <reference field="4294967294" count="1" selected="0">
            <x v="1"/>
          </reference>
        </references>
      </pivotArea>
    </format>
    <format dxfId="42">
      <pivotArea type="topRight" dataOnly="0" labelOnly="1" outline="0" fieldPosition="0"/>
    </format>
    <format dxfId="4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0">
      <pivotArea type="origin" dataOnly="0" labelOnly="1" outline="0" fieldPosition="0"/>
    </format>
    <format dxfId="39">
      <pivotArea field="-2" type="button" dataOnly="0" labelOnly="1" outline="0" axis="axisCol" fieldPosition="0"/>
    </format>
    <format dxfId="38">
      <pivotArea type="topRight" dataOnly="0" labelOnly="1" outline="0" fieldPosition="0"/>
    </format>
    <format dxfId="37">
      <pivotArea field="12" type="button" dataOnly="0" labelOnly="1" outline="0" axis="axisRow" fieldPosition="0"/>
    </format>
    <format dxfId="36">
      <pivotArea field="11" type="button" dataOnly="0" labelOnly="1" outline="0" axis="axisRow" fieldPosition="1"/>
    </format>
    <format dxfId="35">
      <pivotArea field="8" type="button" dataOnly="0" labelOnly="1" outline="0" axis="axisRow" fieldPosition="2"/>
    </format>
    <format dxfId="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28B592-C7A0-44FB-AA23-D9731C27A4D7}" name="PivotTable4" cacheId="1" applyNumberFormats="0" applyBorderFormats="0" applyFontFormats="0" applyPatternFormats="0" applyAlignmentFormats="0" applyWidthHeightFormats="1" dataCaption="Values" updatedVersion="7" minRefreshableVersion="3" itemPrintTitles="1" createdVersion="7" indent="0" compact="0" compactData="0" gridDropZones="1">
  <location ref="A6:P186" firstHeaderRow="1" firstDataRow="2" firstDataCol="6"/>
  <pivotFields count="52">
    <pivotField axis="axisRow" compact="0" outline="0" multipleItemSelectionAllowed="1" showAll="0" sortType="descending" defaultSubtotal="0">
      <items count="5">
        <item h="1" x="4"/>
        <item x="0"/>
        <item x="1"/>
        <item x="2"/>
        <item x="3"/>
      </items>
    </pivotField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/>
    <pivotField compact="0" outline="0" showAll="0"/>
    <pivotField axis="axisRow" compact="0" outline="0" showAll="0" sortType="descending" defaultSubtotal="0">
      <items count="55"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8"/>
        <item x="9"/>
        <item x="11"/>
        <item x="10"/>
        <item x="12"/>
        <item x="13"/>
        <item x="14"/>
        <item x="15"/>
        <item x="16"/>
        <item x="17"/>
        <item x="18"/>
        <item x="19"/>
        <item x="3"/>
        <item x="4"/>
        <item x="5"/>
        <item x="6"/>
        <item x="7"/>
        <item x="0"/>
        <item x="1"/>
        <item x="2"/>
        <item x="5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 insertBlankRow="1" defaultSubtotal="0">
      <items count="19">
        <item x="10"/>
        <item x="14"/>
        <item x="9"/>
        <item x="8"/>
        <item m="1" x="18"/>
        <item x="6"/>
        <item x="3"/>
        <item x="4"/>
        <item x="5"/>
        <item x="7"/>
        <item x="11"/>
        <item x="12"/>
        <item m="1" x="17"/>
        <item x="2"/>
        <item x="0"/>
        <item x="15"/>
        <item x="16"/>
        <item x="1"/>
        <item x="13"/>
      </items>
    </pivotField>
    <pivotField compact="0" outline="0" showAll="0"/>
    <pivotField axis="axisRow" compact="0" outline="0" showAll="0" insertBlankRow="1" defaultSubtotal="0">
      <items count="20">
        <item x="10"/>
        <item x="15"/>
        <item x="9"/>
        <item x="8"/>
        <item x="6"/>
        <item x="3"/>
        <item x="4"/>
        <item x="5"/>
        <item x="7"/>
        <item x="11"/>
        <item x="12"/>
        <item x="13"/>
        <item x="14"/>
        <item x="18"/>
        <item x="2"/>
        <item x="0"/>
        <item x="1"/>
        <item x="16"/>
        <item x="19"/>
        <item x="17"/>
      </items>
    </pivotField>
    <pivotField axis="axisRow" compact="0" outline="0" showAll="0" defaultSubtotal="0">
      <items count="20">
        <item x="2"/>
        <item x="6"/>
        <item x="11"/>
        <item x="12"/>
        <item x="5"/>
        <item x="0"/>
        <item x="8"/>
        <item x="3"/>
        <item m="1" x="17"/>
        <item m="1" x="19"/>
        <item x="9"/>
        <item x="4"/>
        <item x="7"/>
        <item x="10"/>
        <item x="1"/>
        <item x="15"/>
        <item m="1" x="18"/>
        <item m="1" x="16"/>
        <item x="13"/>
        <item x="14"/>
      </items>
    </pivotField>
    <pivotField compact="0" outline="0" showAll="0"/>
    <pivotField axis="axisRow" compact="0" outline="0" showAll="0" defaultSubtotal="0">
      <items count="17">
        <item x="2"/>
        <item x="0"/>
        <item x="1"/>
        <item x="15"/>
        <item x="6"/>
        <item x="3"/>
        <item x="4"/>
        <item x="5"/>
        <item x="7"/>
        <item x="11"/>
        <item x="12"/>
        <item x="13"/>
        <item x="10"/>
        <item x="14"/>
        <item x="9"/>
        <item x="8"/>
        <item x="16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6">
    <field x="1"/>
    <field x="11"/>
    <field x="8"/>
    <field x="9"/>
    <field x="0"/>
    <field x="4"/>
  </rowFields>
  <rowItems count="179">
    <i>
      <x v="1"/>
      <x/>
      <x v="14"/>
      <x/>
      <x v="1"/>
      <x v="51"/>
    </i>
    <i r="4">
      <x v="2"/>
      <x v="50"/>
    </i>
    <i r="4">
      <x v="3"/>
      <x v="44"/>
    </i>
    <i r="4">
      <x v="4"/>
      <x v="3"/>
    </i>
    <i r="5">
      <x v="32"/>
    </i>
    <i r="5">
      <x v="28"/>
    </i>
    <i r="5">
      <x v="10"/>
    </i>
    <i r="5">
      <x v="1"/>
    </i>
    <i r="5">
      <x v="26"/>
    </i>
    <i r="5">
      <x v="30"/>
    </i>
    <i r="5">
      <x v="14"/>
    </i>
    <i r="5">
      <x v="8"/>
    </i>
    <i t="blank" r="2">
      <x v="14"/>
    </i>
    <i r="1">
      <x v="1"/>
      <x v="15"/>
      <x v="5"/>
      <x v="1"/>
      <x v="51"/>
    </i>
    <i r="4">
      <x v="2"/>
      <x v="50"/>
    </i>
    <i r="4">
      <x v="3"/>
      <x v="44"/>
    </i>
    <i r="4">
      <x v="4"/>
      <x v="3"/>
    </i>
    <i r="5">
      <x v="32"/>
    </i>
    <i r="5">
      <x v="28"/>
    </i>
    <i r="5">
      <x v="10"/>
    </i>
    <i r="5">
      <x v="1"/>
    </i>
    <i r="5">
      <x v="14"/>
    </i>
    <i r="5">
      <x v="30"/>
    </i>
    <i r="5">
      <x v="26"/>
    </i>
    <i r="5">
      <x v="8"/>
    </i>
    <i t="blank" r="2">
      <x v="15"/>
    </i>
    <i r="1">
      <x v="2"/>
      <x v="16"/>
      <x v="14"/>
      <x v="1"/>
      <x v="51"/>
    </i>
    <i r="4">
      <x v="2"/>
      <x v="50"/>
    </i>
    <i r="4">
      <x v="3"/>
      <x v="44"/>
    </i>
    <i r="4">
      <x v="4"/>
      <x v="3"/>
    </i>
    <i r="5">
      <x v="10"/>
    </i>
    <i r="5">
      <x v="14"/>
    </i>
    <i r="5">
      <x v="32"/>
    </i>
    <i r="5">
      <x v="1"/>
    </i>
    <i r="5">
      <x v="17"/>
    </i>
    <i r="5">
      <x v="8"/>
    </i>
    <i r="5">
      <x v="28"/>
    </i>
    <i r="5">
      <x v="12"/>
    </i>
    <i r="5">
      <x v="30"/>
    </i>
    <i r="5">
      <x v="26"/>
    </i>
    <i t="blank" r="2">
      <x v="16"/>
    </i>
    <i r="1">
      <x v="3"/>
      <x v="17"/>
      <x v="14"/>
      <x v="3"/>
      <x v="45"/>
    </i>
    <i t="blank" r="2">
      <x v="17"/>
    </i>
    <i>
      <x v="2"/>
      <x v="4"/>
      <x v="4"/>
      <x v="1"/>
      <x v="1"/>
      <x v="52"/>
    </i>
    <i r="4">
      <x v="2"/>
      <x v="46"/>
    </i>
    <i r="5">
      <x v="47"/>
    </i>
    <i r="4">
      <x v="3"/>
      <x v="36"/>
    </i>
    <i r="5">
      <x v="37"/>
    </i>
    <i r="5">
      <x v="39"/>
    </i>
    <i r="5">
      <x v="38"/>
    </i>
    <i r="5">
      <x v="41"/>
    </i>
    <i r="5">
      <x v="42"/>
    </i>
    <i r="4">
      <x v="4"/>
      <x v="2"/>
    </i>
    <i r="5">
      <x v="9"/>
    </i>
    <i r="5">
      <x v="13"/>
    </i>
    <i r="5">
      <x/>
    </i>
    <i r="5">
      <x v="16"/>
    </i>
    <i r="5">
      <x v="19"/>
    </i>
    <i r="5">
      <x v="27"/>
    </i>
    <i r="5">
      <x v="7"/>
    </i>
    <i r="5">
      <x v="20"/>
    </i>
    <i r="5">
      <x v="31"/>
    </i>
    <i r="5">
      <x v="21"/>
    </i>
    <i r="5">
      <x v="11"/>
    </i>
    <i r="5">
      <x v="29"/>
    </i>
    <i r="5">
      <x v="15"/>
    </i>
    <i r="5">
      <x v="22"/>
    </i>
    <i t="blank" r="2">
      <x v="4"/>
    </i>
    <i r="1">
      <x v="5"/>
      <x v="5"/>
      <x v="7"/>
      <x v="1"/>
      <x v="52"/>
    </i>
    <i r="4">
      <x v="2"/>
      <x v="46"/>
    </i>
    <i r="5">
      <x v="47"/>
    </i>
    <i r="4">
      <x v="3"/>
      <x v="36"/>
    </i>
    <i r="5">
      <x v="39"/>
    </i>
    <i r="5">
      <x v="41"/>
    </i>
    <i r="5">
      <x v="37"/>
    </i>
    <i r="5">
      <x v="42"/>
    </i>
    <i r="5">
      <x v="38"/>
    </i>
    <i r="4">
      <x v="4"/>
      <x v="16"/>
    </i>
    <i r="5">
      <x v="13"/>
    </i>
    <i r="5">
      <x v="19"/>
    </i>
    <i r="5">
      <x v="9"/>
    </i>
    <i r="5">
      <x v="15"/>
    </i>
    <i r="5">
      <x v="20"/>
    </i>
    <i r="5">
      <x v="2"/>
    </i>
    <i r="5">
      <x v="11"/>
    </i>
    <i r="5">
      <x v="22"/>
    </i>
    <i r="5">
      <x v="21"/>
    </i>
    <i r="5">
      <x/>
    </i>
    <i r="5">
      <x v="18"/>
    </i>
    <i t="blank" r="2">
      <x v="5"/>
    </i>
    <i r="1">
      <x v="6"/>
      <x v="6"/>
      <x v="11"/>
      <x v="1"/>
      <x v="52"/>
    </i>
    <i r="5">
      <x v="53"/>
    </i>
    <i r="4">
      <x v="2"/>
      <x v="47"/>
    </i>
    <i r="4">
      <x v="3"/>
      <x v="42"/>
    </i>
    <i r="5">
      <x v="36"/>
    </i>
    <i r="5">
      <x v="39"/>
    </i>
    <i r="5">
      <x v="41"/>
    </i>
    <i r="5">
      <x v="38"/>
    </i>
    <i r="5">
      <x v="37"/>
    </i>
    <i r="4">
      <x v="4"/>
      <x v="19"/>
    </i>
    <i r="5">
      <x v="16"/>
    </i>
    <i r="5">
      <x v="20"/>
    </i>
    <i r="5">
      <x v="13"/>
    </i>
    <i r="5">
      <x v="18"/>
    </i>
    <i r="5">
      <x v="22"/>
    </i>
    <i r="5">
      <x v="15"/>
    </i>
    <i r="5">
      <x v="21"/>
    </i>
    <i r="5">
      <x v="23"/>
    </i>
    <i r="5">
      <x v="9"/>
    </i>
    <i r="5">
      <x v="11"/>
    </i>
    <i t="blank" r="2">
      <x v="6"/>
    </i>
    <i r="1">
      <x v="7"/>
      <x v="7"/>
      <x v="4"/>
      <x v="1"/>
      <x v="52"/>
    </i>
    <i r="4">
      <x v="2"/>
      <x v="48"/>
    </i>
    <i r="5">
      <x v="49"/>
    </i>
    <i r="5">
      <x v="46"/>
    </i>
    <i r="4">
      <x v="3"/>
      <x v="42"/>
    </i>
    <i r="5">
      <x v="41"/>
    </i>
    <i r="5">
      <x v="39"/>
    </i>
    <i r="5">
      <x v="36"/>
    </i>
    <i r="5">
      <x v="38"/>
    </i>
    <i r="5">
      <x v="37"/>
    </i>
    <i r="5">
      <x v="40"/>
    </i>
    <i r="4">
      <x v="4"/>
      <x v="20"/>
    </i>
    <i r="5">
      <x v="21"/>
    </i>
    <i r="5">
      <x v="19"/>
    </i>
    <i r="5">
      <x v="22"/>
    </i>
    <i r="5">
      <x v="16"/>
    </i>
    <i r="5">
      <x v="13"/>
    </i>
    <i r="5">
      <x v="18"/>
    </i>
    <i r="5">
      <x v="25"/>
    </i>
    <i r="5">
      <x v="23"/>
    </i>
    <i t="blank" r="2">
      <x v="7"/>
    </i>
    <i r="1">
      <x v="8"/>
      <x v="8"/>
      <x v="12"/>
      <x v="2"/>
      <x v="49"/>
    </i>
    <i r="4">
      <x v="3"/>
      <x v="42"/>
    </i>
    <i r="5">
      <x v="41"/>
    </i>
    <i r="5">
      <x v="39"/>
    </i>
    <i r="5">
      <x v="36"/>
    </i>
    <i r="5">
      <x v="37"/>
    </i>
    <i r="4">
      <x v="4"/>
      <x v="23"/>
    </i>
    <i r="5">
      <x v="22"/>
    </i>
    <i r="5">
      <x v="24"/>
    </i>
    <i r="5">
      <x v="21"/>
    </i>
    <i r="5">
      <x v="20"/>
    </i>
    <i r="5">
      <x v="25"/>
    </i>
    <i r="5">
      <x v="19"/>
    </i>
    <i t="blank" r="2">
      <x v="8"/>
    </i>
    <i r="1">
      <x v="9"/>
      <x v="9"/>
      <x v="10"/>
      <x v="3"/>
      <x v="42"/>
    </i>
    <i r="5">
      <x v="41"/>
    </i>
    <i r="4">
      <x v="4"/>
      <x v="24"/>
    </i>
    <i r="5">
      <x v="23"/>
    </i>
    <i r="5">
      <x v="25"/>
    </i>
    <i t="blank" r="2">
      <x v="9"/>
    </i>
    <i r="1">
      <x v="10"/>
      <x v="10"/>
      <x v="13"/>
      <x v="3"/>
      <x v="42"/>
    </i>
    <i r="4">
      <x v="4"/>
      <x v="25"/>
    </i>
    <i r="5">
      <x v="4"/>
    </i>
    <i r="5">
      <x v="6"/>
    </i>
    <i r="5">
      <x v="23"/>
    </i>
    <i r="5">
      <x v="22"/>
    </i>
    <i t="blank" r="2">
      <x v="10"/>
    </i>
    <i r="1">
      <x v="11"/>
      <x v="11"/>
      <x v="2"/>
      <x v="3"/>
      <x v="42"/>
    </i>
    <i t="blank" r="2">
      <x v="11"/>
    </i>
    <i r="2">
      <x v="12"/>
      <x v="3"/>
      <x v="3"/>
      <x v="42"/>
    </i>
    <i r="4">
      <x v="4"/>
      <x v="5"/>
    </i>
    <i r="5">
      <x v="4"/>
    </i>
    <i t="blank" r="2">
      <x v="12"/>
    </i>
    <i r="2">
      <x v="13"/>
      <x v="19"/>
      <x v="4"/>
      <x v="6"/>
    </i>
    <i t="blank" r="2">
      <x v="13"/>
    </i>
    <i r="2">
      <x v="19"/>
      <x v="18"/>
      <x v="4"/>
      <x v="6"/>
    </i>
    <i t="blank" r="2">
      <x v="19"/>
    </i>
    <i r="1">
      <x v="12"/>
      <x/>
      <x v="6"/>
      <x v="3"/>
      <x v="40"/>
    </i>
    <i t="blank" r="2">
      <x/>
    </i>
    <i r="1">
      <x v="13"/>
      <x v="1"/>
      <x v="14"/>
      <x v="3"/>
      <x v="43"/>
    </i>
    <i r="4">
      <x v="4"/>
      <x v="33"/>
    </i>
    <i t="blank" r="2">
      <x v="1"/>
    </i>
    <i r="1">
      <x v="14"/>
      <x v="2"/>
      <x v="14"/>
      <x v="3"/>
      <x v="35"/>
    </i>
    <i t="blank" r="2">
      <x v="2"/>
    </i>
    <i r="1">
      <x v="15"/>
      <x v="3"/>
      <x v="14"/>
      <x v="3"/>
      <x v="34"/>
    </i>
    <i t="blank" r="2">
      <x v="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Customer Count" fld="45" baseField="0" baseItem="0"/>
    <dataField name="Sum of Annual UPC" fld="13" baseField="0" baseItem="0"/>
    <dataField name="Sum of Current Customer Charge (CC)" fld="14" baseField="0" baseItem="0" numFmtId="44"/>
    <dataField name="Sum of Proposed Customer Charge (CC)" fld="15" baseField="0" baseItem="0" numFmtId="44"/>
    <dataField name="Sum of Current VM Charge + GRIP" fld="17" baseField="0" baseItem="0" numFmtId="167"/>
    <dataField name="Sum of Proposed VM Charge" fld="19" baseField="0" baseItem="0" numFmtId="167"/>
    <dataField name="Sum of Total Bill" fld="33" baseField="0" baseItem="0" numFmtId="165"/>
    <dataField name="Sum of Total Bill2" fld="41" baseField="0" baseItem="0" numFmtId="165"/>
    <dataField name="Sum of $ Annual Bill Change" fld="42" baseField="0" baseItem="0"/>
    <dataField name="Sum of % Annual Bill Change" fld="43" baseField="0" baseItem="0" numFmtId="174"/>
  </dataFields>
  <formats count="34">
    <format dxfId="33">
      <pivotArea outline="0" collapsedLevelsAreSubtotals="1" fieldPosition="0"/>
    </format>
    <format dxfId="32">
      <pivotArea field="-2" type="button" dataOnly="0" labelOnly="1" outline="0" axis="axisCol" fieldPosition="0"/>
    </format>
    <format dxfId="31">
      <pivotArea type="topRight" dataOnly="0" labelOnly="1" outline="0" fieldPosition="0"/>
    </format>
    <format dxfId="30">
      <pivotArea dataOnly="0" labelOnly="1" outline="0" fieldPosition="0">
        <references count="1">
          <reference field="4294967294" count="3">
            <x v="2"/>
            <x v="3"/>
            <x v="5"/>
          </reference>
        </references>
      </pivotArea>
    </format>
    <format dxfId="29">
      <pivotArea outline="0" fieldPosition="0">
        <references count="1">
          <reference field="4294967294" count="1" selected="0">
            <x v="5"/>
          </reference>
        </references>
      </pivotArea>
    </format>
    <format dxfId="28">
      <pivotArea outline="0" fieldPosition="0">
        <references count="1">
          <reference field="4294967294" count="2" selected="0">
            <x v="2"/>
            <x v="3"/>
          </reference>
        </references>
      </pivotArea>
    </format>
    <format dxfId="27">
      <pivotArea field="1" type="button" dataOnly="0" labelOnly="1" outline="0" axis="axisRow" fieldPosition="0"/>
    </format>
    <format dxfId="26">
      <pivotArea field="11" type="button" dataOnly="0" labelOnly="1" outline="0" axis="axisRow" fieldPosition="1"/>
    </format>
    <format dxfId="25">
      <pivotArea field="6" type="button" dataOnly="0" labelOnly="1" outline="0"/>
    </format>
    <format dxfId="24">
      <pivotArea field="0" type="button" dataOnly="0" labelOnly="1" outline="0" axis="axisRow" fieldPosition="4"/>
    </format>
    <format dxfId="23">
      <pivotArea field="4" type="button" dataOnly="0" labelOnly="1" outline="0" axis="axisRow" fieldPosition="5"/>
    </format>
    <format dxfId="22">
      <pivotArea field="1" type="button" dataOnly="0" labelOnly="1" outline="0" axis="axisRow" fieldPosition="0"/>
    </format>
    <format dxfId="21">
      <pivotArea field="11" type="button" dataOnly="0" labelOnly="1" outline="0" axis="axisRow" fieldPosition="1"/>
    </format>
    <format dxfId="20">
      <pivotArea field="6" type="button" dataOnly="0" labelOnly="1" outline="0"/>
    </format>
    <format dxfId="19">
      <pivotArea field="0" type="button" dataOnly="0" labelOnly="1" outline="0" axis="axisRow" fieldPosition="4"/>
    </format>
    <format dxfId="18">
      <pivotArea field="4" type="button" dataOnly="0" labelOnly="1" outline="0" axis="axisRow" fieldPosition="5"/>
    </format>
    <format dxfId="17">
      <pivotArea dataOnly="0" labelOnly="1" outline="0" fieldPosition="0">
        <references count="1">
          <reference field="4294967294" count="6">
            <x v="0"/>
            <x v="2"/>
            <x v="3"/>
            <x v="5"/>
            <x v="6"/>
            <x v="7"/>
          </reference>
        </references>
      </pivotArea>
    </format>
    <format dxfId="16">
      <pivotArea field="1" type="button" dataOnly="0" labelOnly="1" outline="0" axis="axisRow" fieldPosition="0"/>
    </format>
    <format dxfId="15">
      <pivotArea field="11" type="button" dataOnly="0" labelOnly="1" outline="0" axis="axisRow" fieldPosition="1"/>
    </format>
    <format dxfId="14">
      <pivotArea field="6" type="button" dataOnly="0" labelOnly="1" outline="0"/>
    </format>
    <format dxfId="13">
      <pivotArea field="0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outline="0" fieldPosition="0">
        <references count="1">
          <reference field="4294967294" count="2" selected="0">
            <x v="6"/>
            <x v="7"/>
          </reference>
        </references>
      </pivotArea>
    </format>
    <format dxfId="10">
      <pivotArea outline="0" fieldPosition="0">
        <references count="1">
          <reference field="4294967294" count="1" selected="0">
            <x v="4"/>
          </reference>
        </references>
      </pivotArea>
    </format>
    <format dxfId="9">
      <pivotArea dataOnly="0" labelOnly="1" outline="0" offset="IV4:IV5" fieldPosition="0">
        <references count="1">
          <reference field="1" count="1">
            <x v="2"/>
          </reference>
        </references>
      </pivotArea>
    </format>
    <format dxfId="8">
      <pivotArea dataOnly="0" labelOnly="1" outline="0" offset="IV4:IV5" fieldPosition="0">
        <references count="2">
          <reference field="1" count="1" selected="0">
            <x v="2"/>
          </reference>
          <reference field="11" count="1">
            <x v="4"/>
          </reference>
        </references>
      </pivotArea>
    </format>
    <format dxfId="7">
      <pivotArea dataOnly="0" labelOnly="1" outline="0" offset="IV16" fieldPosition="0">
        <references count="1">
          <reference field="1" count="1">
            <x v="1"/>
          </reference>
        </references>
      </pivotArea>
    </format>
    <format dxfId="6">
      <pivotArea dataOnly="0" labelOnly="1" outline="0" offset="IV3" fieldPosition="0">
        <references count="2">
          <reference field="1" count="1" selected="0">
            <x v="1"/>
          </reference>
          <reference field="11" count="1">
            <x v="1"/>
          </reference>
        </references>
      </pivotArea>
    </format>
    <format dxfId="5">
      <pivotArea dataOnly="0" labelOnly="1" outline="0" offset="IV3" fieldPosition="0">
        <references count="1">
          <reference field="1" count="1">
            <x v="1"/>
          </reference>
        </references>
      </pivotArea>
    </format>
    <format dxfId="4">
      <pivotArea dataOnly="0" labelOnly="1" outline="0" offset="IV3" fieldPosition="0">
        <references count="2">
          <reference field="1" count="1" selected="0">
            <x v="1"/>
          </reference>
          <reference field="11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3"/>
            <x v="4"/>
            <x v="5"/>
            <x v="6"/>
            <x v="7"/>
          </reference>
        </references>
      </pivotArea>
    </format>
    <format dxfId="2">
      <pivotArea outline="0" fieldPosition="0">
        <references count="1">
          <reference field="4294967294" count="1" selected="0">
            <x v="9"/>
          </reference>
        </references>
      </pivotArea>
    </format>
    <format dxfId="1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F395-871A-4EE6-8768-DBA41BF01759}">
  <dimension ref="A1:C11"/>
  <sheetViews>
    <sheetView tabSelected="1" workbookViewId="0">
      <selection activeCell="C14" sqref="C14"/>
    </sheetView>
  </sheetViews>
  <sheetFormatPr defaultRowHeight="12.75" x14ac:dyDescent="0.2"/>
  <cols>
    <col min="1" max="1" width="9" style="327" customWidth="1"/>
    <col min="2" max="2" width="35.7109375" style="327" customWidth="1"/>
    <col min="3" max="3" width="60.42578125" style="327" customWidth="1"/>
    <col min="4" max="16384" width="9.140625" style="327"/>
  </cols>
  <sheetData>
    <row r="1" spans="1:3" s="323" customFormat="1" x14ac:dyDescent="0.2">
      <c r="A1" s="322" t="s">
        <v>301</v>
      </c>
    </row>
    <row r="2" spans="1:3" s="323" customFormat="1" x14ac:dyDescent="0.2">
      <c r="A2" s="322" t="s">
        <v>302</v>
      </c>
    </row>
    <row r="3" spans="1:3" s="323" customFormat="1" x14ac:dyDescent="0.2">
      <c r="A3" s="324" t="s">
        <v>305</v>
      </c>
    </row>
    <row r="5" spans="1:3" x14ac:dyDescent="0.2">
      <c r="A5" s="325" t="s">
        <v>3</v>
      </c>
      <c r="B5" s="326" t="s">
        <v>303</v>
      </c>
      <c r="C5" s="326" t="s">
        <v>304</v>
      </c>
    </row>
    <row r="6" spans="1:3" ht="25.5" x14ac:dyDescent="0.2">
      <c r="A6" s="328">
        <v>1</v>
      </c>
      <c r="B6" s="330" t="s">
        <v>306</v>
      </c>
      <c r="C6" s="329" t="s">
        <v>313</v>
      </c>
    </row>
    <row r="7" spans="1:3" ht="25.5" x14ac:dyDescent="0.2">
      <c r="A7" s="328">
        <f>A6+1</f>
        <v>2</v>
      </c>
      <c r="B7" s="330" t="s">
        <v>311</v>
      </c>
      <c r="C7" s="329" t="s">
        <v>314</v>
      </c>
    </row>
    <row r="8" spans="1:3" x14ac:dyDescent="0.2">
      <c r="A8" s="328">
        <f t="shared" ref="A8:A11" si="0">A7+1</f>
        <v>3</v>
      </c>
      <c r="B8" s="330" t="s">
        <v>307</v>
      </c>
      <c r="C8" s="329" t="s">
        <v>312</v>
      </c>
    </row>
    <row r="9" spans="1:3" x14ac:dyDescent="0.2">
      <c r="A9" s="328">
        <f t="shared" si="0"/>
        <v>4</v>
      </c>
      <c r="B9" s="330" t="s">
        <v>308</v>
      </c>
      <c r="C9" s="329" t="s">
        <v>315</v>
      </c>
    </row>
    <row r="10" spans="1:3" ht="25.5" x14ac:dyDescent="0.2">
      <c r="A10" s="328">
        <f t="shared" si="0"/>
        <v>5</v>
      </c>
      <c r="B10" s="330" t="s">
        <v>309</v>
      </c>
      <c r="C10" s="329" t="s">
        <v>317</v>
      </c>
    </row>
    <row r="11" spans="1:3" x14ac:dyDescent="0.2">
      <c r="A11" s="328">
        <f t="shared" si="0"/>
        <v>6</v>
      </c>
      <c r="B11" s="330" t="s">
        <v>310</v>
      </c>
      <c r="C11" s="329" t="s">
        <v>316</v>
      </c>
    </row>
  </sheetData>
  <hyperlinks>
    <hyperlink ref="B6" location="'JDT-4 Page 1'!A1" display="JDT-4 Page 1" xr:uid="{C2369579-8E15-4C40-A583-3606584A4EE6}"/>
    <hyperlink ref="B7" location="'JDT-4 Page 2-3'!A1" display="JDT-4 Page 2-3" xr:uid="{DC440AF1-DB8A-4799-A2B8-62E9853FB7CB}"/>
    <hyperlink ref="B8" location="'Rate Design (Consol)'!A1" display="Rate Design (Consol)" xr:uid="{C904616F-3EF7-4A0E-9C86-580A00AEE040}"/>
    <hyperlink ref="B9" location="'Bill Impact Detail'!A1" display="Bill Impact Detail" xr:uid="{D619E99C-5B54-4FAF-A046-1846A14A2312}"/>
    <hyperlink ref="B10" location="'G2-8 Summary'!A1" display="G2-8 Summary" xr:uid="{F8F5A4A5-9BAF-47BF-A162-06E5A9CADC07}"/>
    <hyperlink ref="B11" location="'G2-7 Summary'!A1" display="G2-7 Summary" xr:uid="{C3A3F43F-4AB3-411B-B767-742643ED0812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8D02-694D-46E0-95DD-843D4F750A39}">
  <sheetPr codeName="Sheet5"/>
  <dimension ref="A1:L253"/>
  <sheetViews>
    <sheetView zoomScale="85" zoomScaleNormal="85" workbookViewId="0">
      <selection activeCell="E32" sqref="E32"/>
    </sheetView>
  </sheetViews>
  <sheetFormatPr defaultRowHeight="15" x14ac:dyDescent="0.25"/>
  <cols>
    <col min="1" max="1" width="10.7109375" customWidth="1"/>
    <col min="2" max="2" width="6.28515625" customWidth="1"/>
    <col min="3" max="3" width="31.140625" style="14" bestFit="1" customWidth="1"/>
    <col min="4" max="4" width="8.85546875" style="20" customWidth="1"/>
    <col min="5" max="5" width="22.28515625" style="134" customWidth="1"/>
    <col min="6" max="6" width="22.28515625" style="18" customWidth="1"/>
    <col min="7" max="7" width="22.28515625" style="134" customWidth="1"/>
    <col min="8" max="8" width="22.28515625" style="144" customWidth="1"/>
    <col min="9" max="9" width="22.28515625" style="134" customWidth="1"/>
    <col min="10" max="10" width="22.28515625" style="144" customWidth="1"/>
    <col min="11" max="15" width="23" customWidth="1"/>
  </cols>
  <sheetData>
    <row r="1" spans="1:12" x14ac:dyDescent="0.25">
      <c r="A1" s="54" t="s">
        <v>0</v>
      </c>
      <c r="B1" s="54"/>
    </row>
    <row r="2" spans="1:12" x14ac:dyDescent="0.25">
      <c r="A2" s="54" t="s">
        <v>1</v>
      </c>
      <c r="B2" s="54"/>
    </row>
    <row r="3" spans="1:12" x14ac:dyDescent="0.25">
      <c r="A3" s="54" t="s">
        <v>2</v>
      </c>
      <c r="B3" s="54"/>
    </row>
    <row r="4" spans="1:12" ht="15.75" x14ac:dyDescent="0.25">
      <c r="A4" s="54" t="s">
        <v>299</v>
      </c>
      <c r="B4" s="54"/>
      <c r="C4" s="65"/>
      <c r="E4" s="188"/>
      <c r="F4" s="108"/>
      <c r="G4" s="188"/>
      <c r="H4" s="189"/>
      <c r="I4" s="188"/>
      <c r="J4" s="189"/>
    </row>
    <row r="5" spans="1:12" x14ac:dyDescent="0.25">
      <c r="C5"/>
      <c r="D5" s="14"/>
      <c r="E5" s="284"/>
      <c r="F5" s="284"/>
      <c r="G5" s="188"/>
      <c r="H5" s="189"/>
      <c r="I5" s="188"/>
      <c r="J5" s="189"/>
    </row>
    <row r="6" spans="1:12" ht="45" x14ac:dyDescent="0.25">
      <c r="A6" s="55" t="s">
        <v>259</v>
      </c>
      <c r="B6" s="55" t="s">
        <v>3</v>
      </c>
      <c r="C6" s="55" t="s">
        <v>4</v>
      </c>
      <c r="D6" s="55" t="s">
        <v>5</v>
      </c>
      <c r="E6" s="190" t="s">
        <v>6</v>
      </c>
      <c r="F6" s="55" t="s">
        <v>7</v>
      </c>
      <c r="G6" s="188"/>
      <c r="H6" s="189"/>
      <c r="I6" s="188"/>
      <c r="J6" s="189"/>
    </row>
    <row r="7" spans="1:12" hidden="1" x14ac:dyDescent="0.25">
      <c r="A7" s="3"/>
      <c r="B7" s="3"/>
      <c r="C7" s="3"/>
      <c r="D7" s="3"/>
      <c r="E7" s="136"/>
      <c r="G7" s="188"/>
      <c r="H7" s="189"/>
      <c r="I7" s="188"/>
      <c r="J7" s="189"/>
    </row>
    <row r="8" spans="1:12" s="145" customFormat="1" hidden="1" x14ac:dyDescent="0.25">
      <c r="A8" s="184"/>
      <c r="B8" s="193"/>
      <c r="C8" s="193"/>
      <c r="D8" s="183" t="s">
        <v>65</v>
      </c>
      <c r="E8" s="194"/>
      <c r="F8" s="283"/>
      <c r="G8" s="188"/>
      <c r="H8" s="189"/>
      <c r="I8" s="188"/>
      <c r="J8" s="189"/>
    </row>
    <row r="9" spans="1:12" s="145" customFormat="1" ht="60" hidden="1" x14ac:dyDescent="0.25">
      <c r="A9" s="183" t="s">
        <v>259</v>
      </c>
      <c r="B9" s="183" t="s">
        <v>66</v>
      </c>
      <c r="C9" s="183" t="s">
        <v>276</v>
      </c>
      <c r="D9" s="184" t="s">
        <v>68</v>
      </c>
      <c r="E9" s="192" t="s">
        <v>256</v>
      </c>
      <c r="F9" s="282" t="s">
        <v>255</v>
      </c>
      <c r="G9"/>
      <c r="H9"/>
      <c r="I9"/>
      <c r="J9"/>
    </row>
    <row r="10" spans="1:12" x14ac:dyDescent="0.25">
      <c r="A10" s="176" t="s">
        <v>159</v>
      </c>
      <c r="B10" s="176">
        <v>1</v>
      </c>
      <c r="C10" s="176" t="s">
        <v>8</v>
      </c>
      <c r="D10" s="178">
        <v>249</v>
      </c>
      <c r="E10" s="179">
        <v>30.19</v>
      </c>
      <c r="F10" s="279">
        <v>0.22539999999999999</v>
      </c>
      <c r="G10"/>
      <c r="H10"/>
      <c r="I10"/>
      <c r="J10"/>
      <c r="L10" s="83"/>
    </row>
    <row r="11" spans="1:12" x14ac:dyDescent="0.25">
      <c r="A11" s="185"/>
      <c r="B11" s="176">
        <v>2</v>
      </c>
      <c r="C11" s="176" t="s">
        <v>9</v>
      </c>
      <c r="D11" s="178">
        <v>205</v>
      </c>
      <c r="E11" s="179">
        <v>29.01</v>
      </c>
      <c r="F11" s="279">
        <v>0.1406</v>
      </c>
      <c r="G11"/>
      <c r="H11"/>
      <c r="I11"/>
      <c r="J11"/>
      <c r="L11" s="83"/>
    </row>
    <row r="12" spans="1:12" x14ac:dyDescent="0.25">
      <c r="A12" s="185"/>
      <c r="B12" s="176">
        <v>3</v>
      </c>
      <c r="C12" s="176" t="s">
        <v>266</v>
      </c>
      <c r="D12" s="178">
        <v>42</v>
      </c>
      <c r="E12" s="179">
        <v>47.81</v>
      </c>
      <c r="F12" s="279">
        <v>0.13039999999999999</v>
      </c>
      <c r="G12"/>
      <c r="H12"/>
      <c r="I12"/>
      <c r="J12"/>
      <c r="L12" s="83"/>
    </row>
    <row r="13" spans="1:12" x14ac:dyDescent="0.25">
      <c r="A13" s="185"/>
      <c r="B13" s="176">
        <v>5</v>
      </c>
      <c r="C13" s="176" t="s">
        <v>11</v>
      </c>
      <c r="D13" s="178">
        <v>16</v>
      </c>
      <c r="E13" s="179">
        <v>87.05</v>
      </c>
      <c r="F13" s="279">
        <v>0.2681</v>
      </c>
      <c r="G13"/>
      <c r="H13"/>
      <c r="I13"/>
      <c r="J13"/>
      <c r="L13" s="83"/>
    </row>
    <row r="14" spans="1:12" x14ac:dyDescent="0.25">
      <c r="A14" s="185"/>
      <c r="B14" s="176">
        <v>6</v>
      </c>
      <c r="C14" s="176" t="s">
        <v>12</v>
      </c>
      <c r="D14" s="178">
        <v>11</v>
      </c>
      <c r="E14" s="179">
        <v>353.84000000000003</v>
      </c>
      <c r="F14" s="279">
        <v>0.21760000000000002</v>
      </c>
      <c r="G14"/>
      <c r="H14"/>
      <c r="I14"/>
      <c r="J14"/>
      <c r="L14" s="83"/>
    </row>
    <row r="15" spans="1:12" x14ac:dyDescent="0.25">
      <c r="A15" s="185"/>
      <c r="B15" s="176">
        <v>7</v>
      </c>
      <c r="C15" s="176" t="s">
        <v>13</v>
      </c>
      <c r="D15" s="178">
        <v>3</v>
      </c>
      <c r="E15" s="179">
        <v>890.64</v>
      </c>
      <c r="F15" s="279">
        <v>0.2167</v>
      </c>
      <c r="G15"/>
      <c r="H15"/>
      <c r="I15"/>
      <c r="J15"/>
      <c r="L15" s="83"/>
    </row>
    <row r="16" spans="1:12" x14ac:dyDescent="0.25">
      <c r="A16" s="185"/>
      <c r="B16" s="176">
        <v>8</v>
      </c>
      <c r="C16" s="176" t="s">
        <v>14</v>
      </c>
      <c r="D16" s="178">
        <v>4</v>
      </c>
      <c r="E16" s="179">
        <v>786.14</v>
      </c>
      <c r="F16" s="279">
        <v>0.222</v>
      </c>
      <c r="G16"/>
      <c r="H16"/>
      <c r="I16"/>
      <c r="J16"/>
      <c r="L16" s="83"/>
    </row>
    <row r="17" spans="1:12" x14ac:dyDescent="0.25">
      <c r="A17" s="185"/>
      <c r="B17" s="176">
        <v>9</v>
      </c>
      <c r="C17" s="176" t="s">
        <v>15</v>
      </c>
      <c r="D17" s="178">
        <v>1</v>
      </c>
      <c r="E17" s="179">
        <v>7637.64</v>
      </c>
      <c r="F17" s="279">
        <v>0.27060000000000001</v>
      </c>
      <c r="G17"/>
      <c r="H17"/>
      <c r="I17"/>
      <c r="J17"/>
      <c r="L17" s="83"/>
    </row>
    <row r="18" spans="1:12" x14ac:dyDescent="0.25">
      <c r="A18" s="176"/>
      <c r="B18" s="177"/>
      <c r="C18" s="177"/>
      <c r="D18" s="178"/>
      <c r="E18" s="179"/>
      <c r="F18" s="279"/>
      <c r="G18"/>
      <c r="H18"/>
      <c r="I18"/>
      <c r="J18"/>
      <c r="L18" s="83"/>
    </row>
    <row r="19" spans="1:12" x14ac:dyDescent="0.25">
      <c r="A19" s="176" t="s">
        <v>154</v>
      </c>
      <c r="B19" s="176">
        <v>1</v>
      </c>
      <c r="C19" s="176" t="s">
        <v>8</v>
      </c>
      <c r="D19" s="178">
        <v>181</v>
      </c>
      <c r="E19" s="179">
        <v>30</v>
      </c>
      <c r="F19" s="279">
        <v>0.23430000000000001</v>
      </c>
      <c r="G19"/>
      <c r="H19"/>
      <c r="I19"/>
      <c r="J19"/>
      <c r="L19" s="83"/>
    </row>
    <row r="20" spans="1:12" x14ac:dyDescent="0.25">
      <c r="A20" s="185"/>
      <c r="B20" s="176">
        <v>2</v>
      </c>
      <c r="C20" s="176" t="s">
        <v>9</v>
      </c>
      <c r="D20" s="178">
        <v>378</v>
      </c>
      <c r="E20" s="179">
        <v>42</v>
      </c>
      <c r="F20" s="279">
        <v>0.25850000000000001</v>
      </c>
      <c r="G20"/>
      <c r="H20"/>
      <c r="I20"/>
      <c r="J20"/>
      <c r="L20" s="83"/>
    </row>
    <row r="21" spans="1:12" x14ac:dyDescent="0.25">
      <c r="A21" s="185"/>
      <c r="B21" s="176">
        <v>3</v>
      </c>
      <c r="C21" s="176" t="s">
        <v>266</v>
      </c>
      <c r="D21" s="178">
        <v>119</v>
      </c>
      <c r="E21" s="179">
        <v>51.4</v>
      </c>
      <c r="F21" s="279">
        <v>0.22969999999999999</v>
      </c>
      <c r="G21"/>
      <c r="H21"/>
      <c r="I21"/>
      <c r="J21"/>
      <c r="L21" s="83"/>
    </row>
    <row r="22" spans="1:12" x14ac:dyDescent="0.25">
      <c r="A22" s="185"/>
      <c r="B22" s="176">
        <v>5</v>
      </c>
      <c r="C22" s="176" t="s">
        <v>11</v>
      </c>
      <c r="D22" s="178">
        <v>9</v>
      </c>
      <c r="E22" s="179">
        <v>0</v>
      </c>
      <c r="F22" s="279">
        <v>0</v>
      </c>
      <c r="G22"/>
      <c r="H22"/>
      <c r="I22"/>
      <c r="J22"/>
      <c r="L22" s="83"/>
    </row>
    <row r="23" spans="1:12" x14ac:dyDescent="0.25">
      <c r="A23" s="185"/>
      <c r="B23" s="176">
        <v>6</v>
      </c>
      <c r="C23" s="176" t="s">
        <v>12</v>
      </c>
      <c r="D23" s="178">
        <v>6</v>
      </c>
      <c r="E23" s="179">
        <v>120</v>
      </c>
      <c r="F23" s="279">
        <v>0.2722</v>
      </c>
      <c r="G23"/>
      <c r="H23"/>
      <c r="I23"/>
      <c r="J23"/>
      <c r="L23" s="83"/>
    </row>
    <row r="24" spans="1:12" x14ac:dyDescent="0.25">
      <c r="A24" s="185"/>
      <c r="B24" s="176">
        <v>7</v>
      </c>
      <c r="C24" s="176" t="s">
        <v>13</v>
      </c>
      <c r="D24" s="178">
        <v>6</v>
      </c>
      <c r="E24" s="179">
        <v>183</v>
      </c>
      <c r="F24" s="279">
        <v>0.25839999999999996</v>
      </c>
      <c r="G24"/>
      <c r="H24"/>
      <c r="I24"/>
      <c r="J24"/>
      <c r="L24" s="83"/>
    </row>
    <row r="25" spans="1:12" s="4" customFormat="1" x14ac:dyDescent="0.25">
      <c r="A25" s="185"/>
      <c r="B25" s="176">
        <v>8</v>
      </c>
      <c r="C25" s="176" t="s">
        <v>14</v>
      </c>
      <c r="D25" s="178">
        <v>2</v>
      </c>
      <c r="E25" s="179">
        <v>260.11</v>
      </c>
      <c r="F25" s="279">
        <v>0.25519999999999998</v>
      </c>
      <c r="G25"/>
      <c r="H25"/>
      <c r="I25"/>
      <c r="J25"/>
      <c r="K25"/>
    </row>
    <row r="26" spans="1:12" x14ac:dyDescent="0.25">
      <c r="A26" s="176"/>
      <c r="B26" s="177"/>
      <c r="C26" s="177"/>
      <c r="D26" s="178"/>
      <c r="E26" s="179"/>
      <c r="F26" s="279"/>
      <c r="G26"/>
      <c r="H26"/>
      <c r="I26"/>
      <c r="J26"/>
    </row>
    <row r="27" spans="1:12" x14ac:dyDescent="0.25">
      <c r="A27" s="176" t="s">
        <v>257</v>
      </c>
      <c r="B27" s="176">
        <v>1</v>
      </c>
      <c r="C27" s="176" t="s">
        <v>8</v>
      </c>
      <c r="D27" s="178">
        <v>27825</v>
      </c>
      <c r="E27" s="179">
        <v>39.050000000000004</v>
      </c>
      <c r="F27" s="279">
        <v>0.2344</v>
      </c>
      <c r="G27"/>
      <c r="H27"/>
      <c r="I27"/>
      <c r="J27"/>
    </row>
    <row r="28" spans="1:12" x14ac:dyDescent="0.25">
      <c r="A28" s="185"/>
      <c r="B28" s="176">
        <v>2</v>
      </c>
      <c r="C28" s="176" t="s">
        <v>9</v>
      </c>
      <c r="D28" s="178">
        <v>37005</v>
      </c>
      <c r="E28" s="179">
        <v>61.54</v>
      </c>
      <c r="F28" s="279">
        <v>0.23379999999999998</v>
      </c>
      <c r="G28"/>
      <c r="H28"/>
      <c r="I28"/>
      <c r="J28"/>
    </row>
    <row r="29" spans="1:12" x14ac:dyDescent="0.25">
      <c r="A29" s="185"/>
      <c r="B29" s="176">
        <v>3</v>
      </c>
      <c r="C29" s="176" t="s">
        <v>266</v>
      </c>
      <c r="D29" s="178">
        <v>19329</v>
      </c>
      <c r="E29" s="179">
        <v>81.360000000000014</v>
      </c>
      <c r="F29" s="279">
        <v>0.12709999999999999</v>
      </c>
      <c r="G29"/>
      <c r="H29"/>
      <c r="I29"/>
      <c r="J29"/>
    </row>
    <row r="30" spans="1:12" x14ac:dyDescent="0.25">
      <c r="A30" s="185"/>
      <c r="B30" s="176">
        <v>4</v>
      </c>
      <c r="C30" s="176" t="s">
        <v>10</v>
      </c>
      <c r="D30" s="178">
        <v>883</v>
      </c>
      <c r="E30" s="179">
        <v>165.47</v>
      </c>
      <c r="F30" s="279">
        <v>0.48130000000000001</v>
      </c>
      <c r="G30"/>
      <c r="H30"/>
      <c r="I30"/>
      <c r="J30"/>
    </row>
    <row r="31" spans="1:12" x14ac:dyDescent="0.25">
      <c r="A31" s="185"/>
      <c r="B31" s="176">
        <v>5</v>
      </c>
      <c r="C31" s="176" t="s">
        <v>11</v>
      </c>
      <c r="D31" s="178">
        <v>2123</v>
      </c>
      <c r="E31" s="179">
        <v>130.14999999999998</v>
      </c>
      <c r="F31" s="279">
        <v>0.39019999999999994</v>
      </c>
      <c r="G31"/>
      <c r="H31"/>
      <c r="I31"/>
      <c r="J31"/>
    </row>
    <row r="32" spans="1:12" x14ac:dyDescent="0.25">
      <c r="A32" s="185"/>
      <c r="B32" s="176">
        <v>6</v>
      </c>
      <c r="C32" s="176" t="s">
        <v>12</v>
      </c>
      <c r="D32" s="178">
        <v>2474</v>
      </c>
      <c r="E32" s="179">
        <v>673.53</v>
      </c>
      <c r="F32" s="279">
        <v>0.32890000000000003</v>
      </c>
      <c r="G32"/>
      <c r="H32"/>
      <c r="I32"/>
      <c r="J32"/>
    </row>
    <row r="33" spans="1:10" x14ac:dyDescent="0.25">
      <c r="A33" s="185"/>
      <c r="B33" s="176">
        <v>7</v>
      </c>
      <c r="C33" s="176" t="s">
        <v>13</v>
      </c>
      <c r="D33" s="178">
        <v>1601</v>
      </c>
      <c r="E33" s="179">
        <v>1725.12</v>
      </c>
      <c r="F33" s="279">
        <v>0.39559999999999995</v>
      </c>
      <c r="G33"/>
      <c r="H33"/>
      <c r="I33"/>
      <c r="J33"/>
    </row>
    <row r="34" spans="1:10" x14ac:dyDescent="0.25">
      <c r="A34" s="185"/>
      <c r="B34" s="176">
        <v>8</v>
      </c>
      <c r="C34" s="176" t="s">
        <v>14</v>
      </c>
      <c r="D34" s="178">
        <v>1395</v>
      </c>
      <c r="E34" s="179">
        <v>3903.74</v>
      </c>
      <c r="F34" s="279">
        <v>0.41749999999999998</v>
      </c>
      <c r="G34"/>
      <c r="H34"/>
      <c r="I34"/>
      <c r="J34"/>
    </row>
    <row r="35" spans="1:10" x14ac:dyDescent="0.25">
      <c r="A35" s="185"/>
      <c r="B35" s="176">
        <v>9</v>
      </c>
      <c r="C35" s="176" t="s">
        <v>15</v>
      </c>
      <c r="D35" s="178">
        <v>113</v>
      </c>
      <c r="E35" s="179">
        <v>20379.28</v>
      </c>
      <c r="F35" s="279">
        <v>0.56559999999999999</v>
      </c>
      <c r="G35"/>
      <c r="H35"/>
      <c r="I35"/>
      <c r="J35"/>
    </row>
    <row r="36" spans="1:10" x14ac:dyDescent="0.25">
      <c r="A36" s="185"/>
      <c r="B36" s="176">
        <v>10</v>
      </c>
      <c r="C36" s="176" t="s">
        <v>16</v>
      </c>
      <c r="D36" s="178">
        <v>34</v>
      </c>
      <c r="E36" s="179">
        <v>74779.55</v>
      </c>
      <c r="F36" s="279">
        <v>0.82489999999999997</v>
      </c>
      <c r="G36"/>
      <c r="H36"/>
      <c r="I36"/>
      <c r="J36"/>
    </row>
    <row r="37" spans="1:10" x14ac:dyDescent="0.25">
      <c r="A37" s="185"/>
      <c r="B37" s="176">
        <v>11</v>
      </c>
      <c r="C37" s="176" t="s">
        <v>17</v>
      </c>
      <c r="D37" s="178">
        <v>12</v>
      </c>
      <c r="E37" s="179">
        <v>129145.90000000001</v>
      </c>
      <c r="F37" s="279">
        <v>0.73380000000000001</v>
      </c>
      <c r="G37"/>
      <c r="H37"/>
      <c r="I37"/>
      <c r="J37"/>
    </row>
    <row r="38" spans="1:10" x14ac:dyDescent="0.25">
      <c r="A38" s="185"/>
      <c r="B38" s="176">
        <v>12</v>
      </c>
      <c r="C38" s="176" t="s">
        <v>272</v>
      </c>
      <c r="D38" s="178">
        <v>2</v>
      </c>
      <c r="E38" s="179">
        <v>-11203.81</v>
      </c>
      <c r="F38" s="279">
        <v>-2.01E-2</v>
      </c>
      <c r="G38"/>
      <c r="H38"/>
      <c r="I38"/>
      <c r="J38"/>
    </row>
    <row r="39" spans="1:10" x14ac:dyDescent="0.25">
      <c r="A39" s="185"/>
      <c r="B39" s="185"/>
      <c r="C39" s="128" t="s">
        <v>273</v>
      </c>
      <c r="D39" s="129">
        <v>3</v>
      </c>
      <c r="E39" s="137">
        <v>79951.73000000001</v>
      </c>
      <c r="F39" s="280">
        <v>0.33410000000000001</v>
      </c>
      <c r="G39"/>
      <c r="H39"/>
      <c r="I39"/>
      <c r="J39"/>
    </row>
    <row r="40" spans="1:10" x14ac:dyDescent="0.25">
      <c r="A40" s="185"/>
      <c r="B40" s="185"/>
      <c r="C40" s="128" t="s">
        <v>274</v>
      </c>
      <c r="D40" s="129">
        <v>1</v>
      </c>
      <c r="E40" s="137">
        <v>23729.85</v>
      </c>
      <c r="F40" s="280">
        <v>7.2400000000000006E-2</v>
      </c>
      <c r="G40"/>
      <c r="H40"/>
      <c r="I40"/>
      <c r="J40"/>
    </row>
    <row r="41" spans="1:10" x14ac:dyDescent="0.25">
      <c r="A41" s="185"/>
      <c r="B41" s="185"/>
      <c r="C41" s="128" t="s">
        <v>287</v>
      </c>
      <c r="D41" s="129">
        <v>2</v>
      </c>
      <c r="E41" s="137">
        <v>126348.66</v>
      </c>
      <c r="F41" s="280">
        <v>0.16550000000000001</v>
      </c>
      <c r="G41"/>
      <c r="H41"/>
      <c r="I41"/>
      <c r="J41"/>
    </row>
    <row r="42" spans="1:10" x14ac:dyDescent="0.25">
      <c r="A42" s="185"/>
      <c r="B42" s="176">
        <v>13</v>
      </c>
      <c r="C42" s="176" t="s">
        <v>18</v>
      </c>
      <c r="D42" s="178">
        <v>17</v>
      </c>
      <c r="E42" s="179">
        <v>28747.74</v>
      </c>
      <c r="F42" s="279">
        <v>0.15479999999999999</v>
      </c>
      <c r="G42"/>
      <c r="H42"/>
      <c r="I42"/>
      <c r="J42"/>
    </row>
    <row r="43" spans="1:10" x14ac:dyDescent="0.25">
      <c r="A43" s="185"/>
      <c r="B43" s="176">
        <v>14</v>
      </c>
      <c r="C43" s="176" t="s">
        <v>19</v>
      </c>
      <c r="D43" s="178">
        <v>3</v>
      </c>
      <c r="E43" s="179">
        <v>40832.33</v>
      </c>
      <c r="F43" s="279">
        <v>0.57840000000000003</v>
      </c>
      <c r="G43"/>
      <c r="H43"/>
      <c r="I43"/>
      <c r="J43"/>
    </row>
    <row r="44" spans="1:10" x14ac:dyDescent="0.25">
      <c r="A44" s="185"/>
      <c r="B44" s="176">
        <v>15</v>
      </c>
      <c r="C44" s="176" t="s">
        <v>20</v>
      </c>
      <c r="D44" s="178">
        <v>29</v>
      </c>
      <c r="E44" s="179">
        <v>-2473.23</v>
      </c>
      <c r="F44" s="279">
        <v>-0.5202</v>
      </c>
      <c r="G44"/>
      <c r="H44"/>
      <c r="I44"/>
      <c r="J44"/>
    </row>
    <row r="45" spans="1:10" x14ac:dyDescent="0.25">
      <c r="A45" s="185"/>
      <c r="B45" s="176">
        <v>16</v>
      </c>
      <c r="C45" s="176" t="s">
        <v>21</v>
      </c>
      <c r="D45" s="178">
        <v>303</v>
      </c>
      <c r="E45" s="179">
        <v>259.20999999999998</v>
      </c>
      <c r="F45" s="279">
        <v>0.46429999999999999</v>
      </c>
      <c r="G45"/>
      <c r="H45"/>
      <c r="I45"/>
      <c r="J45"/>
    </row>
    <row r="46" spans="1:10" x14ac:dyDescent="0.25">
      <c r="A46" s="176"/>
      <c r="B46" s="177"/>
      <c r="C46" s="177"/>
      <c r="D46" s="178"/>
      <c r="E46" s="179"/>
      <c r="F46" s="279"/>
      <c r="G46"/>
      <c r="H46"/>
      <c r="I46"/>
      <c r="J46"/>
    </row>
    <row r="47" spans="1:10" x14ac:dyDescent="0.25">
      <c r="A47" s="180" t="s">
        <v>126</v>
      </c>
      <c r="B47" s="181"/>
      <c r="C47" s="181"/>
      <c r="D47" s="182">
        <v>94386</v>
      </c>
      <c r="E47" s="191">
        <v>527826</v>
      </c>
      <c r="F47" s="281">
        <v>9.1619999999999973</v>
      </c>
      <c r="G47"/>
      <c r="H47"/>
      <c r="I47"/>
      <c r="J47"/>
    </row>
    <row r="48" spans="1:10" x14ac:dyDescent="0.25">
      <c r="C48"/>
      <c r="D48"/>
      <c r="F48"/>
    </row>
    <row r="49" spans="5:10" customFormat="1" x14ac:dyDescent="0.25">
      <c r="E49" s="134"/>
      <c r="G49" s="134"/>
      <c r="H49" s="144"/>
      <c r="I49" s="134"/>
      <c r="J49" s="144"/>
    </row>
    <row r="50" spans="5:10" customFormat="1" x14ac:dyDescent="0.25">
      <c r="E50" s="134"/>
      <c r="G50" s="134"/>
      <c r="H50" s="144"/>
      <c r="I50" s="134"/>
      <c r="J50" s="144"/>
    </row>
    <row r="51" spans="5:10" customFormat="1" x14ac:dyDescent="0.25">
      <c r="E51" s="134"/>
      <c r="G51" s="134"/>
      <c r="H51" s="144"/>
      <c r="I51" s="134"/>
      <c r="J51" s="144"/>
    </row>
    <row r="52" spans="5:10" customFormat="1" x14ac:dyDescent="0.25">
      <c r="E52" s="134"/>
      <c r="G52" s="134"/>
      <c r="H52" s="144"/>
      <c r="I52" s="134"/>
      <c r="J52" s="144"/>
    </row>
    <row r="53" spans="5:10" customFormat="1" x14ac:dyDescent="0.25">
      <c r="E53" s="134"/>
      <c r="G53" s="134"/>
      <c r="H53" s="144"/>
      <c r="I53" s="134"/>
      <c r="J53" s="144"/>
    </row>
    <row r="54" spans="5:10" customFormat="1" x14ac:dyDescent="0.25">
      <c r="E54" s="134"/>
      <c r="G54" s="134"/>
      <c r="H54" s="144"/>
      <c r="I54" s="134"/>
      <c r="J54" s="144"/>
    </row>
    <row r="55" spans="5:10" customFormat="1" x14ac:dyDescent="0.25">
      <c r="E55" s="134"/>
      <c r="G55" s="134"/>
      <c r="H55" s="144"/>
      <c r="I55" s="134"/>
      <c r="J55" s="144"/>
    </row>
    <row r="56" spans="5:10" customFormat="1" x14ac:dyDescent="0.25">
      <c r="E56" s="134"/>
      <c r="G56" s="134"/>
      <c r="H56" s="144"/>
      <c r="I56" s="134"/>
      <c r="J56" s="144"/>
    </row>
    <row r="57" spans="5:10" customFormat="1" x14ac:dyDescent="0.25">
      <c r="E57" s="134"/>
      <c r="G57" s="134"/>
      <c r="H57" s="144"/>
      <c r="I57" s="134"/>
      <c r="J57" s="144"/>
    </row>
    <row r="58" spans="5:10" customFormat="1" x14ac:dyDescent="0.25">
      <c r="E58" s="134"/>
      <c r="G58" s="134"/>
      <c r="H58" s="144"/>
      <c r="I58" s="134"/>
      <c r="J58" s="144"/>
    </row>
    <row r="59" spans="5:10" customFormat="1" x14ac:dyDescent="0.25">
      <c r="E59" s="134"/>
      <c r="G59" s="134"/>
      <c r="H59" s="144"/>
      <c r="I59" s="134"/>
      <c r="J59" s="144"/>
    </row>
    <row r="60" spans="5:10" customFormat="1" x14ac:dyDescent="0.25">
      <c r="E60" s="134"/>
      <c r="G60" s="134"/>
      <c r="H60" s="144"/>
      <c r="I60" s="134"/>
      <c r="J60" s="144"/>
    </row>
    <row r="61" spans="5:10" customFormat="1" x14ac:dyDescent="0.25">
      <c r="E61" s="134"/>
      <c r="G61" s="134"/>
      <c r="H61" s="144"/>
      <c r="I61" s="134"/>
      <c r="J61" s="144"/>
    </row>
    <row r="62" spans="5:10" customFormat="1" x14ac:dyDescent="0.25">
      <c r="E62" s="134"/>
      <c r="G62" s="134"/>
      <c r="H62" s="144"/>
      <c r="I62" s="134"/>
      <c r="J62" s="144"/>
    </row>
    <row r="63" spans="5:10" customFormat="1" x14ac:dyDescent="0.25">
      <c r="E63" s="134"/>
      <c r="G63" s="134"/>
      <c r="H63" s="144"/>
      <c r="I63" s="134"/>
      <c r="J63" s="144"/>
    </row>
    <row r="64" spans="5:10" customFormat="1" x14ac:dyDescent="0.25">
      <c r="E64" s="134"/>
      <c r="G64" s="134"/>
      <c r="H64" s="144"/>
      <c r="I64" s="134"/>
      <c r="J64" s="144"/>
    </row>
    <row r="65" spans="5:10" customFormat="1" x14ac:dyDescent="0.25">
      <c r="E65" s="134"/>
      <c r="G65" s="134"/>
      <c r="H65" s="144"/>
      <c r="I65" s="134"/>
      <c r="J65" s="144"/>
    </row>
    <row r="66" spans="5:10" customFormat="1" x14ac:dyDescent="0.25">
      <c r="E66" s="134"/>
      <c r="G66" s="134"/>
      <c r="H66" s="144"/>
      <c r="I66" s="134"/>
      <c r="J66" s="144"/>
    </row>
    <row r="67" spans="5:10" customFormat="1" x14ac:dyDescent="0.25">
      <c r="E67" s="134"/>
      <c r="G67" s="134"/>
      <c r="H67" s="144"/>
      <c r="I67" s="134"/>
      <c r="J67" s="144"/>
    </row>
    <row r="68" spans="5:10" customFormat="1" x14ac:dyDescent="0.25">
      <c r="E68" s="134"/>
      <c r="G68" s="134"/>
      <c r="H68" s="144"/>
      <c r="I68" s="134"/>
      <c r="J68" s="144"/>
    </row>
    <row r="69" spans="5:10" customFormat="1" x14ac:dyDescent="0.25">
      <c r="E69" s="134"/>
      <c r="G69" s="134"/>
      <c r="H69" s="144"/>
      <c r="I69" s="134"/>
      <c r="J69" s="144"/>
    </row>
    <row r="70" spans="5:10" customFormat="1" x14ac:dyDescent="0.25">
      <c r="E70" s="134"/>
      <c r="G70" s="134"/>
      <c r="H70" s="144"/>
      <c r="I70" s="134"/>
      <c r="J70" s="144"/>
    </row>
    <row r="71" spans="5:10" customFormat="1" x14ac:dyDescent="0.25">
      <c r="E71" s="134"/>
      <c r="G71" s="134"/>
      <c r="H71" s="144"/>
      <c r="I71" s="134"/>
      <c r="J71" s="144"/>
    </row>
    <row r="72" spans="5:10" customFormat="1" x14ac:dyDescent="0.25">
      <c r="E72" s="134"/>
      <c r="G72" s="134"/>
      <c r="H72" s="144"/>
      <c r="I72" s="134"/>
      <c r="J72" s="144"/>
    </row>
    <row r="73" spans="5:10" customFormat="1" x14ac:dyDescent="0.25">
      <c r="E73" s="134"/>
      <c r="G73" s="134"/>
      <c r="H73" s="144"/>
      <c r="I73" s="134"/>
      <c r="J73" s="144"/>
    </row>
    <row r="74" spans="5:10" customFormat="1" x14ac:dyDescent="0.25">
      <c r="E74" s="134"/>
      <c r="G74" s="134"/>
      <c r="H74" s="144"/>
      <c r="I74" s="134"/>
      <c r="J74" s="144"/>
    </row>
    <row r="75" spans="5:10" customFormat="1" x14ac:dyDescent="0.25">
      <c r="E75" s="134"/>
      <c r="G75" s="134"/>
      <c r="H75" s="144"/>
      <c r="I75" s="134"/>
      <c r="J75" s="144"/>
    </row>
    <row r="76" spans="5:10" customFormat="1" x14ac:dyDescent="0.25">
      <c r="E76" s="134"/>
      <c r="G76" s="134"/>
      <c r="H76" s="144"/>
      <c r="I76" s="134"/>
      <c r="J76" s="144"/>
    </row>
    <row r="77" spans="5:10" customFormat="1" x14ac:dyDescent="0.25">
      <c r="E77" s="134"/>
      <c r="G77" s="134"/>
      <c r="H77" s="144"/>
      <c r="I77" s="134"/>
      <c r="J77" s="144"/>
    </row>
    <row r="78" spans="5:10" customFormat="1" x14ac:dyDescent="0.25">
      <c r="E78" s="134"/>
      <c r="G78" s="134"/>
      <c r="H78" s="144"/>
      <c r="I78" s="134"/>
      <c r="J78" s="144"/>
    </row>
    <row r="79" spans="5:10" customFormat="1" x14ac:dyDescent="0.25">
      <c r="E79" s="134"/>
      <c r="G79" s="134"/>
      <c r="H79" s="144"/>
      <c r="I79" s="134"/>
      <c r="J79" s="144"/>
    </row>
    <row r="80" spans="5:10" customFormat="1" x14ac:dyDescent="0.25">
      <c r="E80" s="134"/>
      <c r="G80" s="134"/>
      <c r="H80" s="144"/>
      <c r="I80" s="134"/>
      <c r="J80" s="144"/>
    </row>
    <row r="81" spans="5:10" customFormat="1" x14ac:dyDescent="0.25">
      <c r="E81" s="134"/>
      <c r="G81" s="134"/>
      <c r="H81" s="144"/>
      <c r="I81" s="134"/>
      <c r="J81" s="144"/>
    </row>
    <row r="82" spans="5:10" customFormat="1" x14ac:dyDescent="0.25">
      <c r="E82" s="134"/>
      <c r="G82" s="134"/>
      <c r="H82" s="144"/>
      <c r="I82" s="134"/>
      <c r="J82" s="144"/>
    </row>
    <row r="83" spans="5:10" customFormat="1" x14ac:dyDescent="0.25">
      <c r="E83" s="134"/>
      <c r="G83" s="134"/>
      <c r="H83" s="144"/>
      <c r="I83" s="134"/>
      <c r="J83" s="144"/>
    </row>
    <row r="84" spans="5:10" customFormat="1" x14ac:dyDescent="0.25">
      <c r="E84" s="134"/>
      <c r="G84" s="134"/>
      <c r="H84" s="144"/>
      <c r="I84" s="134"/>
      <c r="J84" s="144"/>
    </row>
    <row r="85" spans="5:10" customFormat="1" x14ac:dyDescent="0.25">
      <c r="E85" s="134"/>
      <c r="G85" s="134"/>
      <c r="H85" s="144"/>
      <c r="I85" s="134"/>
      <c r="J85" s="144"/>
    </row>
    <row r="86" spans="5:10" customFormat="1" x14ac:dyDescent="0.25">
      <c r="E86" s="134"/>
      <c r="G86" s="134"/>
      <c r="H86" s="144"/>
      <c r="I86" s="134"/>
      <c r="J86" s="144"/>
    </row>
    <row r="87" spans="5:10" customFormat="1" x14ac:dyDescent="0.25">
      <c r="E87" s="134"/>
      <c r="G87" s="134"/>
      <c r="H87" s="144"/>
      <c r="I87" s="134"/>
      <c r="J87" s="144"/>
    </row>
    <row r="88" spans="5:10" customFormat="1" x14ac:dyDescent="0.25">
      <c r="E88" s="134"/>
      <c r="G88" s="134"/>
      <c r="H88" s="144"/>
      <c r="I88" s="134"/>
      <c r="J88" s="144"/>
    </row>
    <row r="89" spans="5:10" customFormat="1" x14ac:dyDescent="0.25">
      <c r="E89" s="134"/>
      <c r="G89" s="134"/>
      <c r="H89" s="144"/>
      <c r="I89" s="134"/>
      <c r="J89" s="144"/>
    </row>
    <row r="90" spans="5:10" customFormat="1" x14ac:dyDescent="0.25">
      <c r="E90" s="134"/>
      <c r="G90" s="134"/>
      <c r="H90" s="144"/>
      <c r="I90" s="134"/>
      <c r="J90" s="144"/>
    </row>
    <row r="91" spans="5:10" customFormat="1" x14ac:dyDescent="0.25">
      <c r="E91" s="134"/>
      <c r="G91" s="134"/>
      <c r="H91" s="144"/>
      <c r="I91" s="134"/>
      <c r="J91" s="144"/>
    </row>
    <row r="92" spans="5:10" customFormat="1" x14ac:dyDescent="0.25">
      <c r="E92" s="134"/>
      <c r="G92" s="134"/>
      <c r="H92" s="144"/>
      <c r="I92" s="134"/>
      <c r="J92" s="144"/>
    </row>
    <row r="93" spans="5:10" customFormat="1" x14ac:dyDescent="0.25">
      <c r="E93" s="134"/>
      <c r="G93" s="134"/>
      <c r="H93" s="144"/>
      <c r="I93" s="134"/>
      <c r="J93" s="144"/>
    </row>
    <row r="94" spans="5:10" customFormat="1" x14ac:dyDescent="0.25">
      <c r="E94" s="134"/>
      <c r="G94" s="134"/>
      <c r="H94" s="144"/>
      <c r="I94" s="134"/>
      <c r="J94" s="144"/>
    </row>
    <row r="95" spans="5:10" customFormat="1" x14ac:dyDescent="0.25">
      <c r="E95" s="134"/>
      <c r="G95" s="134"/>
      <c r="H95" s="144"/>
      <c r="I95" s="134"/>
      <c r="J95" s="144"/>
    </row>
    <row r="96" spans="5:10" customFormat="1" x14ac:dyDescent="0.25">
      <c r="E96" s="134"/>
      <c r="G96" s="134"/>
      <c r="H96" s="144"/>
      <c r="I96" s="134"/>
      <c r="J96" s="144"/>
    </row>
    <row r="97" spans="3:6" x14ac:dyDescent="0.25">
      <c r="C97"/>
      <c r="D97"/>
      <c r="F97"/>
    </row>
    <row r="98" spans="3:6" x14ac:dyDescent="0.25">
      <c r="C98"/>
      <c r="D98"/>
      <c r="F98"/>
    </row>
    <row r="99" spans="3:6" x14ac:dyDescent="0.25">
      <c r="C99"/>
      <c r="D99"/>
      <c r="F99"/>
    </row>
    <row r="100" spans="3:6" x14ac:dyDescent="0.25">
      <c r="C100"/>
      <c r="D100"/>
      <c r="F100"/>
    </row>
    <row r="101" spans="3:6" x14ac:dyDescent="0.25">
      <c r="C101"/>
      <c r="D101"/>
      <c r="F101"/>
    </row>
    <row r="102" spans="3:6" x14ac:dyDescent="0.25">
      <c r="C102"/>
      <c r="D102"/>
      <c r="F102"/>
    </row>
    <row r="103" spans="3:6" x14ac:dyDescent="0.25">
      <c r="C103"/>
      <c r="D103"/>
      <c r="F103"/>
    </row>
    <row r="104" spans="3:6" x14ac:dyDescent="0.25">
      <c r="C104"/>
      <c r="D104"/>
      <c r="F104"/>
    </row>
    <row r="105" spans="3:6" x14ac:dyDescent="0.25">
      <c r="C105"/>
      <c r="D105"/>
      <c r="F105"/>
    </row>
    <row r="106" spans="3:6" x14ac:dyDescent="0.25">
      <c r="C106"/>
      <c r="D106"/>
      <c r="F106"/>
    </row>
    <row r="107" spans="3:6" x14ac:dyDescent="0.25">
      <c r="C107"/>
      <c r="D107"/>
      <c r="F107"/>
    </row>
    <row r="108" spans="3:6" x14ac:dyDescent="0.25">
      <c r="C108"/>
      <c r="D108"/>
      <c r="F108"/>
    </row>
    <row r="109" spans="3:6" x14ac:dyDescent="0.25">
      <c r="C109"/>
      <c r="D109"/>
      <c r="F109"/>
    </row>
    <row r="110" spans="3:6" x14ac:dyDescent="0.25">
      <c r="C110"/>
      <c r="D110"/>
      <c r="F110"/>
    </row>
    <row r="111" spans="3:6" x14ac:dyDescent="0.25">
      <c r="C111"/>
      <c r="D111"/>
      <c r="F111"/>
    </row>
    <row r="112" spans="3:6" x14ac:dyDescent="0.25">
      <c r="C112"/>
      <c r="D112"/>
      <c r="F112"/>
    </row>
    <row r="113" spans="3:6" x14ac:dyDescent="0.25">
      <c r="C113"/>
      <c r="D113"/>
      <c r="F113"/>
    </row>
    <row r="114" spans="3:6" x14ac:dyDescent="0.25">
      <c r="C114"/>
      <c r="D114"/>
      <c r="F114"/>
    </row>
    <row r="115" spans="3:6" x14ac:dyDescent="0.25">
      <c r="C115"/>
      <c r="D115"/>
      <c r="F115"/>
    </row>
    <row r="116" spans="3:6" x14ac:dyDescent="0.25">
      <c r="C116"/>
      <c r="D116"/>
      <c r="F116"/>
    </row>
    <row r="117" spans="3:6" x14ac:dyDescent="0.25">
      <c r="C117"/>
      <c r="D117"/>
      <c r="F117"/>
    </row>
    <row r="118" spans="3:6" x14ac:dyDescent="0.25">
      <c r="C118"/>
      <c r="D118"/>
      <c r="F118"/>
    </row>
    <row r="119" spans="3:6" x14ac:dyDescent="0.25">
      <c r="C119"/>
      <c r="D119"/>
      <c r="F119"/>
    </row>
    <row r="120" spans="3:6" x14ac:dyDescent="0.25">
      <c r="C120"/>
      <c r="D120"/>
      <c r="F120"/>
    </row>
    <row r="121" spans="3:6" x14ac:dyDescent="0.25">
      <c r="C121"/>
      <c r="D121"/>
      <c r="F121"/>
    </row>
    <row r="122" spans="3:6" x14ac:dyDescent="0.25">
      <c r="C122"/>
      <c r="D122"/>
      <c r="F122"/>
    </row>
    <row r="123" spans="3:6" x14ac:dyDescent="0.25">
      <c r="C123"/>
      <c r="D123"/>
      <c r="F123"/>
    </row>
    <row r="124" spans="3:6" x14ac:dyDescent="0.25">
      <c r="C124"/>
      <c r="D124"/>
      <c r="F124"/>
    </row>
    <row r="125" spans="3:6" x14ac:dyDescent="0.25">
      <c r="C125"/>
      <c r="D125"/>
      <c r="F125"/>
    </row>
    <row r="126" spans="3:6" x14ac:dyDescent="0.25">
      <c r="C126"/>
      <c r="D126"/>
      <c r="F126"/>
    </row>
    <row r="127" spans="3:6" x14ac:dyDescent="0.25">
      <c r="C127"/>
      <c r="D127"/>
      <c r="F127"/>
    </row>
    <row r="128" spans="3:6" x14ac:dyDescent="0.25">
      <c r="C128"/>
      <c r="D128"/>
      <c r="F128"/>
    </row>
    <row r="129" spans="3:6" x14ac:dyDescent="0.25">
      <c r="C129"/>
      <c r="D129"/>
      <c r="F129"/>
    </row>
    <row r="130" spans="3:6" x14ac:dyDescent="0.25">
      <c r="C130"/>
      <c r="D130"/>
      <c r="F130"/>
    </row>
    <row r="131" spans="3:6" x14ac:dyDescent="0.25">
      <c r="C131"/>
      <c r="D131"/>
      <c r="F131"/>
    </row>
    <row r="132" spans="3:6" x14ac:dyDescent="0.25">
      <c r="C132"/>
      <c r="D132"/>
      <c r="F132"/>
    </row>
    <row r="133" spans="3:6" x14ac:dyDescent="0.25">
      <c r="C133"/>
      <c r="D133"/>
      <c r="F133"/>
    </row>
    <row r="134" spans="3:6" x14ac:dyDescent="0.25">
      <c r="C134"/>
      <c r="D134"/>
      <c r="F134"/>
    </row>
    <row r="135" spans="3:6" x14ac:dyDescent="0.25">
      <c r="C135"/>
      <c r="D135"/>
      <c r="F135"/>
    </row>
    <row r="136" spans="3:6" x14ac:dyDescent="0.25">
      <c r="C136"/>
      <c r="D136"/>
      <c r="F136"/>
    </row>
    <row r="137" spans="3:6" x14ac:dyDescent="0.25">
      <c r="C137"/>
      <c r="D137"/>
      <c r="F137"/>
    </row>
    <row r="138" spans="3:6" x14ac:dyDescent="0.25">
      <c r="C138"/>
      <c r="D138"/>
      <c r="F138"/>
    </row>
    <row r="139" spans="3:6" x14ac:dyDescent="0.25">
      <c r="C139"/>
      <c r="D139"/>
      <c r="F139"/>
    </row>
    <row r="140" spans="3:6" x14ac:dyDescent="0.25">
      <c r="C140"/>
      <c r="D140"/>
      <c r="F140"/>
    </row>
    <row r="141" spans="3:6" x14ac:dyDescent="0.25">
      <c r="C141"/>
      <c r="D141"/>
      <c r="F141"/>
    </row>
    <row r="142" spans="3:6" x14ac:dyDescent="0.25">
      <c r="C142"/>
      <c r="D142"/>
      <c r="F142"/>
    </row>
    <row r="143" spans="3:6" x14ac:dyDescent="0.25">
      <c r="C143"/>
      <c r="D143"/>
      <c r="F143"/>
    </row>
    <row r="144" spans="3:6" x14ac:dyDescent="0.25">
      <c r="C144"/>
      <c r="D144"/>
      <c r="F144"/>
    </row>
    <row r="145" spans="3:6" x14ac:dyDescent="0.25">
      <c r="C145"/>
      <c r="D145"/>
      <c r="F145"/>
    </row>
    <row r="146" spans="3:6" x14ac:dyDescent="0.25">
      <c r="C146"/>
      <c r="D146"/>
      <c r="F146"/>
    </row>
    <row r="147" spans="3:6" x14ac:dyDescent="0.25">
      <c r="C147"/>
      <c r="D147"/>
      <c r="F147"/>
    </row>
    <row r="148" spans="3:6" x14ac:dyDescent="0.25">
      <c r="C148"/>
      <c r="D148"/>
      <c r="F148"/>
    </row>
    <row r="149" spans="3:6" x14ac:dyDescent="0.25">
      <c r="C149"/>
      <c r="D149"/>
      <c r="F149"/>
    </row>
    <row r="150" spans="3:6" x14ac:dyDescent="0.25">
      <c r="C150"/>
      <c r="D150"/>
      <c r="F150"/>
    </row>
    <row r="151" spans="3:6" x14ac:dyDescent="0.25">
      <c r="C151"/>
      <c r="D151"/>
      <c r="F151"/>
    </row>
    <row r="152" spans="3:6" x14ac:dyDescent="0.25">
      <c r="C152"/>
      <c r="D152"/>
      <c r="F152"/>
    </row>
    <row r="153" spans="3:6" x14ac:dyDescent="0.25">
      <c r="C153"/>
      <c r="D153"/>
      <c r="F153"/>
    </row>
    <row r="154" spans="3:6" x14ac:dyDescent="0.25">
      <c r="C154"/>
      <c r="D154"/>
      <c r="F154"/>
    </row>
    <row r="155" spans="3:6" x14ac:dyDescent="0.25">
      <c r="C155"/>
      <c r="D155"/>
      <c r="F155"/>
    </row>
    <row r="156" spans="3:6" x14ac:dyDescent="0.25">
      <c r="C156"/>
      <c r="D156"/>
      <c r="F156"/>
    </row>
    <row r="157" spans="3:6" x14ac:dyDescent="0.25">
      <c r="C157"/>
      <c r="D157"/>
      <c r="F157"/>
    </row>
    <row r="158" spans="3:6" x14ac:dyDescent="0.25">
      <c r="C158"/>
      <c r="D158"/>
      <c r="F158"/>
    </row>
    <row r="159" spans="3:6" x14ac:dyDescent="0.25">
      <c r="C159"/>
      <c r="D159"/>
      <c r="F159"/>
    </row>
    <row r="160" spans="3:6" x14ac:dyDescent="0.25">
      <c r="C160"/>
      <c r="D160"/>
      <c r="F160"/>
    </row>
    <row r="161" spans="3:6" x14ac:dyDescent="0.25">
      <c r="C161"/>
      <c r="D161"/>
      <c r="F161"/>
    </row>
    <row r="162" spans="3:6" x14ac:dyDescent="0.25">
      <c r="C162"/>
      <c r="D162"/>
      <c r="F162"/>
    </row>
    <row r="163" spans="3:6" x14ac:dyDescent="0.25">
      <c r="C163"/>
      <c r="D163"/>
      <c r="F163"/>
    </row>
    <row r="164" spans="3:6" x14ac:dyDescent="0.25">
      <c r="C164"/>
      <c r="D164"/>
      <c r="F164"/>
    </row>
    <row r="165" spans="3:6" x14ac:dyDescent="0.25">
      <c r="C165"/>
      <c r="D165"/>
      <c r="F165"/>
    </row>
    <row r="166" spans="3:6" x14ac:dyDescent="0.25">
      <c r="C166"/>
      <c r="D166"/>
      <c r="F166"/>
    </row>
    <row r="167" spans="3:6" x14ac:dyDescent="0.25">
      <c r="C167"/>
      <c r="D167"/>
      <c r="F167"/>
    </row>
    <row r="168" spans="3:6" x14ac:dyDescent="0.25">
      <c r="C168"/>
      <c r="D168"/>
      <c r="F168"/>
    </row>
    <row r="169" spans="3:6" x14ac:dyDescent="0.25">
      <c r="C169"/>
      <c r="D169"/>
      <c r="F169"/>
    </row>
    <row r="170" spans="3:6" x14ac:dyDescent="0.25">
      <c r="C170"/>
      <c r="D170"/>
      <c r="F170"/>
    </row>
    <row r="171" spans="3:6" x14ac:dyDescent="0.25">
      <c r="C171"/>
      <c r="D171"/>
      <c r="F171"/>
    </row>
    <row r="172" spans="3:6" x14ac:dyDescent="0.25">
      <c r="C172"/>
      <c r="D172"/>
      <c r="F172"/>
    </row>
    <row r="173" spans="3:6" x14ac:dyDescent="0.25">
      <c r="C173"/>
      <c r="D173"/>
      <c r="F173"/>
    </row>
    <row r="174" spans="3:6" x14ac:dyDescent="0.25">
      <c r="C174"/>
      <c r="D174"/>
      <c r="F174"/>
    </row>
    <row r="175" spans="3:6" x14ac:dyDescent="0.25">
      <c r="C175"/>
      <c r="D175"/>
      <c r="F175"/>
    </row>
    <row r="176" spans="3:6" x14ac:dyDescent="0.25">
      <c r="C176"/>
      <c r="D176"/>
      <c r="F176"/>
    </row>
    <row r="177" spans="3:6" x14ac:dyDescent="0.25">
      <c r="C177"/>
      <c r="D177"/>
      <c r="F177"/>
    </row>
    <row r="178" spans="3:6" x14ac:dyDescent="0.25">
      <c r="C178"/>
      <c r="D178"/>
      <c r="F178"/>
    </row>
    <row r="179" spans="3:6" x14ac:dyDescent="0.25">
      <c r="C179"/>
      <c r="D179"/>
      <c r="F179"/>
    </row>
    <row r="180" spans="3:6" x14ac:dyDescent="0.25">
      <c r="C180"/>
      <c r="D180"/>
      <c r="F180"/>
    </row>
    <row r="181" spans="3:6" x14ac:dyDescent="0.25">
      <c r="C181"/>
      <c r="D181"/>
      <c r="F181"/>
    </row>
    <row r="182" spans="3:6" x14ac:dyDescent="0.25">
      <c r="C182"/>
      <c r="D182"/>
      <c r="F182"/>
    </row>
    <row r="183" spans="3:6" x14ac:dyDescent="0.25">
      <c r="C183"/>
      <c r="D183"/>
      <c r="F183"/>
    </row>
    <row r="184" spans="3:6" x14ac:dyDescent="0.25">
      <c r="C184"/>
      <c r="D184"/>
      <c r="F184"/>
    </row>
    <row r="185" spans="3:6" x14ac:dyDescent="0.25">
      <c r="C185"/>
      <c r="D185"/>
      <c r="F185"/>
    </row>
    <row r="186" spans="3:6" x14ac:dyDescent="0.25">
      <c r="C186"/>
      <c r="D186"/>
      <c r="F186"/>
    </row>
    <row r="187" spans="3:6" x14ac:dyDescent="0.25">
      <c r="C187"/>
      <c r="D187"/>
      <c r="F187"/>
    </row>
    <row r="188" spans="3:6" x14ac:dyDescent="0.25">
      <c r="C188"/>
      <c r="D188"/>
      <c r="F188"/>
    </row>
    <row r="189" spans="3:6" x14ac:dyDescent="0.25">
      <c r="C189"/>
      <c r="D189"/>
      <c r="F189"/>
    </row>
    <row r="190" spans="3:6" x14ac:dyDescent="0.25">
      <c r="C190"/>
      <c r="D190"/>
      <c r="F190"/>
    </row>
    <row r="191" spans="3:6" x14ac:dyDescent="0.25">
      <c r="C191"/>
      <c r="D191"/>
      <c r="F191"/>
    </row>
    <row r="192" spans="3:6" x14ac:dyDescent="0.25">
      <c r="C192"/>
      <c r="D192"/>
      <c r="F192"/>
    </row>
    <row r="193" spans="3:6" x14ac:dyDescent="0.25">
      <c r="C193"/>
      <c r="D193"/>
      <c r="F193"/>
    </row>
    <row r="194" spans="3:6" x14ac:dyDescent="0.25">
      <c r="C194"/>
      <c r="D194"/>
      <c r="F194"/>
    </row>
    <row r="195" spans="3:6" x14ac:dyDescent="0.25">
      <c r="C195"/>
      <c r="D195"/>
      <c r="F195"/>
    </row>
    <row r="196" spans="3:6" x14ac:dyDescent="0.25">
      <c r="C196"/>
      <c r="D196"/>
      <c r="F196"/>
    </row>
    <row r="197" spans="3:6" x14ac:dyDescent="0.25">
      <c r="C197"/>
      <c r="D197"/>
      <c r="F197"/>
    </row>
    <row r="198" spans="3:6" x14ac:dyDescent="0.25">
      <c r="C198"/>
      <c r="D198"/>
      <c r="F198"/>
    </row>
    <row r="199" spans="3:6" x14ac:dyDescent="0.25">
      <c r="C199"/>
      <c r="D199"/>
      <c r="F199"/>
    </row>
    <row r="200" spans="3:6" x14ac:dyDescent="0.25">
      <c r="C200"/>
      <c r="D200"/>
      <c r="F200"/>
    </row>
    <row r="201" spans="3:6" x14ac:dyDescent="0.25">
      <c r="C201"/>
      <c r="D201"/>
      <c r="F201"/>
    </row>
    <row r="202" spans="3:6" x14ac:dyDescent="0.25">
      <c r="C202"/>
      <c r="D202"/>
      <c r="F202"/>
    </row>
    <row r="203" spans="3:6" x14ac:dyDescent="0.25">
      <c r="C203"/>
      <c r="D203"/>
      <c r="F203"/>
    </row>
    <row r="204" spans="3:6" x14ac:dyDescent="0.25">
      <c r="C204"/>
      <c r="D204"/>
      <c r="F204"/>
    </row>
    <row r="205" spans="3:6" x14ac:dyDescent="0.25">
      <c r="C205"/>
      <c r="D205"/>
      <c r="F205"/>
    </row>
    <row r="206" spans="3:6" x14ac:dyDescent="0.25">
      <c r="C206"/>
      <c r="D206"/>
      <c r="F206"/>
    </row>
    <row r="207" spans="3:6" x14ac:dyDescent="0.25">
      <c r="C207"/>
      <c r="D207"/>
      <c r="F207"/>
    </row>
    <row r="208" spans="3:6" x14ac:dyDescent="0.25">
      <c r="C208"/>
      <c r="D208"/>
      <c r="F208"/>
    </row>
    <row r="209" spans="3:6" x14ac:dyDescent="0.25">
      <c r="C209"/>
      <c r="D209"/>
      <c r="F209"/>
    </row>
    <row r="210" spans="3:6" x14ac:dyDescent="0.25">
      <c r="C210"/>
      <c r="D210"/>
      <c r="F210"/>
    </row>
    <row r="211" spans="3:6" x14ac:dyDescent="0.25">
      <c r="C211"/>
      <c r="D211"/>
      <c r="F211"/>
    </row>
    <row r="212" spans="3:6" x14ac:dyDescent="0.25">
      <c r="C212"/>
      <c r="D212"/>
      <c r="F212"/>
    </row>
    <row r="213" spans="3:6" x14ac:dyDescent="0.25">
      <c r="C213"/>
      <c r="D213"/>
      <c r="F213"/>
    </row>
    <row r="214" spans="3:6" x14ac:dyDescent="0.25">
      <c r="C214"/>
      <c r="D214"/>
      <c r="F214"/>
    </row>
    <row r="215" spans="3:6" x14ac:dyDescent="0.25">
      <c r="C215"/>
      <c r="D215"/>
      <c r="F215"/>
    </row>
    <row r="216" spans="3:6" x14ac:dyDescent="0.25">
      <c r="C216"/>
      <c r="D216"/>
      <c r="F216"/>
    </row>
    <row r="217" spans="3:6" x14ac:dyDescent="0.25">
      <c r="C217"/>
      <c r="D217"/>
      <c r="F217"/>
    </row>
    <row r="218" spans="3:6" x14ac:dyDescent="0.25">
      <c r="C218"/>
      <c r="D218"/>
      <c r="F218"/>
    </row>
    <row r="219" spans="3:6" x14ac:dyDescent="0.25">
      <c r="C219"/>
      <c r="D219"/>
      <c r="F219"/>
    </row>
    <row r="220" spans="3:6" x14ac:dyDescent="0.25">
      <c r="C220"/>
      <c r="D220"/>
      <c r="F220"/>
    </row>
    <row r="221" spans="3:6" x14ac:dyDescent="0.25">
      <c r="C221"/>
      <c r="D221"/>
      <c r="F221"/>
    </row>
    <row r="222" spans="3:6" x14ac:dyDescent="0.25">
      <c r="C222"/>
      <c r="D222"/>
      <c r="F222"/>
    </row>
    <row r="223" spans="3:6" x14ac:dyDescent="0.25">
      <c r="C223"/>
      <c r="D223"/>
      <c r="F223"/>
    </row>
    <row r="224" spans="3:6" x14ac:dyDescent="0.25">
      <c r="C224"/>
      <c r="D224"/>
      <c r="F224"/>
    </row>
    <row r="225" spans="3:6" x14ac:dyDescent="0.25">
      <c r="C225"/>
      <c r="D225"/>
      <c r="F225"/>
    </row>
    <row r="226" spans="3:6" x14ac:dyDescent="0.25">
      <c r="C226"/>
      <c r="D226"/>
      <c r="F226"/>
    </row>
    <row r="227" spans="3:6" x14ac:dyDescent="0.25">
      <c r="C227"/>
      <c r="D227"/>
      <c r="F227"/>
    </row>
    <row r="228" spans="3:6" x14ac:dyDescent="0.25">
      <c r="C228"/>
      <c r="D228"/>
      <c r="F228"/>
    </row>
    <row r="229" spans="3:6" x14ac:dyDescent="0.25">
      <c r="C229"/>
      <c r="D229"/>
      <c r="F229"/>
    </row>
    <row r="230" spans="3:6" x14ac:dyDescent="0.25">
      <c r="C230"/>
      <c r="D230"/>
      <c r="F230"/>
    </row>
    <row r="231" spans="3:6" x14ac:dyDescent="0.25">
      <c r="C231"/>
      <c r="D231"/>
      <c r="F231"/>
    </row>
    <row r="232" spans="3:6" x14ac:dyDescent="0.25">
      <c r="C232"/>
      <c r="D232"/>
      <c r="F232"/>
    </row>
    <row r="233" spans="3:6" x14ac:dyDescent="0.25">
      <c r="C233"/>
      <c r="D233"/>
      <c r="F233"/>
    </row>
    <row r="234" spans="3:6" x14ac:dyDescent="0.25">
      <c r="C234"/>
      <c r="D234"/>
      <c r="F234"/>
    </row>
    <row r="235" spans="3:6" x14ac:dyDescent="0.25">
      <c r="C235"/>
      <c r="D235"/>
      <c r="F235"/>
    </row>
    <row r="236" spans="3:6" x14ac:dyDescent="0.25">
      <c r="C236"/>
      <c r="D236"/>
      <c r="F236"/>
    </row>
    <row r="237" spans="3:6" x14ac:dyDescent="0.25">
      <c r="C237"/>
      <c r="D237"/>
      <c r="F237"/>
    </row>
    <row r="238" spans="3:6" x14ac:dyDescent="0.25">
      <c r="C238"/>
      <c r="D238"/>
      <c r="F238"/>
    </row>
    <row r="239" spans="3:6" x14ac:dyDescent="0.25">
      <c r="C239"/>
      <c r="D239"/>
      <c r="F239"/>
    </row>
    <row r="240" spans="3:6" x14ac:dyDescent="0.25">
      <c r="C240"/>
      <c r="D240"/>
      <c r="F240"/>
    </row>
    <row r="241" spans="3:6" x14ac:dyDescent="0.25">
      <c r="C241"/>
      <c r="D241"/>
      <c r="F241"/>
    </row>
    <row r="242" spans="3:6" x14ac:dyDescent="0.25">
      <c r="C242"/>
      <c r="D242"/>
      <c r="F242"/>
    </row>
    <row r="243" spans="3:6" x14ac:dyDescent="0.25">
      <c r="C243"/>
      <c r="D243"/>
      <c r="F243"/>
    </row>
    <row r="244" spans="3:6" x14ac:dyDescent="0.25">
      <c r="C244"/>
      <c r="D244"/>
      <c r="F244"/>
    </row>
    <row r="245" spans="3:6" x14ac:dyDescent="0.25">
      <c r="C245"/>
      <c r="D245"/>
      <c r="F245"/>
    </row>
    <row r="246" spans="3:6" x14ac:dyDescent="0.25">
      <c r="C246"/>
      <c r="D246"/>
      <c r="F246"/>
    </row>
    <row r="247" spans="3:6" x14ac:dyDescent="0.25">
      <c r="C247"/>
      <c r="D247"/>
      <c r="F247"/>
    </row>
    <row r="248" spans="3:6" x14ac:dyDescent="0.25">
      <c r="C248"/>
      <c r="D248"/>
      <c r="F248"/>
    </row>
    <row r="249" spans="3:6" x14ac:dyDescent="0.25">
      <c r="C249"/>
      <c r="D249"/>
      <c r="F249"/>
    </row>
    <row r="250" spans="3:6" x14ac:dyDescent="0.25">
      <c r="C250"/>
      <c r="D250"/>
      <c r="F250"/>
    </row>
    <row r="251" spans="3:6" x14ac:dyDescent="0.25">
      <c r="C251"/>
      <c r="D251"/>
      <c r="F251"/>
    </row>
    <row r="252" spans="3:6" x14ac:dyDescent="0.25">
      <c r="C252"/>
      <c r="D252"/>
      <c r="F252"/>
    </row>
    <row r="253" spans="3:6" x14ac:dyDescent="0.25">
      <c r="C253"/>
      <c r="D253"/>
      <c r="F253"/>
    </row>
  </sheetData>
  <phoneticPr fontId="7" type="noConversion"/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A6B2-165A-4024-B8AC-ECE82AD0B9E6}">
  <dimension ref="A3:R324"/>
  <sheetViews>
    <sheetView zoomScale="85" zoomScaleNormal="85" workbookViewId="0">
      <pane xSplit="5" ySplit="3" topLeftCell="J4" activePane="bottomRight" state="frozen"/>
      <selection activeCell="A3" sqref="A3:XFD12"/>
      <selection pane="topRight" activeCell="A3" sqref="A3:XFD12"/>
      <selection pane="bottomLeft" activeCell="A3" sqref="A3:XFD12"/>
      <selection pane="bottomRight" activeCell="A3" sqref="A3:XFD12"/>
    </sheetView>
  </sheetViews>
  <sheetFormatPr defaultRowHeight="15" x14ac:dyDescent="0.25"/>
  <cols>
    <col min="1" max="1" width="19.140625" bestFit="1" customWidth="1"/>
    <col min="2" max="2" width="7.7109375" customWidth="1"/>
    <col min="3" max="3" width="32" bestFit="1" customWidth="1"/>
    <col min="4" max="4" width="24.5703125" style="1" bestFit="1" customWidth="1"/>
    <col min="5" max="5" width="13.42578125" style="13" bestFit="1" customWidth="1"/>
    <col min="6" max="6" width="59.85546875" style="13" bestFit="1" customWidth="1"/>
    <col min="7" max="7" width="13.5703125" style="16" customWidth="1"/>
    <col min="8" max="9" width="15.5703125" style="93" customWidth="1"/>
    <col min="10" max="11" width="15.5703125" customWidth="1"/>
    <col min="12" max="13" width="15.5703125" style="2" customWidth="1"/>
    <col min="14" max="14" width="15.5703125" style="13" customWidth="1"/>
    <col min="15" max="15" width="15.5703125" style="117" customWidth="1"/>
    <col min="16" max="16" width="17.140625" style="18" customWidth="1"/>
    <col min="17" max="17" width="17.140625" style="14" customWidth="1"/>
    <col min="18" max="18" width="17.140625" customWidth="1"/>
  </cols>
  <sheetData>
    <row r="3" spans="1:18" ht="60" x14ac:dyDescent="0.25">
      <c r="A3" s="96" t="s">
        <v>131</v>
      </c>
      <c r="B3" s="96" t="s">
        <v>66</v>
      </c>
      <c r="C3" s="96" t="s">
        <v>4</v>
      </c>
      <c r="D3" s="96" t="s">
        <v>191</v>
      </c>
      <c r="E3" s="96" t="s">
        <v>130</v>
      </c>
      <c r="F3" s="96" t="s">
        <v>67</v>
      </c>
      <c r="G3" s="96" t="s">
        <v>5</v>
      </c>
      <c r="H3" s="96" t="s">
        <v>281</v>
      </c>
      <c r="I3" s="96" t="s">
        <v>135</v>
      </c>
      <c r="J3" s="96" t="s">
        <v>136</v>
      </c>
      <c r="K3" s="96" t="s">
        <v>260</v>
      </c>
      <c r="L3" s="96" t="s">
        <v>31</v>
      </c>
      <c r="M3" s="97" t="s">
        <v>262</v>
      </c>
      <c r="N3" s="97" t="s">
        <v>263</v>
      </c>
      <c r="O3" s="127" t="s">
        <v>264</v>
      </c>
      <c r="P3" s="115" t="s">
        <v>265</v>
      </c>
    </row>
    <row r="4" spans="1:18" s="89" customFormat="1" hidden="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8"/>
      <c r="M4" s="98"/>
      <c r="N4" s="84"/>
      <c r="O4" s="116"/>
      <c r="P4" s="71"/>
      <c r="Q4" s="15"/>
    </row>
    <row r="5" spans="1:18" s="89" customFormat="1" hidden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8"/>
      <c r="M5" s="98"/>
      <c r="N5" s="84"/>
      <c r="O5" s="116"/>
      <c r="P5" s="71"/>
      <c r="Q5" s="15"/>
    </row>
    <row r="6" spans="1:18" hidden="1" x14ac:dyDescent="0.25">
      <c r="D6"/>
      <c r="E6"/>
      <c r="F6"/>
      <c r="G6" s="158" t="s">
        <v>65</v>
      </c>
      <c r="H6" s="133"/>
      <c r="I6" s="133"/>
      <c r="J6" s="133"/>
      <c r="K6" s="133"/>
      <c r="L6" s="133"/>
      <c r="M6" s="133"/>
      <c r="N6" s="133"/>
      <c r="O6" s="133"/>
      <c r="P6" s="133"/>
      <c r="Q6"/>
    </row>
    <row r="7" spans="1:18" s="31" customFormat="1" ht="29.25" hidden="1" customHeight="1" x14ac:dyDescent="0.25">
      <c r="A7" s="186" t="s">
        <v>131</v>
      </c>
      <c r="B7" s="186" t="s">
        <v>66</v>
      </c>
      <c r="C7" s="125" t="s">
        <v>276</v>
      </c>
      <c r="D7" s="125" t="s">
        <v>191</v>
      </c>
      <c r="E7" s="186" t="s">
        <v>130</v>
      </c>
      <c r="F7" s="186" t="s">
        <v>67</v>
      </c>
      <c r="G7" s="150" t="s">
        <v>68</v>
      </c>
      <c r="H7" s="126" t="s">
        <v>282</v>
      </c>
      <c r="I7" s="162" t="s">
        <v>69</v>
      </c>
      <c r="J7" s="162" t="s">
        <v>70</v>
      </c>
      <c r="K7" s="150" t="s">
        <v>261</v>
      </c>
      <c r="L7" s="162" t="s">
        <v>71</v>
      </c>
      <c r="M7" s="150" t="s">
        <v>253</v>
      </c>
      <c r="N7" s="150" t="s">
        <v>258</v>
      </c>
      <c r="O7" s="126" t="s">
        <v>285</v>
      </c>
      <c r="P7" s="126" t="s">
        <v>286</v>
      </c>
      <c r="Q7"/>
    </row>
    <row r="8" spans="1:18" x14ac:dyDescent="0.25">
      <c r="A8" s="132" t="s">
        <v>152</v>
      </c>
      <c r="B8" s="132">
        <v>1</v>
      </c>
      <c r="C8" s="132" t="s">
        <v>8</v>
      </c>
      <c r="D8" s="132" t="s">
        <v>39</v>
      </c>
      <c r="E8" s="132" t="s">
        <v>151</v>
      </c>
      <c r="F8" s="132" t="s">
        <v>77</v>
      </c>
      <c r="G8" s="133">
        <v>181</v>
      </c>
      <c r="H8" s="133">
        <v>53</v>
      </c>
      <c r="I8" s="154">
        <v>9</v>
      </c>
      <c r="J8" s="154">
        <v>11.5</v>
      </c>
      <c r="K8" s="163">
        <v>0.37835000000000002</v>
      </c>
      <c r="L8" s="163">
        <v>0.37835000000000002</v>
      </c>
      <c r="M8" s="137">
        <v>128.05255</v>
      </c>
      <c r="N8" s="137">
        <v>158.05255</v>
      </c>
      <c r="O8" s="133">
        <v>30</v>
      </c>
      <c r="P8" s="165">
        <v>0.23427881756357058</v>
      </c>
      <c r="Q8"/>
    </row>
    <row r="9" spans="1:18" x14ac:dyDescent="0.25">
      <c r="D9"/>
      <c r="E9" s="132" t="s">
        <v>158</v>
      </c>
      <c r="F9" s="132" t="s">
        <v>76</v>
      </c>
      <c r="G9" s="133">
        <v>249</v>
      </c>
      <c r="H9" s="133">
        <v>45</v>
      </c>
      <c r="I9" s="154">
        <v>8.5</v>
      </c>
      <c r="J9" s="154">
        <v>11.5</v>
      </c>
      <c r="K9" s="163">
        <v>0.70945000000000014</v>
      </c>
      <c r="L9" s="163">
        <v>0.58026</v>
      </c>
      <c r="M9" s="137">
        <v>133.92525000000001</v>
      </c>
      <c r="N9" s="137">
        <v>164.11169999999998</v>
      </c>
      <c r="O9" s="133">
        <v>30.186449999999979</v>
      </c>
      <c r="P9" s="165">
        <v>0.22539774986419647</v>
      </c>
      <c r="Q9"/>
    </row>
    <row r="10" spans="1:18" s="89" customFormat="1" x14ac:dyDescent="0.25">
      <c r="A10" s="167"/>
      <c r="B10" s="167"/>
      <c r="C10"/>
      <c r="D10"/>
      <c r="E10" s="132" t="s">
        <v>164</v>
      </c>
      <c r="F10" s="132" t="s">
        <v>72</v>
      </c>
      <c r="G10" s="133">
        <v>21117</v>
      </c>
      <c r="H10" s="133">
        <v>52</v>
      </c>
      <c r="I10" s="154">
        <v>11</v>
      </c>
      <c r="J10" s="154">
        <v>16.5</v>
      </c>
      <c r="K10" s="163">
        <v>0.81469999999999998</v>
      </c>
      <c r="L10" s="163">
        <v>0.65229000000000004</v>
      </c>
      <c r="M10" s="137">
        <v>174.36440000000002</v>
      </c>
      <c r="N10" s="137">
        <v>231.91908000000001</v>
      </c>
      <c r="O10" s="133">
        <v>57.554679999999991</v>
      </c>
      <c r="P10" s="165">
        <v>0.33008274624866074</v>
      </c>
      <c r="R10" s="112"/>
    </row>
    <row r="11" spans="1:18" x14ac:dyDescent="0.25">
      <c r="D11"/>
      <c r="E11" s="132" t="s">
        <v>172</v>
      </c>
      <c r="F11" s="132" t="s">
        <v>73</v>
      </c>
      <c r="G11" s="133">
        <v>4907</v>
      </c>
      <c r="H11" s="133">
        <v>60</v>
      </c>
      <c r="I11" s="154">
        <v>19</v>
      </c>
      <c r="J11" s="154">
        <v>16.5</v>
      </c>
      <c r="K11" s="163">
        <v>0.57715000000000005</v>
      </c>
      <c r="L11" s="163">
        <v>0.65229000000000004</v>
      </c>
      <c r="M11" s="137">
        <v>262.62900000000002</v>
      </c>
      <c r="N11" s="137">
        <v>237.13740000000001</v>
      </c>
      <c r="O11" s="133">
        <v>-25.491600000000005</v>
      </c>
      <c r="P11" s="165">
        <v>-9.7063157534011874E-2</v>
      </c>
      <c r="Q11"/>
    </row>
    <row r="12" spans="1:18" x14ac:dyDescent="0.25">
      <c r="D12"/>
      <c r="E12"/>
      <c r="F12" s="132" t="s">
        <v>74</v>
      </c>
      <c r="G12" s="133">
        <v>846</v>
      </c>
      <c r="H12" s="133">
        <v>68</v>
      </c>
      <c r="I12" s="154">
        <v>15.5</v>
      </c>
      <c r="J12" s="154">
        <v>16.5</v>
      </c>
      <c r="K12" s="163">
        <v>0.7079399999999999</v>
      </c>
      <c r="L12" s="163">
        <v>0.65229000000000004</v>
      </c>
      <c r="M12" s="137">
        <v>234.13991999999999</v>
      </c>
      <c r="N12" s="137">
        <v>242.35572000000002</v>
      </c>
      <c r="O12" s="133">
        <v>8.21580000000003</v>
      </c>
      <c r="P12" s="165">
        <v>3.508927482336216E-2</v>
      </c>
      <c r="Q12"/>
    </row>
    <row r="13" spans="1:18" x14ac:dyDescent="0.25">
      <c r="D13"/>
      <c r="E13"/>
      <c r="F13" s="132" t="s">
        <v>75</v>
      </c>
      <c r="G13" s="133">
        <v>804</v>
      </c>
      <c r="H13" s="133">
        <v>55</v>
      </c>
      <c r="I13" s="154">
        <v>13</v>
      </c>
      <c r="J13" s="154">
        <v>16.5</v>
      </c>
      <c r="K13" s="163">
        <v>1.17665</v>
      </c>
      <c r="L13" s="163">
        <v>0.65229000000000004</v>
      </c>
      <c r="M13" s="137">
        <v>220.71575000000001</v>
      </c>
      <c r="N13" s="137">
        <v>233.87594999999999</v>
      </c>
      <c r="O13" s="133">
        <v>13.160199999999975</v>
      </c>
      <c r="P13" s="165">
        <v>5.962510604703096E-2</v>
      </c>
      <c r="Q13"/>
    </row>
    <row r="14" spans="1:18" x14ac:dyDescent="0.25">
      <c r="D14"/>
      <c r="E14"/>
      <c r="F14" s="132" t="s">
        <v>78</v>
      </c>
      <c r="G14" s="133">
        <v>56</v>
      </c>
      <c r="H14" s="133">
        <v>60</v>
      </c>
      <c r="I14" s="154">
        <v>34</v>
      </c>
      <c r="J14" s="154">
        <v>16.5</v>
      </c>
      <c r="K14" s="163">
        <v>0.47495999999999999</v>
      </c>
      <c r="L14" s="163">
        <v>0.65229000000000004</v>
      </c>
      <c r="M14" s="137">
        <v>436.49759999999998</v>
      </c>
      <c r="N14" s="137">
        <v>237.13740000000001</v>
      </c>
      <c r="O14" s="133">
        <v>-199.36019999999996</v>
      </c>
      <c r="P14" s="165">
        <v>-0.45672690983867947</v>
      </c>
      <c r="Q14"/>
    </row>
    <row r="15" spans="1:18" x14ac:dyDescent="0.25">
      <c r="D15"/>
      <c r="E15"/>
      <c r="F15" s="132" t="s">
        <v>79</v>
      </c>
      <c r="G15" s="133">
        <v>39</v>
      </c>
      <c r="H15" s="133">
        <v>53</v>
      </c>
      <c r="I15" s="154">
        <v>29</v>
      </c>
      <c r="J15" s="154">
        <v>16.5</v>
      </c>
      <c r="K15" s="163">
        <v>0.11405000000000003</v>
      </c>
      <c r="L15" s="163">
        <v>0.65229000000000004</v>
      </c>
      <c r="M15" s="137">
        <v>354.04464999999999</v>
      </c>
      <c r="N15" s="137">
        <v>232.57137</v>
      </c>
      <c r="O15" s="133">
        <v>-121.47327999999999</v>
      </c>
      <c r="P15" s="165">
        <v>-0.34310158337373547</v>
      </c>
      <c r="Q15"/>
    </row>
    <row r="16" spans="1:18" x14ac:dyDescent="0.25">
      <c r="D16"/>
      <c r="E16"/>
      <c r="F16" s="132" t="s">
        <v>80</v>
      </c>
      <c r="G16" s="133">
        <v>24</v>
      </c>
      <c r="H16" s="133">
        <v>67</v>
      </c>
      <c r="I16" s="154">
        <v>17</v>
      </c>
      <c r="J16" s="154">
        <v>16.5</v>
      </c>
      <c r="K16" s="163">
        <v>0.71307000000000009</v>
      </c>
      <c r="L16" s="163">
        <v>0.65229000000000004</v>
      </c>
      <c r="M16" s="137">
        <v>251.77569</v>
      </c>
      <c r="N16" s="137">
        <v>241.70343</v>
      </c>
      <c r="O16" s="133">
        <v>-10.07226</v>
      </c>
      <c r="P16" s="165">
        <v>-4.0004894833174723E-2</v>
      </c>
      <c r="Q16"/>
    </row>
    <row r="17" spans="1:17" x14ac:dyDescent="0.25">
      <c r="D17"/>
      <c r="E17"/>
      <c r="F17" s="132" t="s">
        <v>81</v>
      </c>
      <c r="G17" s="133">
        <v>17</v>
      </c>
      <c r="H17" s="133">
        <v>66</v>
      </c>
      <c r="I17" s="154">
        <v>23</v>
      </c>
      <c r="J17" s="154">
        <v>16.5</v>
      </c>
      <c r="K17" s="163">
        <v>0.21507999999999991</v>
      </c>
      <c r="L17" s="163">
        <v>0.65229000000000004</v>
      </c>
      <c r="M17" s="137">
        <v>290.19527999999997</v>
      </c>
      <c r="N17" s="137">
        <v>241.05114</v>
      </c>
      <c r="O17" s="133">
        <v>-49.144139999999965</v>
      </c>
      <c r="P17" s="165">
        <v>-0.16934851593726807</v>
      </c>
      <c r="Q17"/>
    </row>
    <row r="18" spans="1:17" x14ac:dyDescent="0.25">
      <c r="D18"/>
      <c r="E18"/>
      <c r="F18" s="132" t="s">
        <v>82</v>
      </c>
      <c r="G18" s="133">
        <v>14</v>
      </c>
      <c r="H18" s="133">
        <v>55</v>
      </c>
      <c r="I18" s="154">
        <v>40</v>
      </c>
      <c r="J18" s="154">
        <v>16.5</v>
      </c>
      <c r="K18" s="163">
        <v>0.46758999999999995</v>
      </c>
      <c r="L18" s="163">
        <v>0.65229000000000004</v>
      </c>
      <c r="M18" s="137">
        <v>505.71745000000004</v>
      </c>
      <c r="N18" s="137">
        <v>233.87594999999999</v>
      </c>
      <c r="O18" s="133">
        <v>-271.84150000000005</v>
      </c>
      <c r="P18" s="165">
        <v>-0.53753632586733957</v>
      </c>
      <c r="Q18"/>
    </row>
    <row r="19" spans="1:17" x14ac:dyDescent="0.25">
      <c r="D19"/>
      <c r="E19"/>
      <c r="F19" s="132" t="s">
        <v>83</v>
      </c>
      <c r="G19" s="133">
        <v>1</v>
      </c>
      <c r="H19" s="133">
        <v>7</v>
      </c>
      <c r="I19" s="154">
        <v>48</v>
      </c>
      <c r="J19" s="154">
        <v>16.5</v>
      </c>
      <c r="K19" s="163">
        <v>0.15536</v>
      </c>
      <c r="L19" s="163">
        <v>0.65229000000000004</v>
      </c>
      <c r="M19" s="137">
        <v>577.08752000000004</v>
      </c>
      <c r="N19" s="137">
        <v>202.56603000000001</v>
      </c>
      <c r="O19" s="133">
        <v>-374.52149000000003</v>
      </c>
      <c r="P19" s="165">
        <v>-0.64898559927270649</v>
      </c>
      <c r="Q19"/>
    </row>
    <row r="20" spans="1:17" x14ac:dyDescent="0.25">
      <c r="C20" s="132"/>
      <c r="D20"/>
      <c r="E20"/>
      <c r="F20"/>
      <c r="G20" s="133"/>
      <c r="H20" s="133"/>
      <c r="I20" s="154"/>
      <c r="J20" s="154"/>
      <c r="K20" s="163"/>
      <c r="L20" s="163"/>
      <c r="M20" s="137"/>
      <c r="N20" s="137"/>
      <c r="O20" s="133"/>
      <c r="P20" s="165"/>
      <c r="Q20"/>
    </row>
    <row r="21" spans="1:17" x14ac:dyDescent="0.25">
      <c r="B21" s="132">
        <v>2</v>
      </c>
      <c r="C21" s="132" t="s">
        <v>9</v>
      </c>
      <c r="D21" s="132" t="s">
        <v>41</v>
      </c>
      <c r="E21" s="132" t="s">
        <v>151</v>
      </c>
      <c r="F21" s="132" t="s">
        <v>77</v>
      </c>
      <c r="G21" s="133">
        <v>378</v>
      </c>
      <c r="H21" s="133">
        <v>144</v>
      </c>
      <c r="I21" s="154">
        <v>9</v>
      </c>
      <c r="J21" s="154">
        <v>12.5</v>
      </c>
      <c r="K21" s="163">
        <v>0.37835000000000002</v>
      </c>
      <c r="L21" s="163">
        <v>0.37835000000000002</v>
      </c>
      <c r="M21" s="137">
        <v>162.48240000000001</v>
      </c>
      <c r="N21" s="137">
        <v>204.48240000000001</v>
      </c>
      <c r="O21" s="133">
        <v>42</v>
      </c>
      <c r="P21" s="165">
        <v>0.25848953486654552</v>
      </c>
      <c r="Q21"/>
    </row>
    <row r="22" spans="1:17" x14ac:dyDescent="0.25">
      <c r="D22"/>
      <c r="E22" s="132" t="s">
        <v>158</v>
      </c>
      <c r="F22" s="132" t="s">
        <v>76</v>
      </c>
      <c r="G22" s="133">
        <v>205</v>
      </c>
      <c r="H22" s="133">
        <v>147</v>
      </c>
      <c r="I22" s="154">
        <v>8.5</v>
      </c>
      <c r="J22" s="154">
        <v>12.5</v>
      </c>
      <c r="K22" s="163">
        <v>0.70945000000000014</v>
      </c>
      <c r="L22" s="163">
        <v>0.58026</v>
      </c>
      <c r="M22" s="137">
        <v>206.28915000000003</v>
      </c>
      <c r="N22" s="137">
        <v>235.29822000000001</v>
      </c>
      <c r="O22" s="133">
        <v>29.00906999999998</v>
      </c>
      <c r="P22" s="165">
        <v>0.14062334349625258</v>
      </c>
      <c r="Q22"/>
    </row>
    <row r="23" spans="1:17" s="89" customFormat="1" x14ac:dyDescent="0.25">
      <c r="A23" s="167"/>
      <c r="B23" s="167"/>
      <c r="C23"/>
      <c r="D23"/>
      <c r="E23" s="132" t="s">
        <v>164</v>
      </c>
      <c r="F23" s="132" t="s">
        <v>72</v>
      </c>
      <c r="G23" s="133">
        <v>27852</v>
      </c>
      <c r="H23" s="133">
        <v>159</v>
      </c>
      <c r="I23" s="154">
        <v>11</v>
      </c>
      <c r="J23" s="154">
        <v>19.5</v>
      </c>
      <c r="K23" s="163">
        <v>0.81469999999999998</v>
      </c>
      <c r="L23" s="163">
        <v>0.65271999999999997</v>
      </c>
      <c r="M23" s="137">
        <v>261.53730000000002</v>
      </c>
      <c r="N23" s="137">
        <v>337.78247999999996</v>
      </c>
      <c r="O23" s="133">
        <v>76.245179999999948</v>
      </c>
      <c r="P23" s="165">
        <v>0.29152698295807117</v>
      </c>
    </row>
    <row r="24" spans="1:17" x14ac:dyDescent="0.25">
      <c r="D24"/>
      <c r="E24" s="132" t="s">
        <v>172</v>
      </c>
      <c r="F24" s="132" t="s">
        <v>73</v>
      </c>
      <c r="G24" s="133">
        <v>7307</v>
      </c>
      <c r="H24" s="133">
        <v>163</v>
      </c>
      <c r="I24" s="154">
        <v>19</v>
      </c>
      <c r="J24" s="154">
        <v>19.5</v>
      </c>
      <c r="K24" s="163">
        <v>0.57715000000000005</v>
      </c>
      <c r="L24" s="163">
        <v>0.65271999999999997</v>
      </c>
      <c r="M24" s="137">
        <v>322.07544999999999</v>
      </c>
      <c r="N24" s="137">
        <v>340.39336000000003</v>
      </c>
      <c r="O24" s="133">
        <v>18.31791000000004</v>
      </c>
      <c r="P24" s="165">
        <v>5.6874592583818606E-2</v>
      </c>
      <c r="Q24"/>
    </row>
    <row r="25" spans="1:17" x14ac:dyDescent="0.25">
      <c r="D25"/>
      <c r="E25"/>
      <c r="F25" s="132" t="s">
        <v>74</v>
      </c>
      <c r="G25" s="133">
        <v>1243</v>
      </c>
      <c r="H25" s="133">
        <v>150</v>
      </c>
      <c r="I25" s="154">
        <v>15.5</v>
      </c>
      <c r="J25" s="154">
        <v>19.5</v>
      </c>
      <c r="K25" s="163">
        <v>0.7079399999999999</v>
      </c>
      <c r="L25" s="163">
        <v>0.65271999999999997</v>
      </c>
      <c r="M25" s="137">
        <v>292.19099999999997</v>
      </c>
      <c r="N25" s="137">
        <v>331.90800000000002</v>
      </c>
      <c r="O25" s="133">
        <v>39.717000000000041</v>
      </c>
      <c r="P25" s="165">
        <v>0.13592821134121189</v>
      </c>
      <c r="Q25"/>
    </row>
    <row r="26" spans="1:17" x14ac:dyDescent="0.25">
      <c r="D26"/>
      <c r="E26"/>
      <c r="F26" s="132" t="s">
        <v>75</v>
      </c>
      <c r="G26" s="133">
        <v>285</v>
      </c>
      <c r="H26" s="133">
        <v>139</v>
      </c>
      <c r="I26" s="154">
        <v>13</v>
      </c>
      <c r="J26" s="154">
        <v>19.5</v>
      </c>
      <c r="K26" s="163">
        <v>1.17665</v>
      </c>
      <c r="L26" s="163">
        <v>0.65271999999999997</v>
      </c>
      <c r="M26" s="137">
        <v>319.55435</v>
      </c>
      <c r="N26" s="137">
        <v>324.72807999999998</v>
      </c>
      <c r="O26" s="133">
        <v>5.1737299999999777</v>
      </c>
      <c r="P26" s="165">
        <v>1.6190453986935173E-2</v>
      </c>
      <c r="Q26"/>
    </row>
    <row r="27" spans="1:17" x14ac:dyDescent="0.25">
      <c r="D27"/>
      <c r="E27"/>
      <c r="F27" s="132" t="s">
        <v>78</v>
      </c>
      <c r="G27" s="133">
        <v>127</v>
      </c>
      <c r="H27" s="133">
        <v>174</v>
      </c>
      <c r="I27" s="154">
        <v>34</v>
      </c>
      <c r="J27" s="154">
        <v>19.5</v>
      </c>
      <c r="K27" s="163">
        <v>0.47495999999999999</v>
      </c>
      <c r="L27" s="163">
        <v>0.65271999999999997</v>
      </c>
      <c r="M27" s="137">
        <v>490.64304000000004</v>
      </c>
      <c r="N27" s="137">
        <v>347.57328000000001</v>
      </c>
      <c r="O27" s="133">
        <v>-143.06976000000003</v>
      </c>
      <c r="P27" s="165">
        <v>-0.2915964323064687</v>
      </c>
      <c r="Q27"/>
    </row>
    <row r="28" spans="1:17" x14ac:dyDescent="0.25">
      <c r="D28"/>
      <c r="E28"/>
      <c r="F28" s="132" t="s">
        <v>79</v>
      </c>
      <c r="G28" s="133">
        <v>91</v>
      </c>
      <c r="H28" s="133">
        <v>172</v>
      </c>
      <c r="I28" s="154">
        <v>29</v>
      </c>
      <c r="J28" s="154">
        <v>19.5</v>
      </c>
      <c r="K28" s="163">
        <v>0.11405000000000003</v>
      </c>
      <c r="L28" s="163">
        <v>0.65271999999999997</v>
      </c>
      <c r="M28" s="137">
        <v>367.61660000000001</v>
      </c>
      <c r="N28" s="137">
        <v>346.26783999999998</v>
      </c>
      <c r="O28" s="133">
        <v>-21.348760000000027</v>
      </c>
      <c r="P28" s="165">
        <v>-5.8073438468230286E-2</v>
      </c>
      <c r="Q28"/>
    </row>
    <row r="29" spans="1:17" x14ac:dyDescent="0.25">
      <c r="D29"/>
      <c r="E29"/>
      <c r="F29" s="132" t="s">
        <v>82</v>
      </c>
      <c r="G29" s="133">
        <v>51</v>
      </c>
      <c r="H29" s="133">
        <v>167</v>
      </c>
      <c r="I29" s="154">
        <v>40</v>
      </c>
      <c r="J29" s="154">
        <v>19.5</v>
      </c>
      <c r="K29" s="163">
        <v>0.46758999999999995</v>
      </c>
      <c r="L29" s="163">
        <v>0.65271999999999997</v>
      </c>
      <c r="M29" s="137">
        <v>558.08753000000002</v>
      </c>
      <c r="N29" s="137">
        <v>343.00423999999998</v>
      </c>
      <c r="O29" s="133">
        <v>-215.08329000000003</v>
      </c>
      <c r="P29" s="165">
        <v>-0.38539347044718958</v>
      </c>
      <c r="Q29"/>
    </row>
    <row r="30" spans="1:17" x14ac:dyDescent="0.25">
      <c r="D30"/>
      <c r="E30"/>
      <c r="F30" s="132" t="s">
        <v>81</v>
      </c>
      <c r="G30" s="133">
        <v>41</v>
      </c>
      <c r="H30" s="133">
        <v>144</v>
      </c>
      <c r="I30" s="154">
        <v>23</v>
      </c>
      <c r="J30" s="154">
        <v>19.5</v>
      </c>
      <c r="K30" s="163">
        <v>0.21507999999999991</v>
      </c>
      <c r="L30" s="163">
        <v>0.65271999999999997</v>
      </c>
      <c r="M30" s="137">
        <v>306.97152</v>
      </c>
      <c r="N30" s="137">
        <v>327.99167999999997</v>
      </c>
      <c r="O30" s="133">
        <v>21.020159999999976</v>
      </c>
      <c r="P30" s="165">
        <v>6.8475928972172972E-2</v>
      </c>
      <c r="Q30"/>
    </row>
    <row r="31" spans="1:17" x14ac:dyDescent="0.25">
      <c r="D31"/>
      <c r="E31"/>
      <c r="F31" s="132" t="s">
        <v>80</v>
      </c>
      <c r="G31" s="133">
        <v>5</v>
      </c>
      <c r="H31" s="133">
        <v>142</v>
      </c>
      <c r="I31" s="154">
        <v>17</v>
      </c>
      <c r="J31" s="154">
        <v>19.5</v>
      </c>
      <c r="K31" s="163">
        <v>0.71307000000000009</v>
      </c>
      <c r="L31" s="163">
        <v>0.65271999999999997</v>
      </c>
      <c r="M31" s="137">
        <v>305.25594000000001</v>
      </c>
      <c r="N31" s="137">
        <v>326.68624</v>
      </c>
      <c r="O31" s="133">
        <v>21.430299999999988</v>
      </c>
      <c r="P31" s="165">
        <v>7.0204366866702048E-2</v>
      </c>
      <c r="Q31"/>
    </row>
    <row r="32" spans="1:17" x14ac:dyDescent="0.25">
      <c r="D32"/>
      <c r="E32"/>
      <c r="F32" s="132" t="s">
        <v>83</v>
      </c>
      <c r="G32" s="133">
        <v>3</v>
      </c>
      <c r="H32" s="133">
        <v>159</v>
      </c>
      <c r="I32" s="154">
        <v>48</v>
      </c>
      <c r="J32" s="154">
        <v>19.5</v>
      </c>
      <c r="K32" s="163">
        <v>0.15536</v>
      </c>
      <c r="L32" s="163">
        <v>0.65271999999999997</v>
      </c>
      <c r="M32" s="137">
        <v>600.70223999999996</v>
      </c>
      <c r="N32" s="137">
        <v>337.78247999999996</v>
      </c>
      <c r="O32" s="133">
        <v>-262.91976</v>
      </c>
      <c r="P32" s="165">
        <v>-0.43768733074809246</v>
      </c>
      <c r="Q32"/>
    </row>
    <row r="33" spans="2:17" x14ac:dyDescent="0.25">
      <c r="C33" s="132"/>
      <c r="D33"/>
      <c r="E33"/>
      <c r="F33"/>
      <c r="G33" s="133"/>
      <c r="H33" s="133"/>
      <c r="I33" s="154"/>
      <c r="J33" s="154"/>
      <c r="K33" s="163"/>
      <c r="L33" s="163"/>
      <c r="M33" s="137"/>
      <c r="N33" s="137"/>
      <c r="O33" s="133"/>
      <c r="P33" s="165"/>
      <c r="Q33"/>
    </row>
    <row r="34" spans="2:17" x14ac:dyDescent="0.25">
      <c r="B34" s="132">
        <v>3</v>
      </c>
      <c r="C34" s="132" t="s">
        <v>266</v>
      </c>
      <c r="D34" s="132" t="s">
        <v>45</v>
      </c>
      <c r="E34" s="132" t="s">
        <v>151</v>
      </c>
      <c r="F34" s="132" t="s">
        <v>77</v>
      </c>
      <c r="G34" s="133">
        <v>119</v>
      </c>
      <c r="H34" s="133">
        <v>306</v>
      </c>
      <c r="I34" s="154">
        <v>9</v>
      </c>
      <c r="J34" s="154">
        <v>16.5</v>
      </c>
      <c r="K34" s="163">
        <v>0.37835000000000002</v>
      </c>
      <c r="L34" s="163">
        <v>0.25219999999999998</v>
      </c>
      <c r="M34" s="137">
        <v>223.77510000000001</v>
      </c>
      <c r="N34" s="137">
        <v>275.17320000000001</v>
      </c>
      <c r="O34" s="133">
        <v>51.398099999999999</v>
      </c>
      <c r="P34" s="165">
        <v>0.22968641283145444</v>
      </c>
      <c r="Q34"/>
    </row>
    <row r="35" spans="2:17" x14ac:dyDescent="0.25">
      <c r="D35"/>
      <c r="E35" s="132" t="s">
        <v>158</v>
      </c>
      <c r="F35" s="132" t="s">
        <v>76</v>
      </c>
      <c r="G35" s="133">
        <v>42</v>
      </c>
      <c r="H35" s="133">
        <v>373</v>
      </c>
      <c r="I35" s="154">
        <v>8.5</v>
      </c>
      <c r="J35" s="154">
        <v>16.5</v>
      </c>
      <c r="K35" s="163">
        <v>0.70945000000000014</v>
      </c>
      <c r="L35" s="163">
        <v>0.58026</v>
      </c>
      <c r="M35" s="137">
        <v>366.62485000000004</v>
      </c>
      <c r="N35" s="137">
        <v>414.43698000000001</v>
      </c>
      <c r="O35" s="133">
        <v>47.812129999999968</v>
      </c>
      <c r="P35" s="165">
        <v>0.1304115910309952</v>
      </c>
      <c r="Q35"/>
    </row>
    <row r="36" spans="2:17" x14ac:dyDescent="0.25">
      <c r="D36"/>
      <c r="E36" s="132" t="s">
        <v>164</v>
      </c>
      <c r="F36" s="132" t="s">
        <v>72</v>
      </c>
      <c r="G36" s="133">
        <v>15664</v>
      </c>
      <c r="H36" s="133">
        <v>682</v>
      </c>
      <c r="I36" s="154">
        <v>11</v>
      </c>
      <c r="J36" s="154">
        <v>26.5</v>
      </c>
      <c r="K36" s="163">
        <v>0.81469999999999998</v>
      </c>
      <c r="L36" s="163">
        <v>0.65386</v>
      </c>
      <c r="M36" s="137">
        <v>687.62540000000001</v>
      </c>
      <c r="N36" s="137">
        <v>763.93252000000007</v>
      </c>
      <c r="O36" s="133">
        <v>76.307120000000054</v>
      </c>
      <c r="P36" s="165">
        <v>0.11097193326482711</v>
      </c>
      <c r="Q36"/>
    </row>
    <row r="37" spans="2:17" x14ac:dyDescent="0.25">
      <c r="D37"/>
      <c r="E37" s="132" t="s">
        <v>172</v>
      </c>
      <c r="F37" s="132" t="s">
        <v>73</v>
      </c>
      <c r="G37" s="133">
        <v>2493</v>
      </c>
      <c r="H37" s="133">
        <v>503</v>
      </c>
      <c r="I37" s="154">
        <v>19</v>
      </c>
      <c r="J37" s="154">
        <v>26.5</v>
      </c>
      <c r="K37" s="163">
        <v>0.57715000000000005</v>
      </c>
      <c r="L37" s="163">
        <v>0.65386</v>
      </c>
      <c r="M37" s="137">
        <v>518.30645000000004</v>
      </c>
      <c r="N37" s="137">
        <v>646.89157999999998</v>
      </c>
      <c r="O37" s="133">
        <v>128.58512999999994</v>
      </c>
      <c r="P37" s="165">
        <v>0.24808707281184697</v>
      </c>
      <c r="Q37"/>
    </row>
    <row r="38" spans="2:17" x14ac:dyDescent="0.25">
      <c r="D38"/>
      <c r="E38"/>
      <c r="F38" s="132" t="s">
        <v>78</v>
      </c>
      <c r="G38" s="133">
        <v>560</v>
      </c>
      <c r="H38" s="133">
        <v>773</v>
      </c>
      <c r="I38" s="154">
        <v>34</v>
      </c>
      <c r="J38" s="154">
        <v>26.5</v>
      </c>
      <c r="K38" s="163">
        <v>0.47495999999999999</v>
      </c>
      <c r="L38" s="163">
        <v>0.65386</v>
      </c>
      <c r="M38" s="137">
        <v>775.14408000000003</v>
      </c>
      <c r="N38" s="137">
        <v>823.43378000000007</v>
      </c>
      <c r="O38" s="133">
        <v>48.289700000000039</v>
      </c>
      <c r="P38" s="165">
        <v>6.2297708575675424E-2</v>
      </c>
      <c r="Q38"/>
    </row>
    <row r="39" spans="2:17" x14ac:dyDescent="0.25">
      <c r="D39"/>
      <c r="E39"/>
      <c r="F39" s="132" t="s">
        <v>82</v>
      </c>
      <c r="G39" s="133">
        <v>397</v>
      </c>
      <c r="H39" s="133">
        <v>1035</v>
      </c>
      <c r="I39" s="154">
        <v>40</v>
      </c>
      <c r="J39" s="154">
        <v>26.5</v>
      </c>
      <c r="K39" s="163">
        <v>0.46758999999999995</v>
      </c>
      <c r="L39" s="163">
        <v>0.65386</v>
      </c>
      <c r="M39" s="137">
        <v>963.95564999999988</v>
      </c>
      <c r="N39" s="137">
        <v>994.74509999999998</v>
      </c>
      <c r="O39" s="133">
        <v>30.789450000000102</v>
      </c>
      <c r="P39" s="165">
        <v>3.19407329579946E-2</v>
      </c>
      <c r="Q39"/>
    </row>
    <row r="40" spans="2:17" x14ac:dyDescent="0.25">
      <c r="D40"/>
      <c r="E40"/>
      <c r="F40" s="132" t="s">
        <v>74</v>
      </c>
      <c r="G40" s="133">
        <v>113</v>
      </c>
      <c r="H40" s="133">
        <v>340</v>
      </c>
      <c r="I40" s="154">
        <v>15.5</v>
      </c>
      <c r="J40" s="154">
        <v>26.5</v>
      </c>
      <c r="K40" s="163">
        <v>0.7079399999999999</v>
      </c>
      <c r="L40" s="163">
        <v>0.65386</v>
      </c>
      <c r="M40" s="137">
        <v>426.69959999999998</v>
      </c>
      <c r="N40" s="137">
        <v>540.31240000000003</v>
      </c>
      <c r="O40" s="133">
        <v>113.61280000000005</v>
      </c>
      <c r="P40" s="165">
        <v>0.26625944809884999</v>
      </c>
      <c r="Q40"/>
    </row>
    <row r="41" spans="2:17" x14ac:dyDescent="0.25">
      <c r="D41"/>
      <c r="E41"/>
      <c r="F41" s="132" t="s">
        <v>79</v>
      </c>
      <c r="G41" s="133">
        <v>44</v>
      </c>
      <c r="H41" s="133">
        <v>419</v>
      </c>
      <c r="I41" s="154">
        <v>29</v>
      </c>
      <c r="J41" s="154">
        <v>26.5</v>
      </c>
      <c r="K41" s="163">
        <v>0.11405000000000003</v>
      </c>
      <c r="L41" s="163">
        <v>0.65386</v>
      </c>
      <c r="M41" s="137">
        <v>395.78694999999999</v>
      </c>
      <c r="N41" s="137">
        <v>591.96733999999992</v>
      </c>
      <c r="O41" s="133">
        <v>196.18038999999993</v>
      </c>
      <c r="P41" s="165">
        <v>0.49567169913004949</v>
      </c>
      <c r="Q41"/>
    </row>
    <row r="42" spans="2:17" x14ac:dyDescent="0.25">
      <c r="D42"/>
      <c r="E42"/>
      <c r="F42" s="132" t="s">
        <v>84</v>
      </c>
      <c r="G42" s="133">
        <v>17</v>
      </c>
      <c r="H42" s="133">
        <v>2132</v>
      </c>
      <c r="I42" s="154">
        <v>108</v>
      </c>
      <c r="J42" s="154">
        <v>26.5</v>
      </c>
      <c r="K42" s="163">
        <v>0.30049999999999999</v>
      </c>
      <c r="L42" s="163">
        <v>0.65386</v>
      </c>
      <c r="M42" s="137">
        <v>1936.6659999999999</v>
      </c>
      <c r="N42" s="137">
        <v>1712.02952</v>
      </c>
      <c r="O42" s="133">
        <v>-224.63647999999989</v>
      </c>
      <c r="P42" s="165">
        <v>-0.11599133769064976</v>
      </c>
      <c r="Q42"/>
    </row>
    <row r="43" spans="2:17" x14ac:dyDescent="0.25">
      <c r="D43"/>
      <c r="E43"/>
      <c r="F43" s="132" t="s">
        <v>83</v>
      </c>
      <c r="G43" s="133">
        <v>16</v>
      </c>
      <c r="H43" s="133">
        <v>667</v>
      </c>
      <c r="I43" s="154">
        <v>48</v>
      </c>
      <c r="J43" s="154">
        <v>26.5</v>
      </c>
      <c r="K43" s="163">
        <v>0.15536</v>
      </c>
      <c r="L43" s="163">
        <v>0.65386</v>
      </c>
      <c r="M43" s="137">
        <v>679.62512000000004</v>
      </c>
      <c r="N43" s="137">
        <v>754.12462000000005</v>
      </c>
      <c r="O43" s="133">
        <v>74.499500000000012</v>
      </c>
      <c r="P43" s="165">
        <v>0.10961852028071006</v>
      </c>
      <c r="Q43"/>
    </row>
    <row r="44" spans="2:17" x14ac:dyDescent="0.25">
      <c r="D44"/>
      <c r="E44"/>
      <c r="F44" s="132" t="s">
        <v>75</v>
      </c>
      <c r="G44" s="133">
        <v>14</v>
      </c>
      <c r="H44" s="133">
        <v>449</v>
      </c>
      <c r="I44" s="154">
        <v>13</v>
      </c>
      <c r="J44" s="154">
        <v>26.5</v>
      </c>
      <c r="K44" s="163">
        <v>1.17665</v>
      </c>
      <c r="L44" s="163">
        <v>0.65386</v>
      </c>
      <c r="M44" s="137">
        <v>684.31585000000007</v>
      </c>
      <c r="N44" s="137">
        <v>611.58313999999996</v>
      </c>
      <c r="O44" s="133">
        <v>-72.732710000000111</v>
      </c>
      <c r="P44" s="165">
        <v>-0.1062852920913641</v>
      </c>
      <c r="Q44"/>
    </row>
    <row r="45" spans="2:17" x14ac:dyDescent="0.25">
      <c r="D45"/>
      <c r="E45"/>
      <c r="F45" s="132" t="s">
        <v>85</v>
      </c>
      <c r="G45" s="133">
        <v>7</v>
      </c>
      <c r="H45" s="133">
        <v>1194</v>
      </c>
      <c r="I45" s="154">
        <v>87</v>
      </c>
      <c r="J45" s="154">
        <v>26.5</v>
      </c>
      <c r="K45" s="163">
        <v>0.15931999999999996</v>
      </c>
      <c r="L45" s="163">
        <v>0.65386</v>
      </c>
      <c r="M45" s="137">
        <v>1234.2280799999999</v>
      </c>
      <c r="N45" s="137">
        <v>1098.70884</v>
      </c>
      <c r="O45" s="133">
        <v>-135.51923999999985</v>
      </c>
      <c r="P45" s="165">
        <v>-0.1098008076432679</v>
      </c>
      <c r="Q45"/>
    </row>
    <row r="46" spans="2:17" x14ac:dyDescent="0.25">
      <c r="D46"/>
      <c r="E46"/>
      <c r="F46" s="132" t="s">
        <v>81</v>
      </c>
      <c r="G46" s="133">
        <v>3</v>
      </c>
      <c r="H46" s="133">
        <v>332</v>
      </c>
      <c r="I46" s="154">
        <v>23</v>
      </c>
      <c r="J46" s="154">
        <v>26.5</v>
      </c>
      <c r="K46" s="163">
        <v>0.21507999999999991</v>
      </c>
      <c r="L46" s="163">
        <v>0.65386</v>
      </c>
      <c r="M46" s="137">
        <v>347.40655999999996</v>
      </c>
      <c r="N46" s="137">
        <v>535.08151999999995</v>
      </c>
      <c r="O46" s="133">
        <v>187.67496</v>
      </c>
      <c r="P46" s="165">
        <v>0.54021708743784236</v>
      </c>
      <c r="Q46"/>
    </row>
    <row r="47" spans="2:17" x14ac:dyDescent="0.25">
      <c r="D47"/>
      <c r="E47"/>
      <c r="F47" s="132" t="s">
        <v>80</v>
      </c>
      <c r="G47" s="133">
        <v>1</v>
      </c>
      <c r="H47" s="133">
        <v>247</v>
      </c>
      <c r="I47" s="154">
        <v>17</v>
      </c>
      <c r="J47" s="154">
        <v>26.5</v>
      </c>
      <c r="K47" s="163">
        <v>0.71307000000000009</v>
      </c>
      <c r="L47" s="163">
        <v>0.65386</v>
      </c>
      <c r="M47" s="137">
        <v>380.12828999999999</v>
      </c>
      <c r="N47" s="137">
        <v>479.50342000000001</v>
      </c>
      <c r="O47" s="133">
        <v>99.375130000000013</v>
      </c>
      <c r="P47" s="165">
        <v>0.26142524146255997</v>
      </c>
      <c r="Q47"/>
    </row>
    <row r="48" spans="2:17" x14ac:dyDescent="0.25">
      <c r="C48" s="132"/>
      <c r="D48"/>
      <c r="E48"/>
      <c r="F48"/>
      <c r="G48" s="133"/>
      <c r="H48" s="133"/>
      <c r="I48" s="154"/>
      <c r="J48" s="154"/>
      <c r="K48" s="163"/>
      <c r="L48" s="163"/>
      <c r="M48" s="137"/>
      <c r="N48" s="137"/>
      <c r="O48" s="133"/>
      <c r="P48" s="165"/>
      <c r="Q48"/>
    </row>
    <row r="49" spans="1:17" x14ac:dyDescent="0.25">
      <c r="B49" s="132">
        <v>4</v>
      </c>
      <c r="C49" s="132" t="s">
        <v>10</v>
      </c>
      <c r="D49" s="132" t="s">
        <v>45</v>
      </c>
      <c r="E49" s="132" t="s">
        <v>164</v>
      </c>
      <c r="F49" s="132" t="s">
        <v>86</v>
      </c>
      <c r="G49" s="133">
        <v>883</v>
      </c>
      <c r="H49" s="133">
        <v>109</v>
      </c>
      <c r="I49" s="154">
        <v>21.25</v>
      </c>
      <c r="J49" s="154">
        <v>36.5</v>
      </c>
      <c r="K49" s="163">
        <v>0.81469999999999998</v>
      </c>
      <c r="L49" s="163">
        <v>0.65386</v>
      </c>
      <c r="M49" s="137">
        <v>343.8023</v>
      </c>
      <c r="N49" s="137">
        <v>509.27073999999999</v>
      </c>
      <c r="O49" s="133">
        <v>165.46843999999999</v>
      </c>
      <c r="P49" s="165">
        <v>0.4812895085344106</v>
      </c>
      <c r="Q49"/>
    </row>
    <row r="50" spans="1:17" x14ac:dyDescent="0.25">
      <c r="C50" s="132"/>
      <c r="D50"/>
      <c r="E50"/>
      <c r="F50"/>
      <c r="G50" s="133"/>
      <c r="H50" s="133"/>
      <c r="I50" s="154"/>
      <c r="J50" s="154"/>
      <c r="K50" s="163"/>
      <c r="L50" s="163"/>
      <c r="M50" s="137"/>
      <c r="N50" s="137"/>
      <c r="O50" s="133"/>
      <c r="P50" s="165"/>
      <c r="Q50"/>
    </row>
    <row r="51" spans="1:17" x14ac:dyDescent="0.25">
      <c r="A51" s="132" t="s">
        <v>155</v>
      </c>
      <c r="B51" s="132">
        <v>5</v>
      </c>
      <c r="C51" s="132" t="s">
        <v>11</v>
      </c>
      <c r="D51" s="132" t="s">
        <v>46</v>
      </c>
      <c r="E51" s="132" t="s">
        <v>151</v>
      </c>
      <c r="F51" s="132" t="s">
        <v>101</v>
      </c>
      <c r="G51" s="133">
        <v>9</v>
      </c>
      <c r="H51" s="133">
        <v>441</v>
      </c>
      <c r="I51" s="154">
        <v>25</v>
      </c>
      <c r="J51" s="154">
        <v>25</v>
      </c>
      <c r="K51" s="163">
        <v>5.7619999999999998E-2</v>
      </c>
      <c r="L51" s="163">
        <v>5.7619999999999998E-2</v>
      </c>
      <c r="M51" s="137">
        <v>325.41041999999999</v>
      </c>
      <c r="N51" s="137">
        <v>325.41041999999999</v>
      </c>
      <c r="O51" s="133">
        <v>0</v>
      </c>
      <c r="P51" s="165">
        <v>0</v>
      </c>
      <c r="Q51"/>
    </row>
    <row r="52" spans="1:17" x14ac:dyDescent="0.25">
      <c r="D52"/>
      <c r="E52" s="132" t="s">
        <v>158</v>
      </c>
      <c r="F52" s="132" t="s">
        <v>98</v>
      </c>
      <c r="G52" s="133">
        <v>15</v>
      </c>
      <c r="H52" s="133">
        <v>209</v>
      </c>
      <c r="I52" s="154">
        <v>17.5</v>
      </c>
      <c r="J52" s="154">
        <v>25</v>
      </c>
      <c r="K52" s="163">
        <v>0.57156000000000007</v>
      </c>
      <c r="L52" s="163">
        <v>0.55700000000000005</v>
      </c>
      <c r="M52" s="137">
        <v>329.45604000000003</v>
      </c>
      <c r="N52" s="137">
        <v>416.41300000000001</v>
      </c>
      <c r="O52" s="133">
        <v>86.956959999999981</v>
      </c>
      <c r="P52" s="165">
        <v>0.2639410101572276</v>
      </c>
      <c r="Q52"/>
    </row>
    <row r="53" spans="1:17" x14ac:dyDescent="0.25">
      <c r="D53"/>
      <c r="E53"/>
      <c r="F53" s="132" t="s">
        <v>106</v>
      </c>
      <c r="G53" s="133">
        <v>1</v>
      </c>
      <c r="H53" s="133">
        <v>100</v>
      </c>
      <c r="I53" s="154">
        <v>17.5</v>
      </c>
      <c r="J53" s="154">
        <v>25</v>
      </c>
      <c r="K53" s="163">
        <v>0.57156000000000007</v>
      </c>
      <c r="L53" s="163">
        <v>0.55700000000000005</v>
      </c>
      <c r="M53" s="137">
        <v>267.15600000000001</v>
      </c>
      <c r="N53" s="137">
        <v>355.7</v>
      </c>
      <c r="O53" s="133">
        <v>88.543999999999983</v>
      </c>
      <c r="P53" s="165">
        <v>0.33143182260551879</v>
      </c>
      <c r="Q53"/>
    </row>
    <row r="54" spans="1:17" s="89" customFormat="1" x14ac:dyDescent="0.25">
      <c r="A54" s="167"/>
      <c r="B54" s="167"/>
      <c r="C54"/>
      <c r="D54"/>
      <c r="E54" s="132" t="s">
        <v>164</v>
      </c>
      <c r="F54" s="132" t="s">
        <v>87</v>
      </c>
      <c r="G54" s="133">
        <v>790</v>
      </c>
      <c r="H54" s="133">
        <v>402</v>
      </c>
      <c r="I54" s="154">
        <v>33</v>
      </c>
      <c r="J54" s="154">
        <v>40</v>
      </c>
      <c r="K54" s="163">
        <v>0.62101999999999991</v>
      </c>
      <c r="L54" s="163">
        <v>0.70123999999999997</v>
      </c>
      <c r="M54" s="137">
        <v>645.65003999999999</v>
      </c>
      <c r="N54" s="137">
        <v>761.89848000000006</v>
      </c>
      <c r="O54" s="133">
        <v>116.24844000000007</v>
      </c>
      <c r="P54" s="165">
        <v>0.18004868395888285</v>
      </c>
    </row>
    <row r="55" spans="1:17" s="89" customFormat="1" x14ac:dyDescent="0.25">
      <c r="A55" s="167"/>
      <c r="B55" s="167"/>
      <c r="C55"/>
      <c r="D55"/>
      <c r="E55"/>
      <c r="F55" s="132" t="s">
        <v>88</v>
      </c>
      <c r="G55" s="133">
        <v>653</v>
      </c>
      <c r="H55" s="133">
        <v>227</v>
      </c>
      <c r="I55" s="154">
        <v>20</v>
      </c>
      <c r="J55" s="154">
        <v>40</v>
      </c>
      <c r="K55" s="163">
        <v>0.62102000000000002</v>
      </c>
      <c r="L55" s="163">
        <v>0.70123999999999997</v>
      </c>
      <c r="M55" s="137">
        <v>380.97153999999995</v>
      </c>
      <c r="N55" s="137">
        <v>639.18147999999997</v>
      </c>
      <c r="O55" s="133">
        <v>258.20994000000002</v>
      </c>
      <c r="P55" s="165">
        <v>0.67776700590285577</v>
      </c>
    </row>
    <row r="56" spans="1:17" x14ac:dyDescent="0.25">
      <c r="D56"/>
      <c r="E56"/>
      <c r="F56" s="132" t="s">
        <v>94</v>
      </c>
      <c r="G56" s="133">
        <v>66</v>
      </c>
      <c r="H56" s="133">
        <v>528</v>
      </c>
      <c r="I56" s="154">
        <v>33</v>
      </c>
      <c r="J56" s="154">
        <v>40</v>
      </c>
      <c r="K56" s="163">
        <v>0.62102000000000002</v>
      </c>
      <c r="L56" s="163">
        <v>0.70123999999999997</v>
      </c>
      <c r="M56" s="137">
        <v>723.89855999999997</v>
      </c>
      <c r="N56" s="137">
        <v>850.25471999999991</v>
      </c>
      <c r="O56" s="133">
        <v>126.35615999999993</v>
      </c>
      <c r="P56" s="165">
        <v>0.17454953909564336</v>
      </c>
      <c r="Q56"/>
    </row>
    <row r="57" spans="1:17" x14ac:dyDescent="0.25">
      <c r="D57"/>
      <c r="E57"/>
      <c r="F57" s="132" t="s">
        <v>93</v>
      </c>
      <c r="G57" s="133">
        <v>64</v>
      </c>
      <c r="H57" s="133">
        <v>243</v>
      </c>
      <c r="I57" s="154">
        <v>20</v>
      </c>
      <c r="J57" s="154">
        <v>40</v>
      </c>
      <c r="K57" s="163">
        <v>0.62101999999999991</v>
      </c>
      <c r="L57" s="163">
        <v>0.70123999999999997</v>
      </c>
      <c r="M57" s="137">
        <v>390.90786000000003</v>
      </c>
      <c r="N57" s="137">
        <v>650.40131999999994</v>
      </c>
      <c r="O57" s="133">
        <v>259.49345999999991</v>
      </c>
      <c r="P57" s="165">
        <v>0.66382256933897388</v>
      </c>
      <c r="Q57"/>
    </row>
    <row r="58" spans="1:17" x14ac:dyDescent="0.25">
      <c r="D58"/>
      <c r="E58"/>
      <c r="F58" s="132" t="s">
        <v>91</v>
      </c>
      <c r="G58" s="133">
        <v>63</v>
      </c>
      <c r="H58" s="133">
        <v>398</v>
      </c>
      <c r="I58" s="154">
        <v>90</v>
      </c>
      <c r="J58" s="154">
        <v>40</v>
      </c>
      <c r="K58" s="163">
        <v>0.51373999999999997</v>
      </c>
      <c r="L58" s="163">
        <v>0.70123999999999997</v>
      </c>
      <c r="M58" s="137">
        <v>1284.4685199999999</v>
      </c>
      <c r="N58" s="137">
        <v>759.09352000000001</v>
      </c>
      <c r="O58" s="133">
        <v>-525.37499999999989</v>
      </c>
      <c r="P58" s="165">
        <v>-0.40902131256591634</v>
      </c>
      <c r="Q58"/>
    </row>
    <row r="59" spans="1:17" x14ac:dyDescent="0.25">
      <c r="D59"/>
      <c r="E59"/>
      <c r="F59" s="132" t="s">
        <v>96</v>
      </c>
      <c r="G59" s="133">
        <v>20</v>
      </c>
      <c r="H59" s="133">
        <v>469</v>
      </c>
      <c r="I59" s="154">
        <v>90</v>
      </c>
      <c r="J59" s="154">
        <v>40</v>
      </c>
      <c r="K59" s="163">
        <v>0.51373999999999997</v>
      </c>
      <c r="L59" s="163">
        <v>0.70123999999999997</v>
      </c>
      <c r="M59" s="137">
        <v>1320.94406</v>
      </c>
      <c r="N59" s="137">
        <v>808.88156000000004</v>
      </c>
      <c r="O59" s="133">
        <v>-512.0625</v>
      </c>
      <c r="P59" s="165">
        <v>-0.38764889105144995</v>
      </c>
      <c r="Q59"/>
    </row>
    <row r="60" spans="1:17" x14ac:dyDescent="0.25">
      <c r="D60"/>
      <c r="E60" s="132" t="s">
        <v>172</v>
      </c>
      <c r="F60" s="132" t="s">
        <v>89</v>
      </c>
      <c r="G60" s="133">
        <v>194</v>
      </c>
      <c r="H60" s="133">
        <v>137</v>
      </c>
      <c r="I60" s="154">
        <v>19</v>
      </c>
      <c r="J60" s="154">
        <v>40</v>
      </c>
      <c r="K60" s="163">
        <v>0.57715000000000005</v>
      </c>
      <c r="L60" s="163">
        <v>0.70123999999999997</v>
      </c>
      <c r="M60" s="137">
        <v>307.06954999999999</v>
      </c>
      <c r="N60" s="137">
        <v>576.06988000000001</v>
      </c>
      <c r="O60" s="133">
        <v>269.00033000000002</v>
      </c>
      <c r="P60" s="165">
        <v>0.87602411245270018</v>
      </c>
      <c r="Q60"/>
    </row>
    <row r="61" spans="1:17" x14ac:dyDescent="0.25">
      <c r="D61"/>
      <c r="E61"/>
      <c r="F61" s="132" t="s">
        <v>90</v>
      </c>
      <c r="G61" s="133">
        <v>89</v>
      </c>
      <c r="H61" s="133">
        <v>457</v>
      </c>
      <c r="I61" s="154">
        <v>34</v>
      </c>
      <c r="J61" s="154">
        <v>40</v>
      </c>
      <c r="K61" s="163">
        <v>0.47495999999999999</v>
      </c>
      <c r="L61" s="163">
        <v>0.70123999999999997</v>
      </c>
      <c r="M61" s="137">
        <v>625.05671999999993</v>
      </c>
      <c r="N61" s="137">
        <v>800.46668</v>
      </c>
      <c r="O61" s="133">
        <v>175.40996000000007</v>
      </c>
      <c r="P61" s="165">
        <v>0.28063046822374788</v>
      </c>
      <c r="Q61"/>
    </row>
    <row r="62" spans="1:17" x14ac:dyDescent="0.25">
      <c r="D62"/>
      <c r="E62"/>
      <c r="F62" s="132" t="s">
        <v>92</v>
      </c>
      <c r="G62" s="133">
        <v>75</v>
      </c>
      <c r="H62" s="133">
        <v>499</v>
      </c>
      <c r="I62" s="154">
        <v>40</v>
      </c>
      <c r="J62" s="154">
        <v>40</v>
      </c>
      <c r="K62" s="163">
        <v>0.46758999999999995</v>
      </c>
      <c r="L62" s="163">
        <v>0.70123999999999997</v>
      </c>
      <c r="M62" s="137">
        <v>713.32740999999999</v>
      </c>
      <c r="N62" s="137">
        <v>829.91876000000002</v>
      </c>
      <c r="O62" s="133">
        <v>116.59135000000003</v>
      </c>
      <c r="P62" s="165">
        <v>0.1634471749795792</v>
      </c>
      <c r="Q62"/>
    </row>
    <row r="63" spans="1:17" x14ac:dyDescent="0.25">
      <c r="D63"/>
      <c r="E63"/>
      <c r="F63" s="132" t="s">
        <v>95</v>
      </c>
      <c r="G63" s="133">
        <v>39</v>
      </c>
      <c r="H63" s="133">
        <v>62</v>
      </c>
      <c r="I63" s="154">
        <v>29</v>
      </c>
      <c r="J63" s="154">
        <v>40</v>
      </c>
      <c r="K63" s="163">
        <v>0.11405000000000003</v>
      </c>
      <c r="L63" s="163">
        <v>0.70123999999999997</v>
      </c>
      <c r="M63" s="137">
        <v>355.0711</v>
      </c>
      <c r="N63" s="137">
        <v>523.47688000000005</v>
      </c>
      <c r="O63" s="133">
        <v>168.40578000000005</v>
      </c>
      <c r="P63" s="165">
        <v>0.47428748777357566</v>
      </c>
      <c r="Q63"/>
    </row>
    <row r="64" spans="1:17" x14ac:dyDescent="0.25">
      <c r="D64"/>
      <c r="E64"/>
      <c r="F64" s="132" t="s">
        <v>97</v>
      </c>
      <c r="G64" s="133">
        <v>24</v>
      </c>
      <c r="H64" s="133">
        <v>443</v>
      </c>
      <c r="I64" s="154">
        <v>108</v>
      </c>
      <c r="J64" s="154">
        <v>40</v>
      </c>
      <c r="K64" s="163">
        <v>0.30049999999999999</v>
      </c>
      <c r="L64" s="163">
        <v>0.70123999999999997</v>
      </c>
      <c r="M64" s="137">
        <v>1429.1215</v>
      </c>
      <c r="N64" s="137">
        <v>790.64931999999999</v>
      </c>
      <c r="O64" s="133">
        <v>-638.47217999999998</v>
      </c>
      <c r="P64" s="165">
        <v>-0.44675850163894393</v>
      </c>
      <c r="Q64"/>
    </row>
    <row r="65" spans="2:17" x14ac:dyDescent="0.25">
      <c r="D65"/>
      <c r="E65"/>
      <c r="F65" s="132" t="s">
        <v>99</v>
      </c>
      <c r="G65" s="133">
        <v>13</v>
      </c>
      <c r="H65" s="133">
        <v>343</v>
      </c>
      <c r="I65" s="154">
        <v>134</v>
      </c>
      <c r="J65" s="154">
        <v>40</v>
      </c>
      <c r="K65" s="163">
        <v>0.27936</v>
      </c>
      <c r="L65" s="163">
        <v>0.70123999999999997</v>
      </c>
      <c r="M65" s="137">
        <v>1703.8204800000001</v>
      </c>
      <c r="N65" s="137">
        <v>720.52531999999997</v>
      </c>
      <c r="O65" s="133">
        <v>-983.29516000000012</v>
      </c>
      <c r="P65" s="165">
        <v>-0.57711195019794581</v>
      </c>
      <c r="Q65"/>
    </row>
    <row r="66" spans="2:17" x14ac:dyDescent="0.25">
      <c r="D66"/>
      <c r="E66"/>
      <c r="F66" s="132" t="s">
        <v>102</v>
      </c>
      <c r="G66" s="133">
        <v>9</v>
      </c>
      <c r="H66" s="133">
        <v>35</v>
      </c>
      <c r="I66" s="154">
        <v>13</v>
      </c>
      <c r="J66" s="154">
        <v>40</v>
      </c>
      <c r="K66" s="163">
        <v>1.17665</v>
      </c>
      <c r="L66" s="163">
        <v>0.70123999999999997</v>
      </c>
      <c r="M66" s="137">
        <v>197.18275</v>
      </c>
      <c r="N66" s="137">
        <v>504.54340000000002</v>
      </c>
      <c r="O66" s="133">
        <v>307.36065000000002</v>
      </c>
      <c r="P66" s="165">
        <v>1.5587603378084545</v>
      </c>
      <c r="Q66"/>
    </row>
    <row r="67" spans="2:17" x14ac:dyDescent="0.25">
      <c r="D67"/>
      <c r="E67"/>
      <c r="F67" s="132" t="s">
        <v>103</v>
      </c>
      <c r="G67" s="133">
        <v>6</v>
      </c>
      <c r="H67" s="133">
        <v>588</v>
      </c>
      <c r="I67" s="154">
        <v>48</v>
      </c>
      <c r="J67" s="154">
        <v>40</v>
      </c>
      <c r="K67" s="163">
        <v>0.15536</v>
      </c>
      <c r="L67" s="163">
        <v>0.70123999999999997</v>
      </c>
      <c r="M67" s="137">
        <v>667.35167999999999</v>
      </c>
      <c r="N67" s="137">
        <v>892.32911999999999</v>
      </c>
      <c r="O67" s="133">
        <v>224.97744</v>
      </c>
      <c r="P67" s="165">
        <v>0.33711976270142902</v>
      </c>
      <c r="Q67"/>
    </row>
    <row r="68" spans="2:17" x14ac:dyDescent="0.25">
      <c r="D68"/>
      <c r="E68"/>
      <c r="F68" s="132" t="s">
        <v>100</v>
      </c>
      <c r="G68" s="133">
        <v>6</v>
      </c>
      <c r="H68" s="133">
        <v>663</v>
      </c>
      <c r="I68" s="154">
        <v>210</v>
      </c>
      <c r="J68" s="154">
        <v>40</v>
      </c>
      <c r="K68" s="163">
        <v>0.27281</v>
      </c>
      <c r="L68" s="163">
        <v>0.70123999999999997</v>
      </c>
      <c r="M68" s="137">
        <v>2700.8730299999997</v>
      </c>
      <c r="N68" s="137">
        <v>944.92211999999995</v>
      </c>
      <c r="O68" s="133">
        <v>-1755.9509099999998</v>
      </c>
      <c r="P68" s="165">
        <v>-0.65014196909508182</v>
      </c>
      <c r="Q68"/>
    </row>
    <row r="69" spans="2:17" x14ac:dyDescent="0.25">
      <c r="D69"/>
      <c r="E69"/>
      <c r="F69" s="132" t="s">
        <v>104</v>
      </c>
      <c r="G69" s="133">
        <v>5</v>
      </c>
      <c r="H69" s="133">
        <v>116</v>
      </c>
      <c r="I69" s="154">
        <v>15.5</v>
      </c>
      <c r="J69" s="154">
        <v>40</v>
      </c>
      <c r="K69" s="163">
        <v>0.7079399999999999</v>
      </c>
      <c r="L69" s="163">
        <v>0.70123999999999997</v>
      </c>
      <c r="M69" s="137">
        <v>268.12103999999999</v>
      </c>
      <c r="N69" s="137">
        <v>561.34384</v>
      </c>
      <c r="O69" s="133">
        <v>293.22280000000001</v>
      </c>
      <c r="P69" s="165">
        <v>1.0936210004257778</v>
      </c>
      <c r="Q69"/>
    </row>
    <row r="70" spans="2:17" x14ac:dyDescent="0.25">
      <c r="D70"/>
      <c r="E70"/>
      <c r="F70" s="132" t="s">
        <v>105</v>
      </c>
      <c r="G70" s="133">
        <v>2</v>
      </c>
      <c r="H70" s="133">
        <v>707</v>
      </c>
      <c r="I70" s="154">
        <v>380</v>
      </c>
      <c r="J70" s="154">
        <v>40</v>
      </c>
      <c r="K70" s="163">
        <v>0.25567000000000001</v>
      </c>
      <c r="L70" s="163">
        <v>0.70123999999999997</v>
      </c>
      <c r="M70" s="137">
        <v>4740.7586899999997</v>
      </c>
      <c r="N70" s="137">
        <v>975.77667999999994</v>
      </c>
      <c r="O70" s="133">
        <v>-3764.9820099999997</v>
      </c>
      <c r="P70" s="165">
        <v>-0.79417288585933066</v>
      </c>
      <c r="Q70"/>
    </row>
    <row r="71" spans="2:17" x14ac:dyDescent="0.25">
      <c r="D71"/>
      <c r="E71"/>
      <c r="F71" s="132" t="s">
        <v>107</v>
      </c>
      <c r="G71" s="133">
        <v>2</v>
      </c>
      <c r="H71" s="133">
        <v>715</v>
      </c>
      <c r="I71" s="154">
        <v>87</v>
      </c>
      <c r="J71" s="154">
        <v>40</v>
      </c>
      <c r="K71" s="163">
        <v>0.15931999999999996</v>
      </c>
      <c r="L71" s="163">
        <v>0.70123999999999997</v>
      </c>
      <c r="M71" s="137">
        <v>1157.9138</v>
      </c>
      <c r="N71" s="137">
        <v>981.38660000000004</v>
      </c>
      <c r="O71" s="133">
        <v>-176.52719999999999</v>
      </c>
      <c r="P71" s="165">
        <v>-0.15245279916346102</v>
      </c>
      <c r="Q71"/>
    </row>
    <row r="72" spans="2:17" x14ac:dyDescent="0.25">
      <c r="D72"/>
      <c r="E72"/>
      <c r="F72" s="132" t="s">
        <v>108</v>
      </c>
      <c r="G72" s="133">
        <v>1</v>
      </c>
      <c r="H72" s="133">
        <v>17</v>
      </c>
      <c r="I72" s="154">
        <v>23</v>
      </c>
      <c r="J72" s="154">
        <v>40</v>
      </c>
      <c r="K72" s="163">
        <v>0.21507999999999991</v>
      </c>
      <c r="L72" s="163">
        <v>0.70123999999999997</v>
      </c>
      <c r="M72" s="137">
        <v>279.65636000000001</v>
      </c>
      <c r="N72" s="137">
        <v>491.92108000000002</v>
      </c>
      <c r="O72" s="133">
        <v>212.26472000000001</v>
      </c>
      <c r="P72" s="165">
        <v>0.7590198198961039</v>
      </c>
      <c r="Q72"/>
    </row>
    <row r="73" spans="2:17" x14ac:dyDescent="0.25">
      <c r="D73"/>
      <c r="E73"/>
      <c r="F73" s="132" t="s">
        <v>109</v>
      </c>
      <c r="G73" s="133">
        <v>1</v>
      </c>
      <c r="H73" s="133">
        <v>112</v>
      </c>
      <c r="I73" s="154">
        <v>162</v>
      </c>
      <c r="J73" s="154">
        <v>40</v>
      </c>
      <c r="K73" s="163">
        <v>5.9479999999999998E-2</v>
      </c>
      <c r="L73" s="163">
        <v>0.70123999999999997</v>
      </c>
      <c r="M73" s="137">
        <v>1950.66176</v>
      </c>
      <c r="N73" s="137">
        <v>558.53887999999995</v>
      </c>
      <c r="O73" s="133">
        <v>-1392.1228799999999</v>
      </c>
      <c r="P73" s="165">
        <v>-0.71366697627783504</v>
      </c>
      <c r="Q73"/>
    </row>
    <row r="74" spans="2:17" x14ac:dyDescent="0.25">
      <c r="D74"/>
      <c r="E74"/>
      <c r="F74" s="132" t="s">
        <v>110</v>
      </c>
      <c r="G74" s="133">
        <v>1</v>
      </c>
      <c r="H74" s="133">
        <v>43</v>
      </c>
      <c r="I74" s="154">
        <v>600</v>
      </c>
      <c r="J74" s="154">
        <v>40</v>
      </c>
      <c r="K74" s="163">
        <v>0.20905000000000001</v>
      </c>
      <c r="L74" s="163">
        <v>0.70123999999999997</v>
      </c>
      <c r="M74" s="137">
        <v>7208.9891499999994</v>
      </c>
      <c r="N74" s="137">
        <v>510.15332000000001</v>
      </c>
      <c r="O74" s="133">
        <v>-6698.8358299999991</v>
      </c>
      <c r="P74" s="165">
        <v>-0.92923372342709099</v>
      </c>
      <c r="Q74"/>
    </row>
    <row r="75" spans="2:17" x14ac:dyDescent="0.25">
      <c r="C75" s="132"/>
      <c r="D75"/>
      <c r="E75"/>
      <c r="F75"/>
      <c r="G75" s="133"/>
      <c r="H75" s="133"/>
      <c r="I75" s="154"/>
      <c r="J75" s="154"/>
      <c r="K75" s="163"/>
      <c r="L75" s="163"/>
      <c r="M75" s="137"/>
      <c r="N75" s="137"/>
      <c r="O75" s="133"/>
      <c r="P75" s="165"/>
      <c r="Q75"/>
    </row>
    <row r="76" spans="2:17" x14ac:dyDescent="0.25">
      <c r="B76" s="132">
        <v>6</v>
      </c>
      <c r="C76" s="132" t="s">
        <v>12</v>
      </c>
      <c r="D76" s="132" t="s">
        <v>48</v>
      </c>
      <c r="E76" s="132" t="s">
        <v>151</v>
      </c>
      <c r="F76" s="132" t="s">
        <v>101</v>
      </c>
      <c r="G76" s="133">
        <v>6</v>
      </c>
      <c r="H76" s="133">
        <v>2445</v>
      </c>
      <c r="I76" s="154">
        <v>25</v>
      </c>
      <c r="J76" s="154">
        <v>35</v>
      </c>
      <c r="K76" s="163">
        <v>5.7619999999999998E-2</v>
      </c>
      <c r="L76" s="163">
        <v>5.7619999999999998E-2</v>
      </c>
      <c r="M76" s="137">
        <v>440.8809</v>
      </c>
      <c r="N76" s="137">
        <v>560.8809</v>
      </c>
      <c r="O76" s="133">
        <v>120</v>
      </c>
      <c r="P76" s="165">
        <v>0.27218235128806895</v>
      </c>
      <c r="Q76"/>
    </row>
    <row r="77" spans="2:17" x14ac:dyDescent="0.25">
      <c r="D77"/>
      <c r="E77" s="132" t="s">
        <v>158</v>
      </c>
      <c r="F77" s="132" t="s">
        <v>98</v>
      </c>
      <c r="G77" s="133">
        <v>6</v>
      </c>
      <c r="H77" s="133">
        <v>2601</v>
      </c>
      <c r="I77" s="154">
        <v>17.5</v>
      </c>
      <c r="J77" s="154">
        <v>50</v>
      </c>
      <c r="K77" s="163">
        <v>0.57156000000000007</v>
      </c>
      <c r="L77" s="163">
        <v>0.55700000000000005</v>
      </c>
      <c r="M77" s="137">
        <v>1696.6275600000001</v>
      </c>
      <c r="N77" s="137">
        <v>2048.7570000000001</v>
      </c>
      <c r="O77" s="133">
        <v>352.12943999999993</v>
      </c>
      <c r="P77" s="165">
        <v>0.20754669339451254</v>
      </c>
      <c r="Q77"/>
    </row>
    <row r="78" spans="2:17" x14ac:dyDescent="0.25">
      <c r="D78"/>
      <c r="E78"/>
      <c r="F78" s="132" t="s">
        <v>106</v>
      </c>
      <c r="G78" s="133">
        <v>5</v>
      </c>
      <c r="H78" s="133">
        <v>2343</v>
      </c>
      <c r="I78" s="154">
        <v>17.5</v>
      </c>
      <c r="J78" s="154">
        <v>50</v>
      </c>
      <c r="K78" s="163">
        <v>0.57156000000000007</v>
      </c>
      <c r="L78" s="163">
        <v>0.55700000000000005</v>
      </c>
      <c r="M78" s="137">
        <v>1549.1650800000002</v>
      </c>
      <c r="N78" s="137">
        <v>1905.0510000000002</v>
      </c>
      <c r="O78" s="133">
        <v>355.88591999999994</v>
      </c>
      <c r="P78" s="165">
        <v>0.22972756395980723</v>
      </c>
      <c r="Q78"/>
    </row>
    <row r="79" spans="2:17" x14ac:dyDescent="0.25">
      <c r="D79"/>
      <c r="E79" s="132" t="s">
        <v>164</v>
      </c>
      <c r="F79" s="132" t="s">
        <v>87</v>
      </c>
      <c r="G79" s="133">
        <v>1086</v>
      </c>
      <c r="H79" s="133">
        <v>2583</v>
      </c>
      <c r="I79" s="154">
        <v>33</v>
      </c>
      <c r="J79" s="154">
        <v>70</v>
      </c>
      <c r="K79" s="163">
        <v>0.62101999999999991</v>
      </c>
      <c r="L79" s="163">
        <v>0.69901999999999997</v>
      </c>
      <c r="M79" s="137">
        <v>2000.09466</v>
      </c>
      <c r="N79" s="137">
        <v>2645.5686599999999</v>
      </c>
      <c r="O79" s="133">
        <v>645.47399999999993</v>
      </c>
      <c r="P79" s="165">
        <v>0.32272172558072826</v>
      </c>
      <c r="Q79"/>
    </row>
    <row r="80" spans="2:17" x14ac:dyDescent="0.25">
      <c r="D80"/>
      <c r="E80"/>
      <c r="F80" s="132" t="s">
        <v>94</v>
      </c>
      <c r="G80" s="133">
        <v>429</v>
      </c>
      <c r="H80" s="133">
        <v>3744</v>
      </c>
      <c r="I80" s="154">
        <v>33</v>
      </c>
      <c r="J80" s="154">
        <v>70</v>
      </c>
      <c r="K80" s="163">
        <v>0.62102000000000002</v>
      </c>
      <c r="L80" s="163">
        <v>0.69901999999999997</v>
      </c>
      <c r="M80" s="137">
        <v>2721.09888</v>
      </c>
      <c r="N80" s="137">
        <v>3457.1308799999997</v>
      </c>
      <c r="O80" s="133">
        <v>736.0319999999997</v>
      </c>
      <c r="P80" s="165">
        <v>0.27049072174841354</v>
      </c>
      <c r="Q80"/>
    </row>
    <row r="81" spans="4:17" customFormat="1" x14ac:dyDescent="0.25">
      <c r="F81" s="132" t="s">
        <v>91</v>
      </c>
      <c r="G81" s="133">
        <v>132</v>
      </c>
      <c r="H81" s="133">
        <v>3359</v>
      </c>
      <c r="I81" s="154">
        <v>90</v>
      </c>
      <c r="J81" s="154">
        <v>70</v>
      </c>
      <c r="K81" s="163">
        <v>0.51373999999999997</v>
      </c>
      <c r="L81" s="163">
        <v>0.69901999999999997</v>
      </c>
      <c r="M81" s="137">
        <v>2805.6526600000002</v>
      </c>
      <c r="N81" s="137">
        <v>3188.0081799999998</v>
      </c>
      <c r="O81" s="133">
        <v>382.35551999999961</v>
      </c>
      <c r="P81" s="165">
        <v>0.13628041897388665</v>
      </c>
    </row>
    <row r="82" spans="4:17" customFormat="1" x14ac:dyDescent="0.25">
      <c r="F82" s="132" t="s">
        <v>88</v>
      </c>
      <c r="G82" s="133">
        <v>127</v>
      </c>
      <c r="H82" s="133">
        <v>2353</v>
      </c>
      <c r="I82" s="154">
        <v>20</v>
      </c>
      <c r="J82" s="154">
        <v>70</v>
      </c>
      <c r="K82" s="163">
        <v>0.62102000000000002</v>
      </c>
      <c r="L82" s="163">
        <v>0.69901999999999997</v>
      </c>
      <c r="M82" s="137">
        <v>1701.2600600000001</v>
      </c>
      <c r="N82" s="137">
        <v>2484.7940600000002</v>
      </c>
      <c r="O82" s="133">
        <v>783.53400000000011</v>
      </c>
      <c r="P82" s="165">
        <v>0.46056097972464016</v>
      </c>
    </row>
    <row r="83" spans="4:17" customFormat="1" x14ac:dyDescent="0.25">
      <c r="F83" s="132" t="s">
        <v>96</v>
      </c>
      <c r="G83" s="133">
        <v>123</v>
      </c>
      <c r="H83" s="133">
        <v>3378</v>
      </c>
      <c r="I83" s="154">
        <v>90</v>
      </c>
      <c r="J83" s="154">
        <v>70</v>
      </c>
      <c r="K83" s="163">
        <v>0.51373999999999997</v>
      </c>
      <c r="L83" s="163">
        <v>0.69901999999999997</v>
      </c>
      <c r="M83" s="137">
        <v>2815.41372</v>
      </c>
      <c r="N83" s="137">
        <v>3201.2895599999997</v>
      </c>
      <c r="O83" s="133">
        <v>385.8758399999997</v>
      </c>
      <c r="P83" s="165">
        <v>0.13705830772182204</v>
      </c>
    </row>
    <row r="84" spans="4:17" customFormat="1" x14ac:dyDescent="0.25">
      <c r="F84" s="132" t="s">
        <v>93</v>
      </c>
      <c r="G84" s="133">
        <v>81</v>
      </c>
      <c r="H84" s="133">
        <v>2619</v>
      </c>
      <c r="I84" s="154">
        <v>20</v>
      </c>
      <c r="J84" s="154">
        <v>70</v>
      </c>
      <c r="K84" s="163">
        <v>0.62101999999999991</v>
      </c>
      <c r="L84" s="163">
        <v>0.69901999999999997</v>
      </c>
      <c r="M84" s="137">
        <v>1866.45138</v>
      </c>
      <c r="N84" s="137">
        <v>2670.7333799999997</v>
      </c>
      <c r="O84" s="133">
        <v>804.2819999999997</v>
      </c>
      <c r="P84" s="165">
        <v>0.43091505549959719</v>
      </c>
    </row>
    <row r="85" spans="4:17" x14ac:dyDescent="0.25">
      <c r="D85"/>
      <c r="E85" s="132" t="s">
        <v>172</v>
      </c>
      <c r="F85" s="132" t="s">
        <v>97</v>
      </c>
      <c r="G85" s="133">
        <v>216</v>
      </c>
      <c r="H85" s="133">
        <v>3338</v>
      </c>
      <c r="I85" s="154">
        <v>108</v>
      </c>
      <c r="J85" s="154">
        <v>70</v>
      </c>
      <c r="K85" s="163">
        <v>0.30049999999999999</v>
      </c>
      <c r="L85" s="163">
        <v>0.69901999999999997</v>
      </c>
      <c r="M85" s="137">
        <v>2299.0690000000004</v>
      </c>
      <c r="N85" s="137">
        <v>3173.3287599999999</v>
      </c>
      <c r="O85" s="133">
        <v>874.25975999999946</v>
      </c>
      <c r="P85" s="165">
        <v>0.38026686454386505</v>
      </c>
      <c r="Q85"/>
    </row>
    <row r="86" spans="4:17" customFormat="1" x14ac:dyDescent="0.25">
      <c r="F86" s="132" t="s">
        <v>92</v>
      </c>
      <c r="G86" s="133">
        <v>149</v>
      </c>
      <c r="H86" s="133">
        <v>1980</v>
      </c>
      <c r="I86" s="154">
        <v>40</v>
      </c>
      <c r="J86" s="154">
        <v>70</v>
      </c>
      <c r="K86" s="163">
        <v>0.46758999999999995</v>
      </c>
      <c r="L86" s="163">
        <v>0.69901999999999997</v>
      </c>
      <c r="M86" s="137">
        <v>1405.8281999999999</v>
      </c>
      <c r="N86" s="137">
        <v>2224.0596</v>
      </c>
      <c r="O86" s="133">
        <v>818.23140000000012</v>
      </c>
      <c r="P86" s="165">
        <v>0.58202801736371501</v>
      </c>
    </row>
    <row r="87" spans="4:17" customFormat="1" x14ac:dyDescent="0.25">
      <c r="F87" s="132" t="s">
        <v>99</v>
      </c>
      <c r="G87" s="133">
        <v>62</v>
      </c>
      <c r="H87" s="133">
        <v>3862</v>
      </c>
      <c r="I87" s="154">
        <v>134</v>
      </c>
      <c r="J87" s="154">
        <v>70</v>
      </c>
      <c r="K87" s="163">
        <v>0.27936</v>
      </c>
      <c r="L87" s="163">
        <v>0.69901999999999997</v>
      </c>
      <c r="M87" s="137">
        <v>2686.88832</v>
      </c>
      <c r="N87" s="137">
        <v>3539.6152400000001</v>
      </c>
      <c r="O87" s="133">
        <v>852.72692000000006</v>
      </c>
      <c r="P87" s="165">
        <v>0.31736597075981188</v>
      </c>
    </row>
    <row r="88" spans="4:17" customFormat="1" x14ac:dyDescent="0.25">
      <c r="F88" s="132" t="s">
        <v>90</v>
      </c>
      <c r="G88" s="133">
        <v>19</v>
      </c>
      <c r="H88" s="133">
        <v>1415</v>
      </c>
      <c r="I88" s="154">
        <v>34</v>
      </c>
      <c r="J88" s="154">
        <v>70</v>
      </c>
      <c r="K88" s="163">
        <v>0.47495999999999999</v>
      </c>
      <c r="L88" s="163">
        <v>0.69901999999999997</v>
      </c>
      <c r="M88" s="137">
        <v>1080.0683999999999</v>
      </c>
      <c r="N88" s="137">
        <v>1829.1133</v>
      </c>
      <c r="O88" s="133">
        <v>749.0449000000001</v>
      </c>
      <c r="P88" s="165">
        <v>0.69351616990183229</v>
      </c>
    </row>
    <row r="89" spans="4:17" customFormat="1" x14ac:dyDescent="0.25">
      <c r="F89" s="132" t="s">
        <v>109</v>
      </c>
      <c r="G89" s="133">
        <v>14</v>
      </c>
      <c r="H89" s="133">
        <v>3163</v>
      </c>
      <c r="I89" s="154">
        <v>162</v>
      </c>
      <c r="J89" s="154">
        <v>70</v>
      </c>
      <c r="K89" s="163">
        <v>5.9479999999999998E-2</v>
      </c>
      <c r="L89" s="163">
        <v>0.69901999999999997</v>
      </c>
      <c r="M89" s="137">
        <v>2132.1352400000001</v>
      </c>
      <c r="N89" s="137">
        <v>3051.0002599999998</v>
      </c>
      <c r="O89" s="133">
        <v>918.86501999999973</v>
      </c>
      <c r="P89" s="165">
        <v>0.43096000795896966</v>
      </c>
    </row>
    <row r="90" spans="4:17" customFormat="1" x14ac:dyDescent="0.25">
      <c r="F90" s="132" t="s">
        <v>100</v>
      </c>
      <c r="G90" s="133">
        <v>11</v>
      </c>
      <c r="H90" s="133">
        <v>2443</v>
      </c>
      <c r="I90" s="154">
        <v>210</v>
      </c>
      <c r="J90" s="154">
        <v>70</v>
      </c>
      <c r="K90" s="163">
        <v>0.27281</v>
      </c>
      <c r="L90" s="163">
        <v>0.69901999999999997</v>
      </c>
      <c r="M90" s="137">
        <v>3186.4748299999997</v>
      </c>
      <c r="N90" s="137">
        <v>2547.70586</v>
      </c>
      <c r="O90" s="133">
        <v>-638.76896999999963</v>
      </c>
      <c r="P90" s="165">
        <v>-0.200462581403789</v>
      </c>
    </row>
    <row r="91" spans="4:17" customFormat="1" x14ac:dyDescent="0.25">
      <c r="F91" s="132" t="s">
        <v>89</v>
      </c>
      <c r="G91" s="133">
        <v>10</v>
      </c>
      <c r="H91" s="133">
        <v>1799</v>
      </c>
      <c r="I91" s="154">
        <v>19</v>
      </c>
      <c r="J91" s="154">
        <v>70</v>
      </c>
      <c r="K91" s="163">
        <v>0.57715000000000005</v>
      </c>
      <c r="L91" s="163">
        <v>0.69901999999999997</v>
      </c>
      <c r="M91" s="137">
        <v>1266.29285</v>
      </c>
      <c r="N91" s="137">
        <v>2097.5369799999999</v>
      </c>
      <c r="O91" s="133">
        <v>831.24412999999981</v>
      </c>
      <c r="P91" s="165">
        <v>0.65643909305813408</v>
      </c>
    </row>
    <row r="92" spans="4:17" customFormat="1" x14ac:dyDescent="0.25">
      <c r="F92" s="132" t="s">
        <v>107</v>
      </c>
      <c r="G92" s="133">
        <v>8</v>
      </c>
      <c r="H92" s="133">
        <v>1433</v>
      </c>
      <c r="I92" s="154">
        <v>87</v>
      </c>
      <c r="J92" s="154">
        <v>70</v>
      </c>
      <c r="K92" s="163">
        <v>0.15931999999999996</v>
      </c>
      <c r="L92" s="163">
        <v>0.69901999999999997</v>
      </c>
      <c r="M92" s="137">
        <v>1272.30556</v>
      </c>
      <c r="N92" s="137">
        <v>1841.6956599999999</v>
      </c>
      <c r="O92" s="133">
        <v>569.39009999999985</v>
      </c>
      <c r="P92" s="165">
        <v>0.44752622160984651</v>
      </c>
    </row>
    <row r="93" spans="4:17" customFormat="1" x14ac:dyDescent="0.25">
      <c r="F93" s="132" t="s">
        <v>110</v>
      </c>
      <c r="G93" s="133">
        <v>2</v>
      </c>
      <c r="H93" s="133">
        <v>3857</v>
      </c>
      <c r="I93" s="154">
        <v>600</v>
      </c>
      <c r="J93" s="154">
        <v>70</v>
      </c>
      <c r="K93" s="163">
        <v>0.20905000000000001</v>
      </c>
      <c r="L93" s="163">
        <v>0.69901999999999997</v>
      </c>
      <c r="M93" s="137">
        <v>8006.3058500000006</v>
      </c>
      <c r="N93" s="137">
        <v>3536.12014</v>
      </c>
      <c r="O93" s="133">
        <v>-4470.1857100000007</v>
      </c>
      <c r="P93" s="165">
        <v>-0.55833311813837339</v>
      </c>
    </row>
    <row r="94" spans="4:17" customFormat="1" x14ac:dyDescent="0.25">
      <c r="F94" s="132" t="s">
        <v>105</v>
      </c>
      <c r="G94" s="133">
        <v>2</v>
      </c>
      <c r="H94" s="133">
        <v>4421</v>
      </c>
      <c r="I94" s="154">
        <v>380</v>
      </c>
      <c r="J94" s="154">
        <v>70</v>
      </c>
      <c r="K94" s="163">
        <v>0.25567000000000001</v>
      </c>
      <c r="L94" s="163">
        <v>0.69901999999999997</v>
      </c>
      <c r="M94" s="137">
        <v>5690.3170700000001</v>
      </c>
      <c r="N94" s="137">
        <v>3930.36742</v>
      </c>
      <c r="O94" s="133">
        <v>-1759.94965</v>
      </c>
      <c r="P94" s="165">
        <v>-0.3092885033206067</v>
      </c>
    </row>
    <row r="95" spans="4:17" customFormat="1" x14ac:dyDescent="0.25">
      <c r="F95" s="132" t="s">
        <v>95</v>
      </c>
      <c r="G95" s="133">
        <v>2</v>
      </c>
      <c r="H95" s="133">
        <v>1515</v>
      </c>
      <c r="I95" s="154">
        <v>29</v>
      </c>
      <c r="J95" s="154">
        <v>70</v>
      </c>
      <c r="K95" s="163">
        <v>0.11405000000000003</v>
      </c>
      <c r="L95" s="163">
        <v>0.69901999999999997</v>
      </c>
      <c r="M95" s="137">
        <v>520.78575000000001</v>
      </c>
      <c r="N95" s="137">
        <v>1899.0153</v>
      </c>
      <c r="O95" s="133">
        <v>1378.22955</v>
      </c>
      <c r="P95" s="165">
        <v>2.6464425149881694</v>
      </c>
    </row>
    <row r="96" spans="4:17" customFormat="1" x14ac:dyDescent="0.25">
      <c r="F96" s="132" t="s">
        <v>111</v>
      </c>
      <c r="G96" s="133">
        <v>1</v>
      </c>
      <c r="H96" s="133">
        <v>3945</v>
      </c>
      <c r="I96" s="154">
        <v>263</v>
      </c>
      <c r="J96" s="154">
        <v>70</v>
      </c>
      <c r="K96" s="163">
        <v>7.5529999999999986E-2</v>
      </c>
      <c r="L96" s="163">
        <v>0.69901999999999997</v>
      </c>
      <c r="M96" s="137">
        <v>3453.96585</v>
      </c>
      <c r="N96" s="137">
        <v>3597.6338999999998</v>
      </c>
      <c r="O96" s="133">
        <v>143.66804999999977</v>
      </c>
      <c r="P96" s="165">
        <v>4.1595098573426768E-2</v>
      </c>
    </row>
    <row r="97" spans="2:17" x14ac:dyDescent="0.25">
      <c r="C97" s="132"/>
      <c r="D97"/>
      <c r="E97"/>
      <c r="F97"/>
      <c r="G97" s="133"/>
      <c r="H97" s="133"/>
      <c r="I97" s="154"/>
      <c r="J97" s="154"/>
      <c r="K97" s="163"/>
      <c r="L97" s="163"/>
      <c r="M97" s="137"/>
      <c r="N97" s="137"/>
      <c r="O97" s="133"/>
      <c r="P97" s="165"/>
      <c r="Q97"/>
    </row>
    <row r="98" spans="2:17" x14ac:dyDescent="0.25">
      <c r="B98" s="132">
        <v>7</v>
      </c>
      <c r="C98" s="132" t="s">
        <v>13</v>
      </c>
      <c r="D98" s="132" t="s">
        <v>50</v>
      </c>
      <c r="E98" s="132" t="s">
        <v>151</v>
      </c>
      <c r="F98" s="132" t="s">
        <v>101</v>
      </c>
      <c r="G98" s="133">
        <v>5</v>
      </c>
      <c r="H98" s="133">
        <v>7470</v>
      </c>
      <c r="I98" s="154">
        <v>25</v>
      </c>
      <c r="J98" s="154">
        <v>45</v>
      </c>
      <c r="K98" s="163">
        <v>5.7619999999999998E-2</v>
      </c>
      <c r="L98" s="163">
        <v>5.7619999999999998E-2</v>
      </c>
      <c r="M98" s="137">
        <v>730.42139999999995</v>
      </c>
      <c r="N98" s="137">
        <v>970.42139999999995</v>
      </c>
      <c r="O98" s="133">
        <v>240</v>
      </c>
      <c r="P98" s="165">
        <v>0.32857744857968291</v>
      </c>
      <c r="Q98"/>
    </row>
    <row r="99" spans="2:17" x14ac:dyDescent="0.25">
      <c r="D99"/>
      <c r="E99"/>
      <c r="F99" s="132" t="s">
        <v>112</v>
      </c>
      <c r="G99" s="133">
        <v>1</v>
      </c>
      <c r="H99" s="133">
        <v>7986</v>
      </c>
      <c r="I99" s="154">
        <v>60</v>
      </c>
      <c r="J99" s="154">
        <v>45</v>
      </c>
      <c r="K99" s="163">
        <v>4.7849999999999997E-2</v>
      </c>
      <c r="L99" s="163">
        <v>5.7619999999999998E-2</v>
      </c>
      <c r="M99" s="137">
        <v>1102.1300999999999</v>
      </c>
      <c r="N99" s="137">
        <v>1000.15332</v>
      </c>
      <c r="O99" s="133">
        <v>-101.97677999999985</v>
      </c>
      <c r="P99" s="165">
        <v>-9.2526989327303424E-2</v>
      </c>
      <c r="Q99"/>
    </row>
    <row r="100" spans="2:17" x14ac:dyDescent="0.25">
      <c r="D100"/>
      <c r="E100" s="132" t="s">
        <v>158</v>
      </c>
      <c r="F100" s="132" t="s">
        <v>106</v>
      </c>
      <c r="G100" s="133">
        <v>3</v>
      </c>
      <c r="H100" s="133">
        <v>6824</v>
      </c>
      <c r="I100" s="154">
        <v>17.5</v>
      </c>
      <c r="J100" s="154">
        <v>100</v>
      </c>
      <c r="K100" s="163">
        <v>0.57156000000000007</v>
      </c>
      <c r="L100" s="163">
        <v>0.55700000000000005</v>
      </c>
      <c r="M100" s="137">
        <v>4110.3254400000005</v>
      </c>
      <c r="N100" s="137">
        <v>5000.9680000000008</v>
      </c>
      <c r="O100" s="133">
        <v>890.64256000000023</v>
      </c>
      <c r="P100" s="165">
        <v>0.21668419520572077</v>
      </c>
      <c r="Q100"/>
    </row>
    <row r="101" spans="2:17" x14ac:dyDescent="0.25">
      <c r="D101"/>
      <c r="E101" s="132" t="s">
        <v>164</v>
      </c>
      <c r="F101" s="132" t="s">
        <v>96</v>
      </c>
      <c r="G101" s="133">
        <v>377</v>
      </c>
      <c r="H101" s="133">
        <v>7260</v>
      </c>
      <c r="I101" s="154">
        <v>90</v>
      </c>
      <c r="J101" s="154">
        <v>150</v>
      </c>
      <c r="K101" s="163">
        <v>0.51373999999999997</v>
      </c>
      <c r="L101" s="163">
        <v>0.62475000000000003</v>
      </c>
      <c r="M101" s="137">
        <v>4809.7523999999994</v>
      </c>
      <c r="N101" s="137">
        <v>6335.6850000000004</v>
      </c>
      <c r="O101" s="133">
        <v>1525.932600000001</v>
      </c>
      <c r="P101" s="165">
        <v>0.31725803598538693</v>
      </c>
      <c r="Q101"/>
    </row>
    <row r="102" spans="2:17" x14ac:dyDescent="0.25">
      <c r="D102"/>
      <c r="E102"/>
      <c r="F102" s="132" t="s">
        <v>87</v>
      </c>
      <c r="G102" s="133">
        <v>310</v>
      </c>
      <c r="H102" s="133">
        <v>6706</v>
      </c>
      <c r="I102" s="154">
        <v>33</v>
      </c>
      <c r="J102" s="154">
        <v>150</v>
      </c>
      <c r="K102" s="163">
        <v>0.62101999999999991</v>
      </c>
      <c r="L102" s="163">
        <v>0.62475000000000003</v>
      </c>
      <c r="M102" s="137">
        <v>4560.5601200000001</v>
      </c>
      <c r="N102" s="137">
        <v>5989.5735000000004</v>
      </c>
      <c r="O102" s="133">
        <v>1429.0133800000003</v>
      </c>
      <c r="P102" s="165">
        <v>0.31334163839506635</v>
      </c>
      <c r="Q102"/>
    </row>
    <row r="103" spans="2:17" x14ac:dyDescent="0.25">
      <c r="D103"/>
      <c r="E103"/>
      <c r="F103" s="132" t="s">
        <v>94</v>
      </c>
      <c r="G103" s="133">
        <v>276</v>
      </c>
      <c r="H103" s="133">
        <v>8043</v>
      </c>
      <c r="I103" s="154">
        <v>33</v>
      </c>
      <c r="J103" s="154">
        <v>150</v>
      </c>
      <c r="K103" s="163">
        <v>0.62102000000000002</v>
      </c>
      <c r="L103" s="163">
        <v>0.62475000000000003</v>
      </c>
      <c r="M103" s="137">
        <v>5390.8638599999995</v>
      </c>
      <c r="N103" s="137">
        <v>6824.8642500000005</v>
      </c>
      <c r="O103" s="133">
        <v>1434.0003900000011</v>
      </c>
      <c r="P103" s="165">
        <v>0.26600567687123916</v>
      </c>
      <c r="Q103"/>
    </row>
    <row r="104" spans="2:17" x14ac:dyDescent="0.25">
      <c r="D104"/>
      <c r="E104"/>
      <c r="F104" s="132" t="s">
        <v>91</v>
      </c>
      <c r="G104" s="133">
        <v>220</v>
      </c>
      <c r="H104" s="133">
        <v>7671</v>
      </c>
      <c r="I104" s="154">
        <v>90</v>
      </c>
      <c r="J104" s="154">
        <v>150</v>
      </c>
      <c r="K104" s="163">
        <v>0.51373999999999997</v>
      </c>
      <c r="L104" s="163">
        <v>0.62475000000000003</v>
      </c>
      <c r="M104" s="137">
        <v>5020.8995400000003</v>
      </c>
      <c r="N104" s="137">
        <v>6592.4572500000004</v>
      </c>
      <c r="O104" s="133">
        <v>1571.55771</v>
      </c>
      <c r="P104" s="165">
        <v>0.31300321734778225</v>
      </c>
      <c r="Q104"/>
    </row>
    <row r="105" spans="2:17" x14ac:dyDescent="0.25">
      <c r="D105"/>
      <c r="E105"/>
      <c r="F105" s="132" t="s">
        <v>93</v>
      </c>
      <c r="G105" s="133">
        <v>44</v>
      </c>
      <c r="H105" s="133">
        <v>6093</v>
      </c>
      <c r="I105" s="154">
        <v>20</v>
      </c>
      <c r="J105" s="154">
        <v>150</v>
      </c>
      <c r="K105" s="163">
        <v>0.62101999999999991</v>
      </c>
      <c r="L105" s="163">
        <v>0.62475000000000003</v>
      </c>
      <c r="M105" s="137">
        <v>4023.8748599999999</v>
      </c>
      <c r="N105" s="137">
        <v>5606.6017499999998</v>
      </c>
      <c r="O105" s="133">
        <v>1582.7268899999999</v>
      </c>
      <c r="P105" s="165">
        <v>0.39333402381206256</v>
      </c>
      <c r="Q105"/>
    </row>
    <row r="106" spans="2:17" x14ac:dyDescent="0.25">
      <c r="D106"/>
      <c r="E106"/>
      <c r="F106" s="132" t="s">
        <v>88</v>
      </c>
      <c r="G106" s="133">
        <v>27</v>
      </c>
      <c r="H106" s="133">
        <v>7116</v>
      </c>
      <c r="I106" s="154">
        <v>20</v>
      </c>
      <c r="J106" s="154">
        <v>150</v>
      </c>
      <c r="K106" s="163">
        <v>0.62102000000000002</v>
      </c>
      <c r="L106" s="163">
        <v>0.62475000000000003</v>
      </c>
      <c r="M106" s="137">
        <v>4659.17832</v>
      </c>
      <c r="N106" s="137">
        <v>6245.7210000000005</v>
      </c>
      <c r="O106" s="133">
        <v>1586.5426800000005</v>
      </c>
      <c r="P106" s="165">
        <v>0.34051984513870259</v>
      </c>
      <c r="Q106"/>
    </row>
    <row r="107" spans="2:17" x14ac:dyDescent="0.25">
      <c r="D107"/>
      <c r="E107" s="132" t="s">
        <v>172</v>
      </c>
      <c r="F107" s="132" t="s">
        <v>99</v>
      </c>
      <c r="G107" s="133">
        <v>226</v>
      </c>
      <c r="H107" s="133">
        <v>7421</v>
      </c>
      <c r="I107" s="154">
        <v>134</v>
      </c>
      <c r="J107" s="154">
        <v>150</v>
      </c>
      <c r="K107" s="163">
        <v>0.27936</v>
      </c>
      <c r="L107" s="163">
        <v>0.62475000000000003</v>
      </c>
      <c r="M107" s="137">
        <v>3681.1305600000005</v>
      </c>
      <c r="N107" s="137">
        <v>6436.2697500000004</v>
      </c>
      <c r="O107" s="133">
        <v>2755.1391899999999</v>
      </c>
      <c r="P107" s="165">
        <v>0.74844919110937469</v>
      </c>
      <c r="Q107"/>
    </row>
    <row r="108" spans="2:17" x14ac:dyDescent="0.25">
      <c r="D108"/>
      <c r="E108"/>
      <c r="F108" s="132" t="s">
        <v>97</v>
      </c>
      <c r="G108" s="133">
        <v>62</v>
      </c>
      <c r="H108" s="133">
        <v>6525</v>
      </c>
      <c r="I108" s="154">
        <v>108</v>
      </c>
      <c r="J108" s="154">
        <v>150</v>
      </c>
      <c r="K108" s="163">
        <v>0.30049999999999999</v>
      </c>
      <c r="L108" s="163">
        <v>0.62475000000000003</v>
      </c>
      <c r="M108" s="137">
        <v>3256.7624999999998</v>
      </c>
      <c r="N108" s="137">
        <v>5876.4937499999996</v>
      </c>
      <c r="O108" s="133">
        <v>2619.7312499999998</v>
      </c>
      <c r="P108" s="165">
        <v>0.80439738851082943</v>
      </c>
      <c r="Q108"/>
    </row>
    <row r="109" spans="2:17" x14ac:dyDescent="0.25">
      <c r="D109"/>
      <c r="E109"/>
      <c r="F109" s="132" t="s">
        <v>100</v>
      </c>
      <c r="G109" s="133">
        <v>37</v>
      </c>
      <c r="H109" s="133">
        <v>8111</v>
      </c>
      <c r="I109" s="154">
        <v>210</v>
      </c>
      <c r="J109" s="154">
        <v>150</v>
      </c>
      <c r="K109" s="163">
        <v>0.27281</v>
      </c>
      <c r="L109" s="163">
        <v>0.62475000000000003</v>
      </c>
      <c r="M109" s="137">
        <v>4732.7619100000002</v>
      </c>
      <c r="N109" s="137">
        <v>6867.3472499999998</v>
      </c>
      <c r="O109" s="133">
        <v>2134.5853399999996</v>
      </c>
      <c r="P109" s="165">
        <v>0.45102318278250331</v>
      </c>
      <c r="Q109"/>
    </row>
    <row r="110" spans="2:17" x14ac:dyDescent="0.25">
      <c r="D110"/>
      <c r="E110"/>
      <c r="F110" s="132" t="s">
        <v>92</v>
      </c>
      <c r="G110" s="133">
        <v>6</v>
      </c>
      <c r="H110" s="133">
        <v>6726</v>
      </c>
      <c r="I110" s="154">
        <v>40</v>
      </c>
      <c r="J110" s="154">
        <v>150</v>
      </c>
      <c r="K110" s="163">
        <v>0.46758999999999995</v>
      </c>
      <c r="L110" s="163">
        <v>0.62475000000000003</v>
      </c>
      <c r="M110" s="137">
        <v>3625.0103399999998</v>
      </c>
      <c r="N110" s="137">
        <v>6002.0685000000003</v>
      </c>
      <c r="O110" s="133">
        <v>2377.0581600000005</v>
      </c>
      <c r="P110" s="165">
        <v>0.65573831163196095</v>
      </c>
      <c r="Q110"/>
    </row>
    <row r="111" spans="2:17" x14ac:dyDescent="0.25">
      <c r="D111"/>
      <c r="E111"/>
      <c r="F111" s="132" t="s">
        <v>111</v>
      </c>
      <c r="G111" s="133">
        <v>5</v>
      </c>
      <c r="H111" s="133">
        <v>6162</v>
      </c>
      <c r="I111" s="154">
        <v>263</v>
      </c>
      <c r="J111" s="154">
        <v>150</v>
      </c>
      <c r="K111" s="163">
        <v>7.5529999999999986E-2</v>
      </c>
      <c r="L111" s="163">
        <v>0.62475000000000003</v>
      </c>
      <c r="M111" s="137">
        <v>3621.4158600000001</v>
      </c>
      <c r="N111" s="137">
        <v>5649.7095000000008</v>
      </c>
      <c r="O111" s="133">
        <v>2028.2936400000008</v>
      </c>
      <c r="P111" s="165">
        <v>0.56008304994831515</v>
      </c>
      <c r="Q111"/>
    </row>
    <row r="112" spans="2:17" x14ac:dyDescent="0.25">
      <c r="D112"/>
      <c r="E112"/>
      <c r="F112" s="132" t="s">
        <v>110</v>
      </c>
      <c r="G112" s="133">
        <v>4</v>
      </c>
      <c r="H112" s="133">
        <v>6530</v>
      </c>
      <c r="I112" s="154">
        <v>600</v>
      </c>
      <c r="J112" s="154">
        <v>150</v>
      </c>
      <c r="K112" s="163">
        <v>0.20905000000000001</v>
      </c>
      <c r="L112" s="163">
        <v>0.62475000000000003</v>
      </c>
      <c r="M112" s="137">
        <v>8565.0964999999997</v>
      </c>
      <c r="N112" s="137">
        <v>5879.6175000000003</v>
      </c>
      <c r="O112" s="133">
        <v>-2685.4789999999994</v>
      </c>
      <c r="P112" s="165">
        <v>-0.31353750655348711</v>
      </c>
      <c r="Q112"/>
    </row>
    <row r="113" spans="2:17" x14ac:dyDescent="0.25">
      <c r="D113"/>
      <c r="E113"/>
      <c r="F113" s="132" t="s">
        <v>109</v>
      </c>
      <c r="G113" s="133">
        <v>3</v>
      </c>
      <c r="H113" s="133">
        <v>6167</v>
      </c>
      <c r="I113" s="154">
        <v>162</v>
      </c>
      <c r="J113" s="154">
        <v>150</v>
      </c>
      <c r="K113" s="163">
        <v>5.9479999999999998E-2</v>
      </c>
      <c r="L113" s="163">
        <v>0.62475000000000003</v>
      </c>
      <c r="M113" s="137">
        <v>2310.8131600000002</v>
      </c>
      <c r="N113" s="137">
        <v>5652.8332499999997</v>
      </c>
      <c r="O113" s="133">
        <v>3342.0200899999995</v>
      </c>
      <c r="P113" s="165">
        <v>1.4462528376807406</v>
      </c>
      <c r="Q113"/>
    </row>
    <row r="114" spans="2:17" x14ac:dyDescent="0.25">
      <c r="D114"/>
      <c r="E114"/>
      <c r="F114" s="132" t="s">
        <v>105</v>
      </c>
      <c r="G114" s="133">
        <v>1</v>
      </c>
      <c r="H114" s="133">
        <v>9004</v>
      </c>
      <c r="I114" s="154">
        <v>380</v>
      </c>
      <c r="J114" s="154">
        <v>150</v>
      </c>
      <c r="K114" s="163">
        <v>0.25567000000000001</v>
      </c>
      <c r="L114" s="163">
        <v>0.62475000000000003</v>
      </c>
      <c r="M114" s="137">
        <v>6862.0526799999998</v>
      </c>
      <c r="N114" s="137">
        <v>7425.2489999999998</v>
      </c>
      <c r="O114" s="133">
        <v>563.19632000000001</v>
      </c>
      <c r="P114" s="165">
        <v>8.2074030361422412E-2</v>
      </c>
      <c r="Q114"/>
    </row>
    <row r="115" spans="2:17" x14ac:dyDescent="0.25">
      <c r="D115"/>
      <c r="E115"/>
      <c r="F115" s="132" t="s">
        <v>113</v>
      </c>
      <c r="G115" s="133">
        <v>1</v>
      </c>
      <c r="H115" s="133">
        <v>5827</v>
      </c>
      <c r="I115" s="154">
        <v>700</v>
      </c>
      <c r="J115" s="154">
        <v>150</v>
      </c>
      <c r="K115" s="163">
        <v>0.20016</v>
      </c>
      <c r="L115" s="163">
        <v>0.62475000000000003</v>
      </c>
      <c r="M115" s="137">
        <v>9566.3323199999995</v>
      </c>
      <c r="N115" s="137">
        <v>5440.4182500000006</v>
      </c>
      <c r="O115" s="133">
        <v>-4125.9140699999989</v>
      </c>
      <c r="P115" s="165">
        <v>-0.43129528977099124</v>
      </c>
      <c r="Q115"/>
    </row>
    <row r="116" spans="2:17" x14ac:dyDescent="0.25">
      <c r="D116"/>
      <c r="E116"/>
      <c r="F116" s="132" t="s">
        <v>90</v>
      </c>
      <c r="G116" s="133">
        <v>1</v>
      </c>
      <c r="H116" s="133">
        <v>5496</v>
      </c>
      <c r="I116" s="154">
        <v>34</v>
      </c>
      <c r="J116" s="154">
        <v>150</v>
      </c>
      <c r="K116" s="163">
        <v>0.47495999999999999</v>
      </c>
      <c r="L116" s="163">
        <v>0.62475000000000003</v>
      </c>
      <c r="M116" s="137">
        <v>3018.3801600000002</v>
      </c>
      <c r="N116" s="137">
        <v>5233.6260000000002</v>
      </c>
      <c r="O116" s="133">
        <v>2215.24584</v>
      </c>
      <c r="P116" s="165">
        <v>0.73391876522273458</v>
      </c>
      <c r="Q116"/>
    </row>
    <row r="117" spans="2:17" x14ac:dyDescent="0.25">
      <c r="D117"/>
      <c r="E117"/>
      <c r="F117" s="132" t="s">
        <v>107</v>
      </c>
      <c r="G117" s="133">
        <v>1</v>
      </c>
      <c r="H117" s="133">
        <v>5386</v>
      </c>
      <c r="I117" s="154">
        <v>87</v>
      </c>
      <c r="J117" s="154">
        <v>150</v>
      </c>
      <c r="K117" s="163">
        <v>0.15931999999999996</v>
      </c>
      <c r="L117" s="163">
        <v>0.62475000000000003</v>
      </c>
      <c r="M117" s="137">
        <v>1902.0975199999998</v>
      </c>
      <c r="N117" s="137">
        <v>5164.9035000000003</v>
      </c>
      <c r="O117" s="133">
        <v>3262.8059800000005</v>
      </c>
      <c r="P117" s="165">
        <v>1.7153726061322034</v>
      </c>
      <c r="Q117"/>
    </row>
    <row r="118" spans="2:17" x14ac:dyDescent="0.25">
      <c r="C118" s="132"/>
      <c r="D118"/>
      <c r="E118"/>
      <c r="F118"/>
      <c r="G118" s="133"/>
      <c r="H118" s="133"/>
      <c r="I118" s="154"/>
      <c r="J118" s="154"/>
      <c r="K118" s="163"/>
      <c r="L118" s="163"/>
      <c r="M118" s="137"/>
      <c r="N118" s="137"/>
      <c r="O118" s="133"/>
      <c r="P118" s="165"/>
      <c r="Q118"/>
    </row>
    <row r="119" spans="2:17" x14ac:dyDescent="0.25">
      <c r="B119" s="132">
        <v>8</v>
      </c>
      <c r="C119" s="132" t="s">
        <v>14</v>
      </c>
      <c r="D119" s="132" t="s">
        <v>52</v>
      </c>
      <c r="E119" s="132" t="s">
        <v>151</v>
      </c>
      <c r="F119" s="132" t="s">
        <v>101</v>
      </c>
      <c r="G119" s="133">
        <v>2</v>
      </c>
      <c r="H119" s="133">
        <v>12486</v>
      </c>
      <c r="I119" s="154">
        <v>25</v>
      </c>
      <c r="J119" s="154">
        <v>55</v>
      </c>
      <c r="K119" s="163">
        <v>5.7619999999999998E-2</v>
      </c>
      <c r="L119" s="163">
        <v>4.9619999999999997E-2</v>
      </c>
      <c r="M119" s="137">
        <v>1019.44332</v>
      </c>
      <c r="N119" s="137">
        <v>1279.5553199999999</v>
      </c>
      <c r="O119" s="133">
        <v>260.11199999999997</v>
      </c>
      <c r="P119" s="165">
        <v>0.25515101712569954</v>
      </c>
      <c r="Q119"/>
    </row>
    <row r="120" spans="2:17" x14ac:dyDescent="0.25">
      <c r="D120"/>
      <c r="E120" s="132" t="s">
        <v>158</v>
      </c>
      <c r="F120" s="132" t="s">
        <v>114</v>
      </c>
      <c r="G120" s="133">
        <v>2</v>
      </c>
      <c r="H120" s="133">
        <v>13663</v>
      </c>
      <c r="I120" s="154">
        <v>175</v>
      </c>
      <c r="J120" s="154">
        <v>225</v>
      </c>
      <c r="K120" s="163">
        <v>0.218</v>
      </c>
      <c r="L120" s="163">
        <v>0.31365999999999999</v>
      </c>
      <c r="M120" s="137">
        <v>5078.5339999999997</v>
      </c>
      <c r="N120" s="137">
        <v>6985.53658</v>
      </c>
      <c r="O120" s="133">
        <v>1907.0025800000003</v>
      </c>
      <c r="P120" s="165">
        <v>0.37550257219898509</v>
      </c>
      <c r="Q120"/>
    </row>
    <row r="121" spans="2:17" x14ac:dyDescent="0.25">
      <c r="D121"/>
      <c r="E121"/>
      <c r="F121" s="132" t="s">
        <v>116</v>
      </c>
      <c r="G121" s="133">
        <v>1</v>
      </c>
      <c r="H121" s="133">
        <v>22010</v>
      </c>
      <c r="I121" s="154">
        <v>175</v>
      </c>
      <c r="J121" s="154">
        <v>225</v>
      </c>
      <c r="K121" s="163">
        <v>0.218</v>
      </c>
      <c r="L121" s="163">
        <v>0.31365999999999999</v>
      </c>
      <c r="M121" s="137">
        <v>6898.18</v>
      </c>
      <c r="N121" s="137">
        <v>9603.6566000000003</v>
      </c>
      <c r="O121" s="133">
        <v>2705.4766</v>
      </c>
      <c r="P121" s="165">
        <v>0.39220150822390831</v>
      </c>
      <c r="Q121"/>
    </row>
    <row r="122" spans="2:17" x14ac:dyDescent="0.25">
      <c r="D122"/>
      <c r="E122"/>
      <c r="F122" s="132" t="s">
        <v>98</v>
      </c>
      <c r="G122" s="133">
        <v>1</v>
      </c>
      <c r="H122" s="133">
        <v>22741</v>
      </c>
      <c r="I122" s="154">
        <v>17.5</v>
      </c>
      <c r="J122" s="154">
        <v>225</v>
      </c>
      <c r="K122" s="163">
        <v>0.57156000000000007</v>
      </c>
      <c r="L122" s="163">
        <v>0.31365999999999999</v>
      </c>
      <c r="M122" s="137">
        <v>13207.845960000001</v>
      </c>
      <c r="N122" s="137">
        <v>9832.9420600000012</v>
      </c>
      <c r="O122" s="133">
        <v>-3374.9038999999993</v>
      </c>
      <c r="P122" s="165">
        <v>-0.25552265753408282</v>
      </c>
      <c r="Q122"/>
    </row>
    <row r="123" spans="2:17" x14ac:dyDescent="0.25">
      <c r="D123"/>
      <c r="E123" s="132" t="s">
        <v>164</v>
      </c>
      <c r="F123" s="132" t="s">
        <v>96</v>
      </c>
      <c r="G123" s="133">
        <v>706</v>
      </c>
      <c r="H123" s="133">
        <v>18058</v>
      </c>
      <c r="I123" s="154">
        <v>90</v>
      </c>
      <c r="J123" s="154">
        <v>275</v>
      </c>
      <c r="K123" s="163">
        <v>0.51373999999999997</v>
      </c>
      <c r="L123" s="163">
        <v>0.59182999999999997</v>
      </c>
      <c r="M123" s="137">
        <v>10357.116919999999</v>
      </c>
      <c r="N123" s="137">
        <v>13987.26614</v>
      </c>
      <c r="O123" s="133">
        <v>3630.1492200000012</v>
      </c>
      <c r="P123" s="165">
        <v>0.35049804381275651</v>
      </c>
      <c r="Q123"/>
    </row>
    <row r="124" spans="2:17" x14ac:dyDescent="0.25">
      <c r="D124"/>
      <c r="E124"/>
      <c r="F124" s="132" t="s">
        <v>91</v>
      </c>
      <c r="G124" s="133">
        <v>249</v>
      </c>
      <c r="H124" s="133">
        <v>18010</v>
      </c>
      <c r="I124" s="154">
        <v>90</v>
      </c>
      <c r="J124" s="154">
        <v>275</v>
      </c>
      <c r="K124" s="163">
        <v>0.51373999999999997</v>
      </c>
      <c r="L124" s="163">
        <v>0.59182999999999997</v>
      </c>
      <c r="M124" s="137">
        <v>10332.457399999999</v>
      </c>
      <c r="N124" s="137">
        <v>13958.8583</v>
      </c>
      <c r="O124" s="133">
        <v>3626.4009000000005</v>
      </c>
      <c r="P124" s="165">
        <v>0.35097177366538196</v>
      </c>
      <c r="Q124"/>
    </row>
    <row r="125" spans="2:17" x14ac:dyDescent="0.25">
      <c r="D125"/>
      <c r="E125"/>
      <c r="F125" s="132" t="s">
        <v>94</v>
      </c>
      <c r="G125" s="133">
        <v>99</v>
      </c>
      <c r="H125" s="133">
        <v>17354</v>
      </c>
      <c r="I125" s="154">
        <v>33</v>
      </c>
      <c r="J125" s="154">
        <v>275</v>
      </c>
      <c r="K125" s="163">
        <v>0.62102000000000002</v>
      </c>
      <c r="L125" s="163">
        <v>0.59182999999999997</v>
      </c>
      <c r="M125" s="137">
        <v>11173.18108</v>
      </c>
      <c r="N125" s="137">
        <v>13570.617819999999</v>
      </c>
      <c r="O125" s="133">
        <v>2397.4367399999992</v>
      </c>
      <c r="P125" s="165">
        <v>0.21457065117215474</v>
      </c>
      <c r="Q125"/>
    </row>
    <row r="126" spans="2:17" x14ac:dyDescent="0.25">
      <c r="D126"/>
      <c r="E126"/>
      <c r="F126" s="132" t="s">
        <v>87</v>
      </c>
      <c r="G126" s="133">
        <v>80</v>
      </c>
      <c r="H126" s="133">
        <v>14962</v>
      </c>
      <c r="I126" s="154">
        <v>33</v>
      </c>
      <c r="J126" s="154">
        <v>275</v>
      </c>
      <c r="K126" s="163">
        <v>0.62101999999999991</v>
      </c>
      <c r="L126" s="163">
        <v>0.59182999999999997</v>
      </c>
      <c r="M126" s="137">
        <v>9687.7012399999985</v>
      </c>
      <c r="N126" s="137">
        <v>12154.96046</v>
      </c>
      <c r="O126" s="133">
        <v>2467.2592200000017</v>
      </c>
      <c r="P126" s="165">
        <v>0.25467953221067768</v>
      </c>
      <c r="Q126"/>
    </row>
    <row r="127" spans="2:17" x14ac:dyDescent="0.25">
      <c r="D127"/>
      <c r="E127"/>
      <c r="F127" s="132" t="s">
        <v>93</v>
      </c>
      <c r="G127" s="133">
        <v>15</v>
      </c>
      <c r="H127" s="133">
        <v>14459</v>
      </c>
      <c r="I127" s="154">
        <v>20</v>
      </c>
      <c r="J127" s="154">
        <v>275</v>
      </c>
      <c r="K127" s="163">
        <v>0.62101999999999991</v>
      </c>
      <c r="L127" s="163">
        <v>0.59182999999999997</v>
      </c>
      <c r="M127" s="137">
        <v>9219.3281799999986</v>
      </c>
      <c r="N127" s="137">
        <v>11857.269969999999</v>
      </c>
      <c r="O127" s="133">
        <v>2637.9417900000008</v>
      </c>
      <c r="P127" s="165">
        <v>0.28613167234057624</v>
      </c>
      <c r="Q127"/>
    </row>
    <row r="128" spans="2:17" x14ac:dyDescent="0.25">
      <c r="D128"/>
      <c r="E128"/>
      <c r="F128" s="132" t="s">
        <v>88</v>
      </c>
      <c r="G128" s="133">
        <v>13</v>
      </c>
      <c r="H128" s="133">
        <v>17413</v>
      </c>
      <c r="I128" s="154">
        <v>20</v>
      </c>
      <c r="J128" s="154">
        <v>275</v>
      </c>
      <c r="K128" s="163">
        <v>0.62102000000000002</v>
      </c>
      <c r="L128" s="163">
        <v>0.59182999999999997</v>
      </c>
      <c r="M128" s="137">
        <v>11053.821259999999</v>
      </c>
      <c r="N128" s="137">
        <v>13605.53579</v>
      </c>
      <c r="O128" s="133">
        <v>2551.7145300000011</v>
      </c>
      <c r="P128" s="165">
        <v>0.23084456225412148</v>
      </c>
      <c r="Q128"/>
    </row>
    <row r="129" spans="2:17" x14ac:dyDescent="0.25">
      <c r="D129"/>
      <c r="E129"/>
      <c r="F129" s="132" t="s">
        <v>117</v>
      </c>
      <c r="G129" s="133">
        <v>1</v>
      </c>
      <c r="H129" s="133">
        <v>43262</v>
      </c>
      <c r="I129" s="154">
        <v>280</v>
      </c>
      <c r="J129" s="154">
        <v>275</v>
      </c>
      <c r="K129" s="163">
        <v>0.32616000000000001</v>
      </c>
      <c r="L129" s="163">
        <v>0.59182999999999997</v>
      </c>
      <c r="M129" s="137">
        <v>17470.333920000001</v>
      </c>
      <c r="N129" s="137">
        <v>28903.749459999999</v>
      </c>
      <c r="O129" s="133">
        <v>11433.415539999998</v>
      </c>
      <c r="P129" s="165">
        <v>0.65444745317151887</v>
      </c>
      <c r="Q129"/>
    </row>
    <row r="130" spans="2:17" x14ac:dyDescent="0.25">
      <c r="D130"/>
      <c r="E130" s="132" t="s">
        <v>172</v>
      </c>
      <c r="F130" s="132" t="s">
        <v>100</v>
      </c>
      <c r="G130" s="133">
        <v>165</v>
      </c>
      <c r="H130" s="133">
        <v>16039</v>
      </c>
      <c r="I130" s="154">
        <v>210</v>
      </c>
      <c r="J130" s="154">
        <v>275</v>
      </c>
      <c r="K130" s="163">
        <v>0.27281</v>
      </c>
      <c r="L130" s="163">
        <v>0.59182999999999997</v>
      </c>
      <c r="M130" s="137">
        <v>6895.5995899999998</v>
      </c>
      <c r="N130" s="137">
        <v>12792.361369999999</v>
      </c>
      <c r="O130" s="133">
        <v>5896.7617799999989</v>
      </c>
      <c r="P130" s="165">
        <v>0.85514851943426129</v>
      </c>
      <c r="Q130"/>
    </row>
    <row r="131" spans="2:17" x14ac:dyDescent="0.25">
      <c r="D131"/>
      <c r="E131"/>
      <c r="F131" s="132" t="s">
        <v>105</v>
      </c>
      <c r="G131" s="133">
        <v>27</v>
      </c>
      <c r="H131" s="133">
        <v>29117</v>
      </c>
      <c r="I131" s="154">
        <v>380</v>
      </c>
      <c r="J131" s="154">
        <v>275</v>
      </c>
      <c r="K131" s="163">
        <v>0.25567000000000001</v>
      </c>
      <c r="L131" s="163">
        <v>0.59182999999999997</v>
      </c>
      <c r="M131" s="137">
        <v>12004.343390000002</v>
      </c>
      <c r="N131" s="137">
        <v>20532.314109999999</v>
      </c>
      <c r="O131" s="133">
        <v>8527.9707199999975</v>
      </c>
      <c r="P131" s="165">
        <v>0.71040709541048841</v>
      </c>
      <c r="Q131"/>
    </row>
    <row r="132" spans="2:17" x14ac:dyDescent="0.25">
      <c r="D132"/>
      <c r="E132"/>
      <c r="F132" s="132" t="s">
        <v>99</v>
      </c>
      <c r="G132" s="133">
        <v>24</v>
      </c>
      <c r="H132" s="133">
        <v>12658</v>
      </c>
      <c r="I132" s="154">
        <v>134</v>
      </c>
      <c r="J132" s="154">
        <v>275</v>
      </c>
      <c r="K132" s="163">
        <v>0.27936</v>
      </c>
      <c r="L132" s="163">
        <v>0.59182999999999997</v>
      </c>
      <c r="M132" s="137">
        <v>5144.1388799999995</v>
      </c>
      <c r="N132" s="137">
        <v>10791.384139999998</v>
      </c>
      <c r="O132" s="133">
        <v>5647.2452599999988</v>
      </c>
      <c r="P132" s="165">
        <v>1.0978018657225677</v>
      </c>
      <c r="Q132"/>
    </row>
    <row r="133" spans="2:17" x14ac:dyDescent="0.25">
      <c r="D133"/>
      <c r="E133"/>
      <c r="F133" s="132" t="s">
        <v>110</v>
      </c>
      <c r="G133" s="133">
        <v>9</v>
      </c>
      <c r="H133" s="133">
        <v>41456</v>
      </c>
      <c r="I133" s="154">
        <v>600</v>
      </c>
      <c r="J133" s="154">
        <v>275</v>
      </c>
      <c r="K133" s="163">
        <v>0.20905000000000001</v>
      </c>
      <c r="L133" s="163">
        <v>0.59182999999999997</v>
      </c>
      <c r="M133" s="137">
        <v>15866.3768</v>
      </c>
      <c r="N133" s="137">
        <v>27834.904479999997</v>
      </c>
      <c r="O133" s="133">
        <v>11968.527679999997</v>
      </c>
      <c r="P133" s="165">
        <v>0.75433275226389418</v>
      </c>
      <c r="Q133"/>
    </row>
    <row r="134" spans="2:17" x14ac:dyDescent="0.25">
      <c r="D134"/>
      <c r="E134"/>
      <c r="F134" s="132" t="s">
        <v>97</v>
      </c>
      <c r="G134" s="133">
        <v>2</v>
      </c>
      <c r="H134" s="133">
        <v>11608</v>
      </c>
      <c r="I134" s="154">
        <v>108</v>
      </c>
      <c r="J134" s="154">
        <v>275</v>
      </c>
      <c r="K134" s="163">
        <v>0.30049999999999999</v>
      </c>
      <c r="L134" s="163">
        <v>0.59182999999999997</v>
      </c>
      <c r="M134" s="137">
        <v>4784.2040000000006</v>
      </c>
      <c r="N134" s="137">
        <v>10169.96264</v>
      </c>
      <c r="O134" s="133">
        <v>5385.7586399999991</v>
      </c>
      <c r="P134" s="165">
        <v>1.125737665032678</v>
      </c>
      <c r="Q134"/>
    </row>
    <row r="135" spans="2:17" x14ac:dyDescent="0.25">
      <c r="D135"/>
      <c r="E135"/>
      <c r="F135" s="132" t="s">
        <v>92</v>
      </c>
      <c r="G135" s="133">
        <v>2</v>
      </c>
      <c r="H135" s="133">
        <v>16080</v>
      </c>
      <c r="I135" s="154">
        <v>40</v>
      </c>
      <c r="J135" s="154">
        <v>275</v>
      </c>
      <c r="K135" s="163">
        <v>0.46758999999999995</v>
      </c>
      <c r="L135" s="163">
        <v>0.59182999999999997</v>
      </c>
      <c r="M135" s="137">
        <v>7998.8471999999992</v>
      </c>
      <c r="N135" s="137">
        <v>12816.626399999999</v>
      </c>
      <c r="O135" s="133">
        <v>4817.7791999999999</v>
      </c>
      <c r="P135" s="165">
        <v>0.60230919275467598</v>
      </c>
      <c r="Q135"/>
    </row>
    <row r="136" spans="2:17" x14ac:dyDescent="0.25">
      <c r="D136"/>
      <c r="E136"/>
      <c r="F136" s="132" t="s">
        <v>111</v>
      </c>
      <c r="G136" s="133">
        <v>1</v>
      </c>
      <c r="H136" s="133">
        <v>11290</v>
      </c>
      <c r="I136" s="154">
        <v>263</v>
      </c>
      <c r="J136" s="154">
        <v>275</v>
      </c>
      <c r="K136" s="163">
        <v>7.5529999999999986E-2</v>
      </c>
      <c r="L136" s="163">
        <v>0.59182999999999997</v>
      </c>
      <c r="M136" s="137">
        <v>4008.7336999999998</v>
      </c>
      <c r="N136" s="137">
        <v>9981.7606999999989</v>
      </c>
      <c r="O136" s="133">
        <v>5973.0269999999991</v>
      </c>
      <c r="P136" s="165">
        <v>1.4900034392406758</v>
      </c>
      <c r="Q136"/>
    </row>
    <row r="137" spans="2:17" x14ac:dyDescent="0.25">
      <c r="D137"/>
      <c r="E137"/>
      <c r="F137" s="132" t="s">
        <v>115</v>
      </c>
      <c r="G137" s="133">
        <v>1</v>
      </c>
      <c r="H137" s="133">
        <v>24459</v>
      </c>
      <c r="I137" s="154">
        <v>2000</v>
      </c>
      <c r="J137" s="154">
        <v>275</v>
      </c>
      <c r="K137" s="163">
        <v>0.22033</v>
      </c>
      <c r="L137" s="163">
        <v>0.59182999999999997</v>
      </c>
      <c r="M137" s="137">
        <v>29389.051469999999</v>
      </c>
      <c r="N137" s="137">
        <v>17775.569969999997</v>
      </c>
      <c r="O137" s="133">
        <v>-11613.481500000002</v>
      </c>
      <c r="P137" s="165">
        <v>-0.39516353604861687</v>
      </c>
      <c r="Q137"/>
    </row>
    <row r="138" spans="2:17" x14ac:dyDescent="0.25">
      <c r="D138"/>
      <c r="E138"/>
      <c r="F138" s="132" t="s">
        <v>113</v>
      </c>
      <c r="G138" s="133">
        <v>1</v>
      </c>
      <c r="H138" s="133">
        <v>12304</v>
      </c>
      <c r="I138" s="154">
        <v>700</v>
      </c>
      <c r="J138" s="154">
        <v>275</v>
      </c>
      <c r="K138" s="163">
        <v>0.20016</v>
      </c>
      <c r="L138" s="163">
        <v>0.59182999999999997</v>
      </c>
      <c r="M138" s="137">
        <v>10862.76864</v>
      </c>
      <c r="N138" s="137">
        <v>10581.876319999999</v>
      </c>
      <c r="O138" s="133">
        <v>-280.89232000000084</v>
      </c>
      <c r="P138" s="165">
        <v>-2.5858262226599427E-2</v>
      </c>
      <c r="Q138"/>
    </row>
    <row r="139" spans="2:17" x14ac:dyDescent="0.25">
      <c r="C139" s="132"/>
      <c r="D139"/>
      <c r="E139"/>
      <c r="F139"/>
      <c r="G139" s="133"/>
      <c r="H139" s="133"/>
      <c r="I139" s="154"/>
      <c r="J139" s="154"/>
      <c r="K139" s="163"/>
      <c r="L139" s="163"/>
      <c r="M139" s="137"/>
      <c r="N139" s="137"/>
      <c r="O139" s="133"/>
      <c r="P139" s="165"/>
      <c r="Q139"/>
    </row>
    <row r="140" spans="2:17" x14ac:dyDescent="0.25">
      <c r="B140" s="132">
        <v>9</v>
      </c>
      <c r="C140" s="132" t="s">
        <v>15</v>
      </c>
      <c r="D140" s="132" t="s">
        <v>54</v>
      </c>
      <c r="E140" s="132" t="s">
        <v>158</v>
      </c>
      <c r="F140" s="132" t="s">
        <v>116</v>
      </c>
      <c r="G140" s="133">
        <v>1</v>
      </c>
      <c r="H140" s="133">
        <v>119829</v>
      </c>
      <c r="I140" s="154">
        <v>175</v>
      </c>
      <c r="J140" s="154">
        <v>300</v>
      </c>
      <c r="K140" s="163">
        <v>0.218</v>
      </c>
      <c r="L140" s="163">
        <v>0.26922000000000001</v>
      </c>
      <c r="M140" s="137">
        <v>28222.722000000002</v>
      </c>
      <c r="N140" s="137">
        <v>35860.363380000003</v>
      </c>
      <c r="O140" s="133">
        <v>7637.6413800000009</v>
      </c>
      <c r="P140" s="165">
        <v>0.27062029594452303</v>
      </c>
      <c r="Q140"/>
    </row>
    <row r="141" spans="2:17" x14ac:dyDescent="0.25">
      <c r="D141"/>
      <c r="E141" s="132" t="s">
        <v>164</v>
      </c>
      <c r="F141" s="132" t="s">
        <v>96</v>
      </c>
      <c r="G141" s="133">
        <v>55</v>
      </c>
      <c r="H141" s="133">
        <v>100610</v>
      </c>
      <c r="I141" s="154">
        <v>90</v>
      </c>
      <c r="J141" s="154">
        <v>750</v>
      </c>
      <c r="K141" s="163">
        <v>0.51373999999999997</v>
      </c>
      <c r="L141" s="163">
        <v>0.52</v>
      </c>
      <c r="M141" s="137">
        <v>52767.381399999998</v>
      </c>
      <c r="N141" s="137">
        <v>61317.200000000004</v>
      </c>
      <c r="O141" s="133">
        <v>8549.818600000006</v>
      </c>
      <c r="P141" s="165">
        <v>0.16202847996546604</v>
      </c>
      <c r="Q141"/>
    </row>
    <row r="142" spans="2:17" x14ac:dyDescent="0.25">
      <c r="D142"/>
      <c r="E142"/>
      <c r="F142" s="132" t="s">
        <v>91</v>
      </c>
      <c r="G142" s="133">
        <v>7</v>
      </c>
      <c r="H142" s="133">
        <v>114592</v>
      </c>
      <c r="I142" s="154">
        <v>90</v>
      </c>
      <c r="J142" s="154">
        <v>750</v>
      </c>
      <c r="K142" s="163">
        <v>0.51373999999999997</v>
      </c>
      <c r="L142" s="163">
        <v>0.52</v>
      </c>
      <c r="M142" s="137">
        <v>59950.494079999997</v>
      </c>
      <c r="N142" s="137">
        <v>68587.839999999997</v>
      </c>
      <c r="O142" s="133">
        <v>8637.3459199999998</v>
      </c>
      <c r="P142" s="165">
        <v>0.14407464112762822</v>
      </c>
      <c r="Q142"/>
    </row>
    <row r="143" spans="2:17" x14ac:dyDescent="0.25">
      <c r="D143"/>
      <c r="E143"/>
      <c r="F143" s="132" t="s">
        <v>94</v>
      </c>
      <c r="G143" s="133">
        <v>2</v>
      </c>
      <c r="H143" s="133">
        <v>62299</v>
      </c>
      <c r="I143" s="154">
        <v>33</v>
      </c>
      <c r="J143" s="154">
        <v>750</v>
      </c>
      <c r="K143" s="163">
        <v>0.62102000000000002</v>
      </c>
      <c r="L143" s="163">
        <v>0.52</v>
      </c>
      <c r="M143" s="137">
        <v>39084.924979999996</v>
      </c>
      <c r="N143" s="137">
        <v>41395.479999999996</v>
      </c>
      <c r="O143" s="133">
        <v>2310.5550199999998</v>
      </c>
      <c r="P143" s="165">
        <v>5.9116271073369732E-2</v>
      </c>
      <c r="Q143"/>
    </row>
    <row r="144" spans="2:17" x14ac:dyDescent="0.25">
      <c r="D144"/>
      <c r="E144"/>
      <c r="F144" s="132" t="s">
        <v>87</v>
      </c>
      <c r="G144" s="133">
        <v>1</v>
      </c>
      <c r="H144" s="133">
        <v>215460</v>
      </c>
      <c r="I144" s="154">
        <v>33</v>
      </c>
      <c r="J144" s="154">
        <v>750</v>
      </c>
      <c r="K144" s="163">
        <v>0.62101999999999991</v>
      </c>
      <c r="L144" s="163">
        <v>0.52</v>
      </c>
      <c r="M144" s="137">
        <v>134200.96919999999</v>
      </c>
      <c r="N144" s="137">
        <v>121039.2</v>
      </c>
      <c r="O144" s="133">
        <v>-13161.769199999995</v>
      </c>
      <c r="P144" s="165">
        <v>-9.8075068149358763E-2</v>
      </c>
      <c r="Q144"/>
    </row>
    <row r="145" spans="2:18" x14ac:dyDescent="0.25">
      <c r="D145"/>
      <c r="E145"/>
      <c r="F145" s="132" t="s">
        <v>88</v>
      </c>
      <c r="G145" s="133">
        <v>1</v>
      </c>
      <c r="H145" s="133">
        <v>128788</v>
      </c>
      <c r="I145" s="154">
        <v>20</v>
      </c>
      <c r="J145" s="154">
        <v>750</v>
      </c>
      <c r="K145" s="163">
        <v>0.62102000000000002</v>
      </c>
      <c r="L145" s="163">
        <v>0.52</v>
      </c>
      <c r="M145" s="137">
        <v>80219.923759999991</v>
      </c>
      <c r="N145" s="137">
        <v>75969.760000000009</v>
      </c>
      <c r="O145" s="133">
        <v>-4250.1637599999813</v>
      </c>
      <c r="P145" s="165">
        <v>-5.2981398644998935E-2</v>
      </c>
      <c r="Q145"/>
    </row>
    <row r="146" spans="2:18" x14ac:dyDescent="0.25">
      <c r="D146"/>
      <c r="E146" s="132" t="s">
        <v>172</v>
      </c>
      <c r="F146" s="132" t="s">
        <v>113</v>
      </c>
      <c r="G146" s="133">
        <v>20</v>
      </c>
      <c r="H146" s="133">
        <v>131677</v>
      </c>
      <c r="I146" s="154">
        <v>700</v>
      </c>
      <c r="J146" s="154">
        <v>750</v>
      </c>
      <c r="K146" s="163">
        <v>0.20016</v>
      </c>
      <c r="L146" s="163">
        <v>0.52</v>
      </c>
      <c r="M146" s="137">
        <v>34756.46832</v>
      </c>
      <c r="N146" s="137">
        <v>77472.040000000008</v>
      </c>
      <c r="O146" s="133">
        <v>42715.571680000008</v>
      </c>
      <c r="P146" s="165">
        <v>1.228996320532949</v>
      </c>
      <c r="Q146"/>
    </row>
    <row r="147" spans="2:18" x14ac:dyDescent="0.25">
      <c r="D147"/>
      <c r="E147"/>
      <c r="F147" s="132" t="s">
        <v>110</v>
      </c>
      <c r="G147" s="133">
        <v>13</v>
      </c>
      <c r="H147" s="133">
        <v>106491</v>
      </c>
      <c r="I147" s="154">
        <v>600</v>
      </c>
      <c r="J147" s="154">
        <v>750</v>
      </c>
      <c r="K147" s="163">
        <v>0.20905000000000001</v>
      </c>
      <c r="L147" s="163">
        <v>0.52</v>
      </c>
      <c r="M147" s="137">
        <v>29461.943550000004</v>
      </c>
      <c r="N147" s="137">
        <v>64375.32</v>
      </c>
      <c r="O147" s="133">
        <v>34913.376449999996</v>
      </c>
      <c r="P147" s="165">
        <v>1.1850330373061893</v>
      </c>
      <c r="Q147"/>
    </row>
    <row r="148" spans="2:18" x14ac:dyDescent="0.25">
      <c r="D148"/>
      <c r="E148"/>
      <c r="F148" s="132" t="s">
        <v>118</v>
      </c>
      <c r="G148" s="133">
        <v>6</v>
      </c>
      <c r="H148" s="133">
        <v>164505</v>
      </c>
      <c r="I148" s="154">
        <v>1200</v>
      </c>
      <c r="J148" s="154">
        <v>750</v>
      </c>
      <c r="K148" s="163">
        <v>0.19342000000000001</v>
      </c>
      <c r="L148" s="163">
        <v>0.52</v>
      </c>
      <c r="M148" s="137">
        <v>46218.557100000005</v>
      </c>
      <c r="N148" s="137">
        <v>94542.6</v>
      </c>
      <c r="O148" s="133">
        <v>48324.0429</v>
      </c>
      <c r="P148" s="165">
        <v>1.045554987695624</v>
      </c>
      <c r="Q148"/>
    </row>
    <row r="149" spans="2:18" x14ac:dyDescent="0.25">
      <c r="D149"/>
      <c r="E149"/>
      <c r="F149" s="132" t="s">
        <v>105</v>
      </c>
      <c r="G149" s="133">
        <v>4</v>
      </c>
      <c r="H149" s="133">
        <v>60296</v>
      </c>
      <c r="I149" s="154">
        <v>380</v>
      </c>
      <c r="J149" s="154">
        <v>750</v>
      </c>
      <c r="K149" s="163">
        <v>0.25567000000000001</v>
      </c>
      <c r="L149" s="163">
        <v>0.52</v>
      </c>
      <c r="M149" s="137">
        <v>19975.87832</v>
      </c>
      <c r="N149" s="137">
        <v>40353.919999999998</v>
      </c>
      <c r="O149" s="133">
        <v>20378.041679999998</v>
      </c>
      <c r="P149" s="165">
        <v>1.0201324494251325</v>
      </c>
      <c r="Q149"/>
    </row>
    <row r="150" spans="2:18" x14ac:dyDescent="0.25">
      <c r="D150"/>
      <c r="E150"/>
      <c r="F150" s="132" t="s">
        <v>100</v>
      </c>
      <c r="G150" s="133">
        <v>2</v>
      </c>
      <c r="H150" s="133">
        <v>86516</v>
      </c>
      <c r="I150" s="154">
        <v>210</v>
      </c>
      <c r="J150" s="154">
        <v>750</v>
      </c>
      <c r="K150" s="163">
        <v>0.27281</v>
      </c>
      <c r="L150" s="163">
        <v>0.52</v>
      </c>
      <c r="M150" s="137">
        <v>26122.429959999998</v>
      </c>
      <c r="N150" s="137">
        <v>53988.32</v>
      </c>
      <c r="O150" s="133">
        <v>27865.890040000002</v>
      </c>
      <c r="P150" s="165">
        <v>1.0667418797818458</v>
      </c>
      <c r="Q150"/>
    </row>
    <row r="151" spans="2:18" x14ac:dyDescent="0.25">
      <c r="D151"/>
      <c r="E151"/>
      <c r="F151" s="132" t="s">
        <v>115</v>
      </c>
      <c r="G151" s="133">
        <v>1</v>
      </c>
      <c r="H151" s="133">
        <v>128709</v>
      </c>
      <c r="I151" s="154">
        <v>2000</v>
      </c>
      <c r="J151" s="154">
        <v>750</v>
      </c>
      <c r="K151" s="163">
        <v>0.22033</v>
      </c>
      <c r="L151" s="163">
        <v>0.52</v>
      </c>
      <c r="M151" s="137">
        <v>52358.453970000002</v>
      </c>
      <c r="N151" s="137">
        <v>75928.680000000008</v>
      </c>
      <c r="O151" s="133">
        <v>23570.226030000005</v>
      </c>
      <c r="P151" s="165">
        <v>0.45017039738234282</v>
      </c>
      <c r="Q151"/>
    </row>
    <row r="152" spans="2:18" x14ac:dyDescent="0.25">
      <c r="D152"/>
      <c r="E152"/>
      <c r="F152" s="132" t="s">
        <v>99</v>
      </c>
      <c r="G152" s="133">
        <v>1</v>
      </c>
      <c r="H152" s="133">
        <v>77341</v>
      </c>
      <c r="I152" s="154">
        <v>134</v>
      </c>
      <c r="J152" s="154">
        <v>750</v>
      </c>
      <c r="K152" s="163">
        <v>0.27936</v>
      </c>
      <c r="L152" s="163">
        <v>0.52</v>
      </c>
      <c r="M152" s="137">
        <v>23213.981759999999</v>
      </c>
      <c r="N152" s="137">
        <v>49217.32</v>
      </c>
      <c r="O152" s="133">
        <v>26003.338240000001</v>
      </c>
      <c r="P152" s="165">
        <v>1.120158467807808</v>
      </c>
      <c r="Q152"/>
    </row>
    <row r="153" spans="2:18" x14ac:dyDescent="0.25">
      <c r="C153" s="132"/>
      <c r="D153"/>
      <c r="E153"/>
      <c r="F153"/>
      <c r="G153" s="133"/>
      <c r="H153" s="133"/>
      <c r="I153" s="154"/>
      <c r="J153" s="154"/>
      <c r="K153" s="163"/>
      <c r="L153" s="163"/>
      <c r="M153" s="137"/>
      <c r="N153" s="137"/>
      <c r="O153" s="133"/>
      <c r="P153" s="165"/>
      <c r="Q153"/>
    </row>
    <row r="154" spans="2:18" x14ac:dyDescent="0.25">
      <c r="B154" s="132">
        <v>10</v>
      </c>
      <c r="C154" s="132" t="s">
        <v>16</v>
      </c>
      <c r="D154" s="132" t="s">
        <v>56</v>
      </c>
      <c r="E154" s="132" t="s">
        <v>164</v>
      </c>
      <c r="F154" s="132" t="s">
        <v>96</v>
      </c>
      <c r="G154" s="133">
        <v>14</v>
      </c>
      <c r="H154" s="133">
        <v>343884</v>
      </c>
      <c r="I154" s="154">
        <v>90</v>
      </c>
      <c r="J154" s="154">
        <v>2500</v>
      </c>
      <c r="K154" s="163">
        <v>0.51373999999999997</v>
      </c>
      <c r="L154" s="163">
        <v>0.49419000000000002</v>
      </c>
      <c r="M154" s="137">
        <v>177746.96615999998</v>
      </c>
      <c r="N154" s="137">
        <v>199944.03396</v>
      </c>
      <c r="O154" s="133">
        <v>22197.067800000019</v>
      </c>
      <c r="P154" s="165">
        <v>0.12488015002190922</v>
      </c>
      <c r="Q154" s="144"/>
      <c r="R154" s="164"/>
    </row>
    <row r="155" spans="2:18" x14ac:dyDescent="0.25">
      <c r="D155"/>
      <c r="E155"/>
      <c r="F155" s="132" t="s">
        <v>91</v>
      </c>
      <c r="G155" s="133">
        <v>2</v>
      </c>
      <c r="H155" s="133">
        <v>327522</v>
      </c>
      <c r="I155" s="154">
        <v>90</v>
      </c>
      <c r="J155" s="154">
        <v>2500</v>
      </c>
      <c r="K155" s="163">
        <v>0.51373999999999997</v>
      </c>
      <c r="L155" s="163">
        <v>0.49419000000000002</v>
      </c>
      <c r="M155" s="137">
        <v>169341.15227999998</v>
      </c>
      <c r="N155" s="137">
        <v>191858.09718000001</v>
      </c>
      <c r="O155" s="133">
        <v>22516.944900000031</v>
      </c>
      <c r="P155" s="165">
        <v>0.13296794427599623</v>
      </c>
      <c r="Q155" s="144"/>
    </row>
    <row r="156" spans="2:18" x14ac:dyDescent="0.25">
      <c r="D156"/>
      <c r="E156" s="132" t="s">
        <v>172</v>
      </c>
      <c r="F156" s="132" t="s">
        <v>118</v>
      </c>
      <c r="G156" s="133">
        <v>13</v>
      </c>
      <c r="H156" s="133">
        <v>347005</v>
      </c>
      <c r="I156" s="154">
        <v>1200</v>
      </c>
      <c r="J156" s="154">
        <v>2500</v>
      </c>
      <c r="K156" s="163">
        <v>0.19342000000000001</v>
      </c>
      <c r="L156" s="163">
        <v>0.49419000000000002</v>
      </c>
      <c r="M156" s="137">
        <v>81517.7071</v>
      </c>
      <c r="N156" s="137">
        <v>201486.40095000001</v>
      </c>
      <c r="O156" s="133">
        <v>119968.69385000001</v>
      </c>
      <c r="P156" s="165">
        <v>1.4716887669918284</v>
      </c>
      <c r="Q156" s="144"/>
    </row>
    <row r="157" spans="2:18" x14ac:dyDescent="0.25">
      <c r="D157"/>
      <c r="E157"/>
      <c r="F157" s="132" t="s">
        <v>113</v>
      </c>
      <c r="G157" s="133">
        <v>3</v>
      </c>
      <c r="H157" s="133">
        <v>325033</v>
      </c>
      <c r="I157" s="154">
        <v>700</v>
      </c>
      <c r="J157" s="154">
        <v>2500</v>
      </c>
      <c r="K157" s="163">
        <v>0.20016</v>
      </c>
      <c r="L157" s="163">
        <v>0.49419000000000002</v>
      </c>
      <c r="M157" s="137">
        <v>73458.605280000003</v>
      </c>
      <c r="N157" s="137">
        <v>190628.05827000001</v>
      </c>
      <c r="O157" s="133">
        <v>117169.45299000001</v>
      </c>
      <c r="P157" s="165">
        <v>1.5950405339631573</v>
      </c>
      <c r="Q157" s="144"/>
    </row>
    <row r="158" spans="2:18" x14ac:dyDescent="0.25">
      <c r="D158"/>
      <c r="E158"/>
      <c r="F158" s="132" t="s">
        <v>115</v>
      </c>
      <c r="G158" s="133">
        <v>2</v>
      </c>
      <c r="H158" s="133">
        <v>481287</v>
      </c>
      <c r="I158" s="154">
        <v>2000</v>
      </c>
      <c r="J158" s="154">
        <v>2500</v>
      </c>
      <c r="K158" s="163">
        <v>0.22033</v>
      </c>
      <c r="L158" s="163">
        <v>0.49419000000000002</v>
      </c>
      <c r="M158" s="137">
        <v>130041.96471</v>
      </c>
      <c r="N158" s="137">
        <v>267847.22253000003</v>
      </c>
      <c r="O158" s="133">
        <v>137805.25782000003</v>
      </c>
      <c r="P158" s="165">
        <v>1.0596983683483447</v>
      </c>
      <c r="Q158" s="144"/>
    </row>
    <row r="159" spans="2:18" x14ac:dyDescent="0.25">
      <c r="C159" s="132"/>
      <c r="D159"/>
      <c r="E159"/>
      <c r="F159"/>
      <c r="G159" s="133"/>
      <c r="H159" s="133"/>
      <c r="I159" s="154"/>
      <c r="J159" s="154"/>
      <c r="K159" s="163"/>
      <c r="L159" s="163"/>
      <c r="M159" s="137"/>
      <c r="N159" s="137"/>
      <c r="O159" s="133"/>
      <c r="P159" s="165"/>
      <c r="Q159"/>
    </row>
    <row r="160" spans="2:18" x14ac:dyDescent="0.25">
      <c r="B160" s="132">
        <v>11</v>
      </c>
      <c r="C160" s="132" t="s">
        <v>17</v>
      </c>
      <c r="D160" s="132" t="s">
        <v>58</v>
      </c>
      <c r="E160" s="132" t="s">
        <v>164</v>
      </c>
      <c r="F160" s="132" t="s">
        <v>96</v>
      </c>
      <c r="G160" s="133">
        <v>3</v>
      </c>
      <c r="H160" s="133">
        <v>668053</v>
      </c>
      <c r="I160" s="154">
        <v>90</v>
      </c>
      <c r="J160" s="154">
        <v>4500</v>
      </c>
      <c r="K160" s="163">
        <v>0.51373999999999997</v>
      </c>
      <c r="L160" s="163">
        <v>0.38796999999999998</v>
      </c>
      <c r="M160" s="137">
        <v>344285.54822</v>
      </c>
      <c r="N160" s="137">
        <v>313184.52240999998</v>
      </c>
      <c r="O160" s="133">
        <v>-31101.025810000021</v>
      </c>
      <c r="P160" s="165">
        <v>-9.0334973311532452E-2</v>
      </c>
      <c r="Q160"/>
    </row>
    <row r="161" spans="2:17" x14ac:dyDescent="0.25">
      <c r="D161"/>
      <c r="E161" s="132" t="s">
        <v>172</v>
      </c>
      <c r="F161" s="132" t="s">
        <v>115</v>
      </c>
      <c r="G161" s="133">
        <v>3</v>
      </c>
      <c r="H161" s="133">
        <v>862528</v>
      </c>
      <c r="I161" s="154">
        <v>2000</v>
      </c>
      <c r="J161" s="154">
        <v>4500</v>
      </c>
      <c r="K161" s="163">
        <v>0.22033</v>
      </c>
      <c r="L161" s="163">
        <v>0.38796999999999998</v>
      </c>
      <c r="M161" s="137">
        <v>214040.79424000002</v>
      </c>
      <c r="N161" s="137">
        <v>388634.98816000001</v>
      </c>
      <c r="O161" s="133">
        <v>174594.19391999999</v>
      </c>
      <c r="P161" s="165">
        <v>0.81570522357635589</v>
      </c>
      <c r="Q161"/>
    </row>
    <row r="162" spans="2:17" x14ac:dyDescent="0.25">
      <c r="D162"/>
      <c r="E162"/>
      <c r="F162" s="132" t="s">
        <v>120</v>
      </c>
      <c r="G162" s="133">
        <v>2</v>
      </c>
      <c r="H162" s="133">
        <v>927657</v>
      </c>
      <c r="I162" s="154">
        <v>3000</v>
      </c>
      <c r="J162" s="154">
        <v>4500</v>
      </c>
      <c r="K162" s="163">
        <v>0.15711000000000003</v>
      </c>
      <c r="L162" s="163">
        <v>0.38796999999999998</v>
      </c>
      <c r="M162" s="137">
        <v>181744.19127000001</v>
      </c>
      <c r="N162" s="137">
        <v>413903.08629000001</v>
      </c>
      <c r="O162" s="133">
        <v>232158.89502</v>
      </c>
      <c r="P162" s="165">
        <v>1.2773937554631591</v>
      </c>
      <c r="Q162"/>
    </row>
    <row r="163" spans="2:17" x14ac:dyDescent="0.25">
      <c r="D163"/>
      <c r="E163"/>
      <c r="F163" s="132" t="s">
        <v>119</v>
      </c>
      <c r="G163" s="133">
        <v>2</v>
      </c>
      <c r="H163" s="133">
        <v>727860</v>
      </c>
      <c r="I163" s="154">
        <v>9000</v>
      </c>
      <c r="J163" s="154">
        <v>4500</v>
      </c>
      <c r="K163" s="163">
        <v>9.8318000000000003E-2</v>
      </c>
      <c r="L163" s="163">
        <v>0.38796999999999998</v>
      </c>
      <c r="M163" s="137">
        <v>179561.73947999999</v>
      </c>
      <c r="N163" s="137">
        <v>336387.84419999999</v>
      </c>
      <c r="O163" s="133">
        <v>156826.10472</v>
      </c>
      <c r="P163" s="165">
        <v>0.87338263248150183</v>
      </c>
      <c r="Q163"/>
    </row>
    <row r="164" spans="2:17" x14ac:dyDescent="0.25">
      <c r="D164"/>
      <c r="E164"/>
      <c r="F164" s="132" t="s">
        <v>113</v>
      </c>
      <c r="G164" s="133">
        <v>1</v>
      </c>
      <c r="H164" s="133">
        <v>667664</v>
      </c>
      <c r="I164" s="154">
        <v>700</v>
      </c>
      <c r="J164" s="154">
        <v>4500</v>
      </c>
      <c r="K164" s="163">
        <v>0.20016</v>
      </c>
      <c r="L164" s="163">
        <v>0.38796999999999998</v>
      </c>
      <c r="M164" s="137">
        <v>142039.62624000001</v>
      </c>
      <c r="N164" s="137">
        <v>313033.60207999998</v>
      </c>
      <c r="O164" s="133">
        <v>170993.97583999997</v>
      </c>
      <c r="P164" s="165">
        <v>1.2038469852847731</v>
      </c>
      <c r="Q164"/>
    </row>
    <row r="165" spans="2:17" x14ac:dyDescent="0.25">
      <c r="D165"/>
      <c r="E165"/>
      <c r="F165" s="132" t="s">
        <v>110</v>
      </c>
      <c r="G165" s="133">
        <v>1</v>
      </c>
      <c r="H165" s="133">
        <v>690294</v>
      </c>
      <c r="I165" s="154">
        <v>600</v>
      </c>
      <c r="J165" s="154">
        <v>4500</v>
      </c>
      <c r="K165" s="163">
        <v>0.20905000000000001</v>
      </c>
      <c r="L165" s="163">
        <v>0.38796999999999998</v>
      </c>
      <c r="M165" s="137">
        <v>151505.9607</v>
      </c>
      <c r="N165" s="137">
        <v>321813.36317999999</v>
      </c>
      <c r="O165" s="133">
        <v>170307.40247999999</v>
      </c>
      <c r="P165" s="165">
        <v>1.1240970433977122</v>
      </c>
      <c r="Q165"/>
    </row>
    <row r="166" spans="2:17" x14ac:dyDescent="0.25">
      <c r="C166" s="132"/>
      <c r="D166"/>
      <c r="E166"/>
      <c r="F166"/>
      <c r="G166" s="133"/>
      <c r="H166" s="133"/>
      <c r="I166" s="154"/>
      <c r="J166" s="154"/>
      <c r="K166" s="163"/>
      <c r="L166" s="163"/>
      <c r="M166" s="137"/>
      <c r="N166" s="137"/>
      <c r="O166" s="133"/>
      <c r="P166" s="165"/>
      <c r="Q166"/>
    </row>
    <row r="167" spans="2:17" x14ac:dyDescent="0.25">
      <c r="B167" s="132">
        <v>12</v>
      </c>
      <c r="C167" s="132" t="s">
        <v>272</v>
      </c>
      <c r="D167" s="132" t="s">
        <v>270</v>
      </c>
      <c r="E167" s="132" t="s">
        <v>164</v>
      </c>
      <c r="F167" s="132" t="s">
        <v>96</v>
      </c>
      <c r="G167" s="133">
        <v>2</v>
      </c>
      <c r="H167" s="133">
        <v>1082083</v>
      </c>
      <c r="I167" s="154">
        <v>90</v>
      </c>
      <c r="J167" s="154">
        <v>9500</v>
      </c>
      <c r="K167" s="163">
        <v>0.51373999999999997</v>
      </c>
      <c r="L167" s="163">
        <v>0.36796999999999996</v>
      </c>
      <c r="M167" s="137">
        <v>556989.32042</v>
      </c>
      <c r="N167" s="137">
        <v>512174.08150999999</v>
      </c>
      <c r="O167" s="133">
        <v>-44815.238910000015</v>
      </c>
      <c r="P167" s="165">
        <v>-8.0459781304616229E-2</v>
      </c>
      <c r="Q167"/>
    </row>
    <row r="168" spans="2:17" x14ac:dyDescent="0.25">
      <c r="C168" s="132"/>
      <c r="D168"/>
      <c r="E168"/>
      <c r="F168"/>
      <c r="G168" s="133"/>
      <c r="H168" s="133"/>
      <c r="I168" s="154"/>
      <c r="J168" s="154"/>
      <c r="K168" s="163"/>
      <c r="L168" s="163"/>
      <c r="M168" s="137"/>
      <c r="N168" s="137"/>
      <c r="O168" s="133"/>
      <c r="P168" s="165"/>
      <c r="Q168"/>
    </row>
    <row r="169" spans="2:17" x14ac:dyDescent="0.25">
      <c r="C169" s="132" t="s">
        <v>273</v>
      </c>
      <c r="D169" s="132" t="s">
        <v>271</v>
      </c>
      <c r="E169" s="132" t="s">
        <v>164</v>
      </c>
      <c r="F169" s="132" t="s">
        <v>96</v>
      </c>
      <c r="G169" s="133">
        <v>1</v>
      </c>
      <c r="H169" s="133">
        <v>1699351</v>
      </c>
      <c r="I169" s="154">
        <v>90</v>
      </c>
      <c r="J169" s="154">
        <v>9500</v>
      </c>
      <c r="K169" s="163">
        <v>0.51373999999999997</v>
      </c>
      <c r="L169" s="163">
        <v>0.34796999999999995</v>
      </c>
      <c r="M169" s="137">
        <v>874104.58273999998</v>
      </c>
      <c r="N169" s="137">
        <v>705323.16746999987</v>
      </c>
      <c r="O169" s="133">
        <v>-168781.41527000011</v>
      </c>
      <c r="P169" s="165">
        <v>-0.19309064224435452</v>
      </c>
      <c r="Q169"/>
    </row>
    <row r="170" spans="2:17" x14ac:dyDescent="0.25">
      <c r="D170"/>
      <c r="E170" s="132" t="s">
        <v>172</v>
      </c>
      <c r="F170" s="132" t="s">
        <v>121</v>
      </c>
      <c r="G170" s="133">
        <v>1</v>
      </c>
      <c r="H170" s="133">
        <v>1527249</v>
      </c>
      <c r="I170" s="154">
        <v>5500</v>
      </c>
      <c r="J170" s="154">
        <v>9500</v>
      </c>
      <c r="K170" s="163">
        <v>0.12304999999999999</v>
      </c>
      <c r="L170" s="163">
        <v>0.34796999999999995</v>
      </c>
      <c r="M170" s="137">
        <v>253927.98944999999</v>
      </c>
      <c r="N170" s="137">
        <v>645436.83452999988</v>
      </c>
      <c r="O170" s="133">
        <v>391508.84507999988</v>
      </c>
      <c r="P170" s="165">
        <v>1.5418105185174571</v>
      </c>
      <c r="Q170"/>
    </row>
    <row r="171" spans="2:17" x14ac:dyDescent="0.25">
      <c r="D171"/>
      <c r="E171"/>
      <c r="F171" s="132" t="s">
        <v>120</v>
      </c>
      <c r="G171" s="133">
        <v>1</v>
      </c>
      <c r="H171" s="133">
        <v>1775576</v>
      </c>
      <c r="I171" s="154">
        <v>3000</v>
      </c>
      <c r="J171" s="154">
        <v>9500</v>
      </c>
      <c r="K171" s="163">
        <v>0.15711000000000003</v>
      </c>
      <c r="L171" s="163">
        <v>0.34796999999999995</v>
      </c>
      <c r="M171" s="137">
        <v>314960.74536000006</v>
      </c>
      <c r="N171" s="137">
        <v>731847.18071999995</v>
      </c>
      <c r="O171" s="133">
        <v>416886.43535999989</v>
      </c>
      <c r="P171" s="165">
        <v>1.3236139471396626</v>
      </c>
      <c r="Q171"/>
    </row>
    <row r="172" spans="2:17" x14ac:dyDescent="0.25">
      <c r="C172" s="132"/>
      <c r="D172"/>
      <c r="E172"/>
      <c r="F172"/>
      <c r="G172" s="133"/>
      <c r="H172" s="133"/>
      <c r="I172" s="154"/>
      <c r="J172" s="154"/>
      <c r="K172" s="163"/>
      <c r="L172" s="163"/>
      <c r="M172" s="137"/>
      <c r="N172" s="137"/>
      <c r="O172" s="133"/>
      <c r="P172" s="165"/>
      <c r="Q172"/>
    </row>
    <row r="173" spans="2:17" x14ac:dyDescent="0.25">
      <c r="C173" s="132" t="s">
        <v>274</v>
      </c>
      <c r="D173" s="132" t="s">
        <v>289</v>
      </c>
      <c r="E173" s="132" t="s">
        <v>172</v>
      </c>
      <c r="F173" s="132" t="s">
        <v>119</v>
      </c>
      <c r="G173" s="133">
        <v>1</v>
      </c>
      <c r="H173" s="133">
        <v>2236699</v>
      </c>
      <c r="I173" s="154">
        <v>9000</v>
      </c>
      <c r="J173" s="154">
        <v>9500</v>
      </c>
      <c r="K173" s="163">
        <v>9.8318000000000003E-2</v>
      </c>
      <c r="L173" s="163">
        <v>0.18051</v>
      </c>
      <c r="M173" s="137">
        <v>327907.77228199999</v>
      </c>
      <c r="N173" s="137">
        <v>517746.53649000003</v>
      </c>
      <c r="O173" s="133">
        <v>189838.76420800004</v>
      </c>
      <c r="P173" s="165">
        <v>0.57893950755378587</v>
      </c>
      <c r="Q173"/>
    </row>
    <row r="174" spans="2:17" x14ac:dyDescent="0.25">
      <c r="C174" s="132"/>
      <c r="D174"/>
      <c r="E174"/>
      <c r="F174"/>
      <c r="G174" s="133"/>
      <c r="H174" s="133"/>
      <c r="I174" s="154"/>
      <c r="J174" s="154"/>
      <c r="K174" s="163"/>
      <c r="L174" s="163"/>
      <c r="M174" s="137"/>
      <c r="N174" s="137"/>
      <c r="O174" s="133"/>
      <c r="P174" s="165"/>
      <c r="Q174"/>
    </row>
    <row r="175" spans="2:17" x14ac:dyDescent="0.25">
      <c r="C175" s="132" t="s">
        <v>287</v>
      </c>
      <c r="D175" s="132" t="s">
        <v>290</v>
      </c>
      <c r="E175" s="132" t="s">
        <v>172</v>
      </c>
      <c r="F175" s="132" t="s">
        <v>119</v>
      </c>
      <c r="G175" s="133">
        <v>2</v>
      </c>
      <c r="H175" s="133">
        <v>6667307</v>
      </c>
      <c r="I175" s="154">
        <v>9000</v>
      </c>
      <c r="J175" s="154">
        <v>9500</v>
      </c>
      <c r="K175" s="163">
        <v>9.8318000000000003E-2</v>
      </c>
      <c r="L175" s="163">
        <v>0.17322000000000001</v>
      </c>
      <c r="M175" s="137">
        <v>763516.28962599998</v>
      </c>
      <c r="N175" s="137">
        <v>1268910.91854</v>
      </c>
      <c r="O175" s="133">
        <v>505394.628914</v>
      </c>
      <c r="P175" s="165">
        <v>0.66193038155290962</v>
      </c>
      <c r="Q175"/>
    </row>
    <row r="176" spans="2:17" x14ac:dyDescent="0.25">
      <c r="C176" s="132"/>
      <c r="D176"/>
      <c r="E176"/>
      <c r="F176"/>
      <c r="G176" s="133"/>
      <c r="H176" s="133"/>
      <c r="I176" s="154"/>
      <c r="J176" s="154"/>
      <c r="K176" s="163"/>
      <c r="L176" s="163"/>
      <c r="M176" s="137"/>
      <c r="N176" s="137"/>
      <c r="O176" s="133"/>
      <c r="P176" s="165"/>
      <c r="Q176"/>
    </row>
    <row r="177" spans="1:17" x14ac:dyDescent="0.25">
      <c r="B177" s="132">
        <v>13</v>
      </c>
      <c r="C177" s="132" t="s">
        <v>18</v>
      </c>
      <c r="D177" s="132" t="s">
        <v>254</v>
      </c>
      <c r="E177" s="132" t="s">
        <v>164</v>
      </c>
      <c r="F177" s="132" t="s">
        <v>117</v>
      </c>
      <c r="G177" s="133">
        <v>17</v>
      </c>
      <c r="H177" s="133">
        <v>558968</v>
      </c>
      <c r="I177" s="154">
        <v>280</v>
      </c>
      <c r="J177" s="154">
        <v>750</v>
      </c>
      <c r="K177" s="163">
        <v>0.32616000000000001</v>
      </c>
      <c r="L177" s="163">
        <v>0.36749999999999999</v>
      </c>
      <c r="M177" s="137">
        <v>185673.00287999999</v>
      </c>
      <c r="N177" s="137">
        <v>214420.74</v>
      </c>
      <c r="O177" s="133">
        <v>28747.737120000005</v>
      </c>
      <c r="P177" s="165">
        <v>0.15482992505151436</v>
      </c>
      <c r="Q177"/>
    </row>
    <row r="178" spans="1:17" x14ac:dyDescent="0.25">
      <c r="C178" s="132"/>
      <c r="D178"/>
      <c r="E178"/>
      <c r="F178"/>
      <c r="G178" s="133"/>
      <c r="H178" s="133"/>
      <c r="I178" s="154"/>
      <c r="J178" s="154"/>
      <c r="K178" s="163"/>
      <c r="L178" s="163"/>
      <c r="M178" s="137"/>
      <c r="N178" s="137"/>
      <c r="O178" s="133"/>
      <c r="P178" s="165"/>
      <c r="Q178"/>
    </row>
    <row r="179" spans="1:17" x14ac:dyDescent="0.25">
      <c r="B179" s="132">
        <v>14</v>
      </c>
      <c r="C179" s="132" t="s">
        <v>19</v>
      </c>
      <c r="D179" s="132" t="s">
        <v>45</v>
      </c>
      <c r="E179" s="132" t="s">
        <v>164</v>
      </c>
      <c r="F179" s="132" t="s">
        <v>122</v>
      </c>
      <c r="G179" s="133">
        <v>2</v>
      </c>
      <c r="H179" s="133">
        <v>461073</v>
      </c>
      <c r="I179" s="154">
        <v>100</v>
      </c>
      <c r="J179" s="154">
        <v>250</v>
      </c>
      <c r="K179" s="163">
        <v>0.40077000000000002</v>
      </c>
      <c r="L179" s="163">
        <v>0.49803999999999998</v>
      </c>
      <c r="M179" s="137">
        <v>185984.22620999999</v>
      </c>
      <c r="N179" s="137">
        <v>232632.79691999999</v>
      </c>
      <c r="O179" s="133">
        <v>46648.57071</v>
      </c>
      <c r="P179" s="165">
        <v>0.25082003813230802</v>
      </c>
      <c r="Q179"/>
    </row>
    <row r="180" spans="1:17" x14ac:dyDescent="0.25">
      <c r="D180"/>
      <c r="E180" s="132" t="s">
        <v>172</v>
      </c>
      <c r="F180" s="132" t="s">
        <v>123</v>
      </c>
      <c r="G180" s="133">
        <v>1</v>
      </c>
      <c r="H180" s="133">
        <v>100131</v>
      </c>
      <c r="I180" s="154">
        <v>100</v>
      </c>
      <c r="J180" s="154">
        <v>250</v>
      </c>
      <c r="K180" s="163">
        <v>0.22440000000000002</v>
      </c>
      <c r="L180" s="163">
        <v>0.49803999999999998</v>
      </c>
      <c r="M180" s="137">
        <v>23669.396400000001</v>
      </c>
      <c r="N180" s="137">
        <v>52869.243239999996</v>
      </c>
      <c r="O180" s="133">
        <v>29199.846839999995</v>
      </c>
      <c r="P180" s="165">
        <v>1.2336540546509245</v>
      </c>
      <c r="Q180"/>
    </row>
    <row r="181" spans="1:17" x14ac:dyDescent="0.25">
      <c r="C181" s="132"/>
      <c r="D181"/>
      <c r="E181"/>
      <c r="F181"/>
      <c r="G181" s="133"/>
      <c r="H181" s="133"/>
      <c r="I181" s="154"/>
      <c r="J181" s="154"/>
      <c r="K181" s="163"/>
      <c r="L181" s="163"/>
      <c r="M181" s="137"/>
      <c r="N181" s="137"/>
      <c r="O181" s="133"/>
      <c r="P181" s="165"/>
      <c r="Q181"/>
    </row>
    <row r="182" spans="1:17" x14ac:dyDescent="0.25">
      <c r="B182" s="132">
        <v>15</v>
      </c>
      <c r="C182" s="132" t="s">
        <v>20</v>
      </c>
      <c r="D182" s="132" t="s">
        <v>45</v>
      </c>
      <c r="E182" s="132" t="s">
        <v>164</v>
      </c>
      <c r="F182" s="132" t="s">
        <v>124</v>
      </c>
      <c r="G182" s="133">
        <v>29</v>
      </c>
      <c r="H182" s="133">
        <v>3439</v>
      </c>
      <c r="I182" s="154">
        <v>0</v>
      </c>
      <c r="J182" s="154">
        <v>0</v>
      </c>
      <c r="K182" s="163">
        <v>1.3826100000000003</v>
      </c>
      <c r="L182" s="163">
        <v>0.66344000000000003</v>
      </c>
      <c r="M182" s="137">
        <v>4754.795790000001</v>
      </c>
      <c r="N182" s="137">
        <v>2281.5701600000002</v>
      </c>
      <c r="O182" s="133">
        <v>-2473.2256300000008</v>
      </c>
      <c r="P182" s="165">
        <v>-0.52015391180448578</v>
      </c>
      <c r="Q182"/>
    </row>
    <row r="183" spans="1:17" x14ac:dyDescent="0.25">
      <c r="C183" s="132"/>
      <c r="D183"/>
      <c r="E183"/>
      <c r="F183"/>
      <c r="G183" s="133"/>
      <c r="H183" s="133"/>
      <c r="I183" s="154"/>
      <c r="J183" s="154"/>
      <c r="K183" s="163"/>
      <c r="L183" s="163"/>
      <c r="M183" s="137"/>
      <c r="N183" s="137"/>
      <c r="O183" s="133"/>
      <c r="P183" s="165"/>
      <c r="Q183"/>
    </row>
    <row r="184" spans="1:17" x14ac:dyDescent="0.25">
      <c r="B184" s="132">
        <v>16</v>
      </c>
      <c r="C184" s="132" t="s">
        <v>21</v>
      </c>
      <c r="D184" s="132" t="s">
        <v>45</v>
      </c>
      <c r="E184" s="132" t="s">
        <v>164</v>
      </c>
      <c r="F184" s="132" t="s">
        <v>125</v>
      </c>
      <c r="G184" s="133">
        <v>303</v>
      </c>
      <c r="H184" s="133">
        <v>207</v>
      </c>
      <c r="I184" s="154">
        <v>35.81</v>
      </c>
      <c r="J184" s="154">
        <v>65</v>
      </c>
      <c r="K184" s="163">
        <v>0.62102000000000002</v>
      </c>
      <c r="L184" s="163">
        <v>0.18104999999999999</v>
      </c>
      <c r="M184" s="137">
        <v>558.27114000000006</v>
      </c>
      <c r="N184" s="137">
        <v>817.47735</v>
      </c>
      <c r="O184" s="133">
        <v>259.20620999999994</v>
      </c>
      <c r="P184" s="165">
        <v>0.46430164740380436</v>
      </c>
    </row>
    <row r="185" spans="1:17" x14ac:dyDescent="0.25">
      <c r="C185" s="132"/>
      <c r="D185"/>
      <c r="E185"/>
      <c r="F185"/>
      <c r="G185" s="133"/>
      <c r="H185" s="133"/>
      <c r="I185" s="154"/>
      <c r="J185" s="154"/>
      <c r="K185" s="163"/>
      <c r="L185" s="163"/>
      <c r="M185" s="137"/>
      <c r="N185" s="137"/>
      <c r="O185" s="133"/>
      <c r="P185" s="165"/>
    </row>
    <row r="186" spans="1:17" x14ac:dyDescent="0.25">
      <c r="A186" s="132" t="s">
        <v>126</v>
      </c>
      <c r="D186"/>
      <c r="E186"/>
      <c r="F186"/>
      <c r="G186" s="133">
        <v>94386</v>
      </c>
      <c r="H186" s="133">
        <v>24584548</v>
      </c>
      <c r="I186" s="154">
        <v>66508.56</v>
      </c>
      <c r="J186" s="154">
        <v>118090.5</v>
      </c>
      <c r="K186" s="163">
        <v>65.248204000000015</v>
      </c>
      <c r="L186" s="163">
        <v>90.986139999999935</v>
      </c>
      <c r="M186" s="137">
        <v>6350184.2046179986</v>
      </c>
      <c r="N186" s="137">
        <v>9351311.6130100004</v>
      </c>
      <c r="O186" s="133">
        <v>3001127.4083919995</v>
      </c>
      <c r="P186" s="165">
        <v>52.241871725493766</v>
      </c>
    </row>
    <row r="187" spans="1:17" x14ac:dyDescent="0.25">
      <c r="D187"/>
      <c r="E187"/>
      <c r="F187"/>
      <c r="G187"/>
      <c r="H187"/>
      <c r="I187"/>
      <c r="L187"/>
      <c r="M187"/>
      <c r="N187"/>
      <c r="O187"/>
      <c r="P187"/>
    </row>
    <row r="188" spans="1:17" x14ac:dyDescent="0.25">
      <c r="D188"/>
      <c r="E188"/>
      <c r="F188"/>
      <c r="G188"/>
      <c r="H188"/>
      <c r="I188"/>
      <c r="L188"/>
      <c r="M188"/>
      <c r="N188"/>
      <c r="O188"/>
      <c r="P188"/>
    </row>
    <row r="189" spans="1:17" x14ac:dyDescent="0.25">
      <c r="D189"/>
      <c r="E189"/>
      <c r="F189"/>
      <c r="G189"/>
      <c r="H189"/>
      <c r="I189"/>
      <c r="L189"/>
      <c r="M189"/>
      <c r="N189"/>
      <c r="O189"/>
      <c r="P189"/>
    </row>
    <row r="190" spans="1:17" x14ac:dyDescent="0.25">
      <c r="D190"/>
      <c r="E190"/>
      <c r="F190"/>
      <c r="G190"/>
      <c r="H190"/>
      <c r="I190"/>
      <c r="L190"/>
      <c r="M190"/>
      <c r="N190"/>
      <c r="O190"/>
      <c r="P190"/>
    </row>
    <row r="191" spans="1:17" x14ac:dyDescent="0.25">
      <c r="D191"/>
      <c r="E191"/>
      <c r="F191"/>
      <c r="G191"/>
      <c r="H191"/>
      <c r="I191"/>
      <c r="L191"/>
      <c r="M191"/>
      <c r="N191"/>
      <c r="O191"/>
      <c r="P191"/>
    </row>
    <row r="192" spans="1:17" x14ac:dyDescent="0.25">
      <c r="D192"/>
      <c r="E192"/>
      <c r="F192"/>
      <c r="G192"/>
      <c r="H192"/>
      <c r="I192"/>
      <c r="L192"/>
      <c r="M192"/>
      <c r="N192"/>
      <c r="O192"/>
      <c r="P192"/>
    </row>
    <row r="193" spans="4:16" x14ac:dyDescent="0.25">
      <c r="D193"/>
      <c r="E193"/>
      <c r="F193"/>
      <c r="G193"/>
      <c r="H193"/>
      <c r="I193"/>
      <c r="L193"/>
      <c r="M193"/>
      <c r="N193"/>
      <c r="O193"/>
      <c r="P193"/>
    </row>
    <row r="194" spans="4:16" x14ac:dyDescent="0.25">
      <c r="D194"/>
      <c r="E194"/>
      <c r="F194"/>
      <c r="G194"/>
      <c r="H194"/>
      <c r="I194"/>
      <c r="L194"/>
      <c r="M194"/>
      <c r="N194"/>
      <c r="O194"/>
      <c r="P194"/>
    </row>
    <row r="195" spans="4:16" x14ac:dyDescent="0.25">
      <c r="D195"/>
      <c r="E195"/>
      <c r="F195"/>
      <c r="G195"/>
      <c r="H195"/>
      <c r="I195"/>
      <c r="L195"/>
      <c r="M195"/>
      <c r="N195"/>
      <c r="O195"/>
      <c r="P195"/>
    </row>
    <row r="196" spans="4:16" x14ac:dyDescent="0.25">
      <c r="D196"/>
      <c r="E196"/>
      <c r="F196"/>
      <c r="G196"/>
      <c r="H196"/>
      <c r="I196"/>
      <c r="L196"/>
      <c r="M196"/>
      <c r="N196"/>
      <c r="O196"/>
      <c r="P196"/>
    </row>
    <row r="197" spans="4:16" x14ac:dyDescent="0.25">
      <c r="D197"/>
      <c r="E197"/>
      <c r="F197"/>
      <c r="G197"/>
      <c r="H197"/>
      <c r="I197"/>
      <c r="L197"/>
      <c r="M197"/>
      <c r="N197"/>
      <c r="O197"/>
      <c r="P197"/>
    </row>
    <row r="198" spans="4:16" x14ac:dyDescent="0.25">
      <c r="D198"/>
      <c r="E198"/>
      <c r="F198"/>
      <c r="G198"/>
      <c r="H198"/>
      <c r="I198"/>
      <c r="L198"/>
      <c r="M198"/>
      <c r="N198"/>
      <c r="O198"/>
      <c r="P198"/>
    </row>
    <row r="199" spans="4:16" x14ac:dyDescent="0.25">
      <c r="D199"/>
      <c r="E199"/>
      <c r="F199"/>
      <c r="G199"/>
      <c r="H199"/>
      <c r="I199"/>
      <c r="L199"/>
      <c r="M199"/>
      <c r="N199"/>
      <c r="O199"/>
      <c r="P199"/>
    </row>
    <row r="200" spans="4:16" x14ac:dyDescent="0.25">
      <c r="D200"/>
      <c r="E200"/>
      <c r="F200"/>
      <c r="G200"/>
      <c r="H200"/>
      <c r="I200"/>
      <c r="L200"/>
      <c r="M200"/>
      <c r="N200"/>
      <c r="O200"/>
      <c r="P200"/>
    </row>
    <row r="201" spans="4:16" x14ac:dyDescent="0.25">
      <c r="D201"/>
      <c r="E201"/>
      <c r="F201"/>
      <c r="G201"/>
      <c r="H201"/>
      <c r="I201"/>
      <c r="L201"/>
      <c r="M201"/>
      <c r="N201"/>
      <c r="O201"/>
      <c r="P201"/>
    </row>
    <row r="202" spans="4:16" x14ac:dyDescent="0.25">
      <c r="D202"/>
      <c r="E202"/>
      <c r="F202"/>
      <c r="G202"/>
      <c r="H202"/>
      <c r="I202"/>
      <c r="L202"/>
      <c r="M202"/>
      <c r="N202"/>
      <c r="O202"/>
      <c r="P202"/>
    </row>
    <row r="203" spans="4:16" x14ac:dyDescent="0.25">
      <c r="D203"/>
    </row>
    <row r="204" spans="4:16" x14ac:dyDescent="0.25">
      <c r="D204"/>
    </row>
    <row r="205" spans="4:16" x14ac:dyDescent="0.25">
      <c r="D205"/>
    </row>
    <row r="206" spans="4:16" x14ac:dyDescent="0.25">
      <c r="D206"/>
    </row>
    <row r="207" spans="4:16" x14ac:dyDescent="0.25">
      <c r="D207"/>
    </row>
    <row r="208" spans="4:16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</sheetData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6BB54-FD42-49E3-BB19-B41A43BBC6FB}">
  <sheetPr codeName="Sheet3"/>
  <dimension ref="A1:AW110"/>
  <sheetViews>
    <sheetView zoomScale="85" zoomScaleNormal="85" workbookViewId="0">
      <pane xSplit="6" ySplit="6" topLeftCell="G7" activePane="bottomRight" state="frozen"/>
      <selection activeCell="A3" sqref="A3:XFD12"/>
      <selection pane="topRight" activeCell="A3" sqref="A3:XFD12"/>
      <selection pane="bottomLeft" activeCell="A3" sqref="A3:XFD12"/>
      <selection pane="bottomRight" activeCell="AG7" sqref="AG7"/>
    </sheetView>
  </sheetViews>
  <sheetFormatPr defaultRowHeight="15" x14ac:dyDescent="0.25"/>
  <cols>
    <col min="1" max="1" width="9.85546875" customWidth="1"/>
    <col min="2" max="2" width="12.42578125" customWidth="1"/>
    <col min="3" max="3" width="31.140625" bestFit="1" customWidth="1"/>
    <col min="4" max="4" width="12.42578125" customWidth="1"/>
    <col min="5" max="5" width="31.140625" bestFit="1" customWidth="1"/>
    <col min="6" max="6" width="23.85546875" customWidth="1"/>
    <col min="7" max="7" width="11.42578125" bestFit="1" customWidth="1"/>
    <col min="8" max="8" width="14.28515625" bestFit="1" customWidth="1"/>
    <col min="9" max="9" width="17.28515625" bestFit="1" customWidth="1"/>
    <col min="10" max="10" width="3" style="33" customWidth="1"/>
    <col min="11" max="11" width="15.5703125" customWidth="1"/>
    <col min="12" max="12" width="18.140625" customWidth="1"/>
    <col min="13" max="13" width="12.7109375" style="103" hidden="1" customWidth="1"/>
    <col min="14" max="14" width="2.28515625" customWidth="1"/>
    <col min="15" max="16" width="18.140625" bestFit="1" customWidth="1"/>
    <col min="17" max="17" width="18.28515625" bestFit="1" customWidth="1"/>
    <col min="18" max="18" width="4.28515625" customWidth="1"/>
    <col min="19" max="19" width="3.28515625" customWidth="1"/>
    <col min="20" max="22" width="13.5703125" style="23" customWidth="1"/>
    <col min="23" max="23" width="16.7109375" style="23" bestFit="1" customWidth="1"/>
    <col min="24" max="24" width="12.28515625" style="23" customWidth="1"/>
    <col min="25" max="25" width="13.85546875" style="23" customWidth="1"/>
    <col min="26" max="26" width="4.28515625" style="23" customWidth="1"/>
    <col min="27" max="28" width="17.28515625" style="23" bestFit="1" customWidth="1"/>
    <col min="29" max="29" width="13" style="23" bestFit="1" customWidth="1"/>
    <col min="30" max="30" width="12.42578125" style="23" bestFit="1" customWidth="1"/>
    <col min="31" max="31" width="18.140625" style="23" bestFit="1" customWidth="1"/>
    <col min="32" max="32" width="13.28515625" style="161" bestFit="1" customWidth="1"/>
    <col min="33" max="33" width="12.28515625" style="23" customWidth="1"/>
    <col min="34" max="34" width="16.7109375" style="23" customWidth="1"/>
    <col min="35" max="35" width="12.28515625" style="286" customWidth="1"/>
    <col min="36" max="36" width="12.28515625" style="61" customWidth="1"/>
    <col min="37" max="37" width="15.5703125" customWidth="1"/>
    <col min="38" max="38" width="15.140625" bestFit="1" customWidth="1"/>
    <col min="39" max="39" width="13.5703125" customWidth="1"/>
    <col min="40" max="40" width="10.5703125" customWidth="1"/>
    <col min="41" max="42" width="14.85546875" customWidth="1"/>
    <col min="43" max="43" width="14.85546875" style="33" customWidth="1"/>
    <col min="44" max="49" width="14.85546875" customWidth="1"/>
  </cols>
  <sheetData>
    <row r="1" spans="1:49" x14ac:dyDescent="0.25">
      <c r="A1" s="54" t="s">
        <v>0</v>
      </c>
    </row>
    <row r="2" spans="1:49" x14ac:dyDescent="0.25">
      <c r="A2" s="54" t="s">
        <v>1</v>
      </c>
    </row>
    <row r="3" spans="1:49" x14ac:dyDescent="0.25">
      <c r="A3" s="54" t="s">
        <v>2</v>
      </c>
      <c r="L3" s="66"/>
    </row>
    <row r="4" spans="1:49" x14ac:dyDescent="0.25">
      <c r="A4" s="54" t="s">
        <v>24</v>
      </c>
      <c r="L4" s="66"/>
      <c r="P4" s="12"/>
      <c r="AK4" s="167"/>
      <c r="AL4" s="167"/>
      <c r="AM4" s="167"/>
      <c r="AN4" s="167"/>
      <c r="AO4" s="167"/>
      <c r="AP4" s="167"/>
      <c r="AQ4" s="169"/>
      <c r="AR4" s="167"/>
      <c r="AS4" s="167"/>
    </row>
    <row r="5" spans="1:49" x14ac:dyDescent="0.25">
      <c r="J5"/>
      <c r="R5" s="132"/>
      <c r="T5"/>
      <c r="AK5" s="167"/>
      <c r="AL5" s="195"/>
      <c r="AM5" s="195"/>
      <c r="AN5" s="167"/>
      <c r="AO5" s="167"/>
      <c r="AP5" s="167"/>
      <c r="AQ5" s="169"/>
      <c r="AR5" s="167"/>
      <c r="AS5" s="167"/>
    </row>
    <row r="6" spans="1:49" ht="30" x14ac:dyDescent="0.25">
      <c r="A6" s="17" t="s">
        <v>130</v>
      </c>
      <c r="B6" s="17" t="s">
        <v>25</v>
      </c>
      <c r="C6" s="17" t="s">
        <v>4</v>
      </c>
      <c r="D6" s="17" t="s">
        <v>25</v>
      </c>
      <c r="E6" s="17" t="s">
        <v>4</v>
      </c>
      <c r="F6" s="17" t="s">
        <v>26</v>
      </c>
      <c r="G6" s="17" t="s">
        <v>5</v>
      </c>
      <c r="H6" s="17" t="s">
        <v>27</v>
      </c>
      <c r="I6" s="17" t="s">
        <v>28</v>
      </c>
      <c r="K6" s="17" t="s">
        <v>29</v>
      </c>
      <c r="L6" s="17" t="s">
        <v>30</v>
      </c>
      <c r="M6" s="104" t="s">
        <v>31</v>
      </c>
      <c r="O6" s="17" t="s">
        <v>32</v>
      </c>
      <c r="P6" s="17" t="s">
        <v>33</v>
      </c>
      <c r="Q6" s="17" t="s">
        <v>34</v>
      </c>
      <c r="R6" s="132"/>
      <c r="T6" s="73" t="s">
        <v>35</v>
      </c>
      <c r="U6" s="73" t="s">
        <v>36</v>
      </c>
      <c r="V6" s="73" t="s">
        <v>37</v>
      </c>
      <c r="W6" s="73" t="s">
        <v>38</v>
      </c>
      <c r="Z6" s="85"/>
      <c r="AA6" s="67" t="s">
        <v>248</v>
      </c>
      <c r="AB6" s="67" t="s">
        <v>249</v>
      </c>
      <c r="AC6" s="67" t="s">
        <v>250</v>
      </c>
      <c r="AD6" s="67" t="s">
        <v>251</v>
      </c>
      <c r="AE6" s="67"/>
      <c r="AF6" s="285" t="s">
        <v>252</v>
      </c>
      <c r="AG6" s="67" t="s">
        <v>249</v>
      </c>
      <c r="AH6" s="67"/>
      <c r="AI6" s="285" t="s">
        <v>300</v>
      </c>
      <c r="AJ6" s="70"/>
      <c r="AK6" s="196"/>
      <c r="AL6" s="167"/>
      <c r="AM6" s="167"/>
      <c r="AN6" s="167"/>
      <c r="AO6" s="197"/>
      <c r="AP6" s="197"/>
      <c r="AQ6" s="169"/>
      <c r="AR6" s="197"/>
      <c r="AS6" s="197"/>
    </row>
    <row r="7" spans="1:49" x14ac:dyDescent="0.25">
      <c r="L7" s="66"/>
      <c r="P7" s="74"/>
      <c r="Q7" s="74"/>
      <c r="R7" s="132"/>
      <c r="S7" s="74"/>
      <c r="AK7" s="167"/>
      <c r="AL7" s="167"/>
      <c r="AM7" s="167"/>
      <c r="AN7" s="167"/>
      <c r="AO7" s="167"/>
      <c r="AP7" s="167"/>
      <c r="AQ7" s="169"/>
      <c r="AR7" s="167"/>
      <c r="AS7" s="167"/>
    </row>
    <row r="8" spans="1:49" s="167" customFormat="1" x14ac:dyDescent="0.25">
      <c r="A8" s="167" t="s">
        <v>154</v>
      </c>
      <c r="B8" s="167" t="s">
        <v>40</v>
      </c>
      <c r="C8" s="167" t="s">
        <v>8</v>
      </c>
      <c r="D8" s="167" t="s">
        <v>40</v>
      </c>
      <c r="E8" s="167" t="s">
        <v>8</v>
      </c>
      <c r="F8" s="168" t="s">
        <v>39</v>
      </c>
      <c r="G8" s="138">
        <f>SUMIFS('G2-8 Summary'!P:P,'G2-8 Summary'!C:C,A8,'G2-8 Summary'!F:F,E8)</f>
        <v>181</v>
      </c>
      <c r="H8" s="138">
        <f>SUMIFS('G2-8 Summary'!Q:Q,'G2-8 Summary'!C:C,A8,'G2-8 Summary'!F:F,E8)</f>
        <v>2172</v>
      </c>
      <c r="I8" s="138">
        <f>SUMIFS('G2-8 Summary'!U:U,'G2-8 Summary'!C:C,A8,'G2-8 Summary'!F:F,E8)</f>
        <v>9614.1953256705656</v>
      </c>
      <c r="J8" s="169"/>
      <c r="K8" s="142">
        <v>11.5</v>
      </c>
      <c r="L8" s="153">
        <v>0.37835000000000002</v>
      </c>
      <c r="M8" s="187"/>
      <c r="O8" s="135">
        <f>K8*$H8</f>
        <v>24978</v>
      </c>
      <c r="P8" s="159">
        <f>L8*I8</f>
        <v>3637.5308014674588</v>
      </c>
      <c r="Q8" s="159">
        <f>P8+O8</f>
        <v>28615.530801467459</v>
      </c>
      <c r="R8" s="132"/>
      <c r="S8" s="159"/>
      <c r="T8" s="149">
        <f>SUMIFS('G2-8 Summary'!AC:AC,'G2-8 Summary'!$C:$C,$A8,'G2-8 Summary'!$F:$F,$E8)</f>
        <v>19548</v>
      </c>
      <c r="U8" s="149">
        <f>SUMIFS('G2-8 Summary'!AD:AD,'G2-8 Summary'!$C:$C,$A8,'G2-8 Summary'!$F:$F,$E8)</f>
        <v>3637.5308014674588</v>
      </c>
      <c r="V8" s="149">
        <f>SUMIFS('G2-8 Summary'!AE:AE,'G2-8 Summary'!$C:$C,$A8,'G2-8 Summary'!$F:$F,$E8)</f>
        <v>0</v>
      </c>
      <c r="W8" s="149">
        <f>SUM(T8:V8)</f>
        <v>23185.530801467459</v>
      </c>
      <c r="X8" s="23"/>
      <c r="Y8" s="23"/>
      <c r="Z8" s="152"/>
      <c r="AA8" s="147">
        <f>W8*$F$97+W8</f>
        <v>30364.105103520356</v>
      </c>
      <c r="AB8" s="147">
        <f t="shared" ref="AB8:AB23" si="0">W8*(1+AG8)</f>
        <v>28615.443722511809</v>
      </c>
      <c r="AC8" s="147">
        <f>AB8-AA8</f>
        <v>-1748.6613810085473</v>
      </c>
      <c r="AD8" s="147">
        <f t="shared" ref="AD8:AD23" si="1">Q8-AB8</f>
        <v>8.7078955650213175E-2</v>
      </c>
      <c r="AE8" s="131"/>
      <c r="AF8" s="171">
        <v>0.75640547726747454</v>
      </c>
      <c r="AG8" s="172">
        <f>$F$97*AF8</f>
        <v>0.23419403107651432</v>
      </c>
      <c r="AH8" s="131"/>
      <c r="AI8" s="287">
        <f t="shared" ref="AI8:AI23" si="2">IFERROR(((Q8-W8)/W8)/$F$97,0)</f>
        <v>0.75641760766440103</v>
      </c>
      <c r="AJ8" s="156"/>
      <c r="AK8" s="141"/>
      <c r="AL8" s="139"/>
      <c r="AM8" s="139"/>
      <c r="AN8" s="139"/>
      <c r="AO8" s="138"/>
      <c r="AP8" s="138"/>
      <c r="AQ8" s="169"/>
      <c r="AR8" s="138"/>
      <c r="AS8" s="138"/>
      <c r="AV8" s="135"/>
      <c r="AW8" s="135"/>
    </row>
    <row r="9" spans="1:49" s="167" customFormat="1" x14ac:dyDescent="0.25">
      <c r="A9" s="167" t="s">
        <v>154</v>
      </c>
      <c r="B9" s="167" t="s">
        <v>42</v>
      </c>
      <c r="C9" s="167" t="s">
        <v>9</v>
      </c>
      <c r="D9" s="167" t="s">
        <v>42</v>
      </c>
      <c r="E9" s="167" t="s">
        <v>9</v>
      </c>
      <c r="F9" s="168" t="s">
        <v>41</v>
      </c>
      <c r="G9" s="138">
        <f>SUMIFS('G2-8 Summary'!P:P,'G2-8 Summary'!C:C,A9,'G2-8 Summary'!F:F,E9)</f>
        <v>378</v>
      </c>
      <c r="H9" s="138">
        <f>SUMIFS('G2-8 Summary'!Q:Q,'G2-8 Summary'!C:C,A9,'G2-8 Summary'!F:F,E9)</f>
        <v>4536</v>
      </c>
      <c r="I9" s="138">
        <f>SUMIFS('G2-8 Summary'!U:U,'G2-8 Summary'!C:C,A9,'G2-8 Summary'!F:F,E9)</f>
        <v>54266.33575275234</v>
      </c>
      <c r="J9" s="169"/>
      <c r="K9" s="142">
        <v>12.5</v>
      </c>
      <c r="L9" s="153">
        <v>0.37835000000000002</v>
      </c>
      <c r="M9" s="187"/>
      <c r="O9" s="135">
        <f>K9*$H9</f>
        <v>56700</v>
      </c>
      <c r="P9" s="159">
        <f t="shared" ref="P9:P23" si="3">L9*I9</f>
        <v>20531.668132053848</v>
      </c>
      <c r="Q9" s="159">
        <f t="shared" ref="Q9:Q23" si="4">P9+O9</f>
        <v>77231.668132053848</v>
      </c>
      <c r="R9" s="132"/>
      <c r="S9" s="159"/>
      <c r="T9" s="149">
        <f>SUMIFS('G2-8 Summary'!AC:AC,'G2-8 Summary'!$C:$C,$A9,'G2-8 Summary'!$F:$F,$E9)</f>
        <v>40824</v>
      </c>
      <c r="U9" s="149">
        <f>SUMIFS('G2-8 Summary'!AD:AD,'G2-8 Summary'!$C:$C,$A9,'G2-8 Summary'!$F:$F,$E9)</f>
        <v>20531.668132053848</v>
      </c>
      <c r="V9" s="149">
        <f>SUMIFS('G2-8 Summary'!AE:AE,'G2-8 Summary'!$C:$C,$A9,'G2-8 Summary'!$F:$F,$E9)</f>
        <v>0</v>
      </c>
      <c r="W9" s="149">
        <f>SUM(T9:V9)</f>
        <v>61355.668132053848</v>
      </c>
      <c r="X9" s="23"/>
      <c r="Y9" s="23"/>
      <c r="Z9" s="152"/>
      <c r="AA9" s="147">
        <f t="shared" ref="AA9:AA23" si="5">W9*$F$97+W9</f>
        <v>80352.266756838013</v>
      </c>
      <c r="AB9" s="147">
        <f t="shared" si="0"/>
        <v>77231.413534355903</v>
      </c>
      <c r="AC9" s="147">
        <f t="shared" ref="AC9:AC23" si="6">AB9-AA9</f>
        <v>-3120.8532224821101</v>
      </c>
      <c r="AD9" s="147">
        <f t="shared" si="1"/>
        <v>0.25459769794542808</v>
      </c>
      <c r="AE9" s="131"/>
      <c r="AF9" s="171">
        <v>0.8357151570065573</v>
      </c>
      <c r="AG9" s="172">
        <f t="shared" ref="AG9:AG23" si="7">$F$97*AF9</f>
        <v>0.25874945030560487</v>
      </c>
      <c r="AH9" s="131"/>
      <c r="AI9" s="287">
        <f t="shared" si="2"/>
        <v>0.83572855928466916</v>
      </c>
      <c r="AJ9" s="156"/>
      <c r="AK9" s="141"/>
      <c r="AL9" s="139"/>
      <c r="AM9" s="139"/>
      <c r="AN9" s="139"/>
      <c r="AO9" s="138"/>
      <c r="AP9" s="138"/>
      <c r="AQ9" s="169"/>
      <c r="AR9" s="138"/>
      <c r="AS9" s="138"/>
      <c r="AV9" s="135"/>
      <c r="AW9" s="135"/>
    </row>
    <row r="10" spans="1:49" s="167" customFormat="1" ht="15.75" customHeight="1" x14ac:dyDescent="0.25">
      <c r="A10" s="167" t="s">
        <v>154</v>
      </c>
      <c r="B10" s="167" t="s">
        <v>268</v>
      </c>
      <c r="C10" s="167" t="s">
        <v>266</v>
      </c>
      <c r="D10" s="167" t="s">
        <v>268</v>
      </c>
      <c r="E10" s="167" t="s">
        <v>266</v>
      </c>
      <c r="F10" s="168" t="s">
        <v>43</v>
      </c>
      <c r="G10" s="138">
        <f>SUMIFS('G2-8 Summary'!P:P,'G2-8 Summary'!C:C,A10,'G2-8 Summary'!F:F,E10)</f>
        <v>119</v>
      </c>
      <c r="H10" s="138">
        <f>SUMIFS('G2-8 Summary'!Q:Q,'G2-8 Summary'!C:C,A10,'G2-8 Summary'!F:F,E10)</f>
        <v>1428</v>
      </c>
      <c r="I10" s="138">
        <f>SUMIFS('G2-8 Summary'!U:U,'G2-8 Summary'!C:C,A10,'G2-8 Summary'!F:F,E10)</f>
        <v>36367.143499465987</v>
      </c>
      <c r="J10" s="169"/>
      <c r="K10" s="142">
        <v>16.5</v>
      </c>
      <c r="L10" s="153">
        <v>0.25219999999999998</v>
      </c>
      <c r="M10" s="187"/>
      <c r="N10" s="143"/>
      <c r="O10" s="135">
        <f>K10*$H10</f>
        <v>23562</v>
      </c>
      <c r="P10" s="159">
        <f t="shared" si="3"/>
        <v>9171.7935905653212</v>
      </c>
      <c r="Q10" s="159">
        <f t="shared" si="4"/>
        <v>32733.793590565321</v>
      </c>
      <c r="R10" s="132"/>
      <c r="S10" s="159"/>
      <c r="T10" s="149">
        <f>SUMIFS('G2-8 Summary'!AC:AC,'G2-8 Summary'!$C:$C,$A10,'G2-8 Summary'!$F:$F,$E10)</f>
        <v>12852</v>
      </c>
      <c r="U10" s="149">
        <f>SUMIFS('G2-8 Summary'!AD:AD,'G2-8 Summary'!$C:$C,$A10,'G2-8 Summary'!$F:$F,$E10)</f>
        <v>13759.508743022956</v>
      </c>
      <c r="V10" s="149">
        <f>SUMIFS('G2-8 Summary'!AE:AE,'G2-8 Summary'!$C:$C,$A10,'G2-8 Summary'!$F:$F,$E10)</f>
        <v>0</v>
      </c>
      <c r="W10" s="149">
        <f>SUM(T10:V10)</f>
        <v>26611.508743022954</v>
      </c>
      <c r="X10" s="23"/>
      <c r="Y10" s="23"/>
      <c r="Z10" s="152"/>
      <c r="AA10" s="147">
        <f t="shared" si="5"/>
        <v>34850.815163794214</v>
      </c>
      <c r="AB10" s="147">
        <f t="shared" si="0"/>
        <v>32733.695409686727</v>
      </c>
      <c r="AC10" s="147">
        <f t="shared" si="6"/>
        <v>-2117.1197541074871</v>
      </c>
      <c r="AD10" s="147">
        <f t="shared" si="1"/>
        <v>9.8180878594575915E-2</v>
      </c>
      <c r="AE10" s="131"/>
      <c r="AF10" s="171">
        <v>0.74304636264404111</v>
      </c>
      <c r="AG10" s="172">
        <f t="shared" si="7"/>
        <v>0.23005785676352905</v>
      </c>
      <c r="AH10" s="131"/>
      <c r="AI10" s="287">
        <f t="shared" si="2"/>
        <v>0.74305827880221964</v>
      </c>
      <c r="AJ10" s="156"/>
      <c r="AK10" s="141"/>
      <c r="AL10" s="139"/>
      <c r="AM10" s="139"/>
      <c r="AN10" s="139"/>
      <c r="AO10" s="138"/>
      <c r="AP10" s="138"/>
      <c r="AQ10" s="169"/>
      <c r="AR10" s="138"/>
      <c r="AS10" s="138"/>
      <c r="AV10" s="135"/>
      <c r="AW10" s="135"/>
    </row>
    <row r="11" spans="1:49" s="167" customFormat="1" x14ac:dyDescent="0.25">
      <c r="A11" s="167" t="s">
        <v>154</v>
      </c>
      <c r="B11" s="167" t="s">
        <v>44</v>
      </c>
      <c r="C11" s="167" t="s">
        <v>10</v>
      </c>
      <c r="D11" s="167" t="s">
        <v>44</v>
      </c>
      <c r="E11" s="167" t="s">
        <v>10</v>
      </c>
      <c r="F11" s="168" t="s">
        <v>45</v>
      </c>
      <c r="G11" s="138">
        <f>SUMIFS('G2-8 Summary'!P:P,'G2-8 Summary'!C:C,A11,'G2-8 Summary'!F:F,E11)</f>
        <v>0</v>
      </c>
      <c r="H11" s="138">
        <f>SUMIFS('G2-8 Summary'!Q:Q,'G2-8 Summary'!C:C,A11,'G2-8 Summary'!F:F,E11)</f>
        <v>0</v>
      </c>
      <c r="I11" s="138">
        <f>SUMIFS('G2-8 Summary'!U:U,'G2-8 Summary'!C:C,A11,'G2-8 Summary'!F:F,E11)</f>
        <v>0</v>
      </c>
      <c r="J11" s="169"/>
      <c r="K11" s="142"/>
      <c r="L11" s="142"/>
      <c r="M11" s="187"/>
      <c r="N11" s="143"/>
      <c r="O11" s="135"/>
      <c r="P11" s="159">
        <f t="shared" si="3"/>
        <v>0</v>
      </c>
      <c r="Q11" s="159">
        <f t="shared" si="4"/>
        <v>0</v>
      </c>
      <c r="R11" s="132"/>
      <c r="S11" s="159"/>
      <c r="T11" s="149"/>
      <c r="U11" s="149"/>
      <c r="V11" s="149"/>
      <c r="W11" s="149"/>
      <c r="X11" s="23"/>
      <c r="Y11" s="23"/>
      <c r="Z11" s="152"/>
      <c r="AA11" s="147">
        <f t="shared" si="5"/>
        <v>0</v>
      </c>
      <c r="AB11" s="147">
        <f t="shared" si="0"/>
        <v>0</v>
      </c>
      <c r="AC11" s="147">
        <f t="shared" si="6"/>
        <v>0</v>
      </c>
      <c r="AD11" s="147">
        <f t="shared" si="1"/>
        <v>0</v>
      </c>
      <c r="AE11" s="131"/>
      <c r="AF11" s="171">
        <v>1</v>
      </c>
      <c r="AG11" s="172">
        <f t="shared" si="7"/>
        <v>0.30961440406611485</v>
      </c>
      <c r="AH11" s="131"/>
      <c r="AI11" s="287">
        <f t="shared" si="2"/>
        <v>0</v>
      </c>
      <c r="AJ11" s="156"/>
      <c r="AK11" s="141"/>
      <c r="AL11" s="139"/>
      <c r="AM11" s="139"/>
      <c r="AN11" s="139"/>
      <c r="AO11" s="138"/>
      <c r="AP11" s="138"/>
      <c r="AQ11" s="169"/>
      <c r="AR11" s="138"/>
      <c r="AS11" s="138"/>
      <c r="AV11" s="135"/>
      <c r="AW11" s="135"/>
    </row>
    <row r="12" spans="1:49" s="167" customFormat="1" x14ac:dyDescent="0.25">
      <c r="A12" s="167" t="s">
        <v>154</v>
      </c>
      <c r="B12" s="167" t="s">
        <v>47</v>
      </c>
      <c r="C12" s="167" t="s">
        <v>11</v>
      </c>
      <c r="D12" s="167" t="s">
        <v>47</v>
      </c>
      <c r="E12" s="167" t="s">
        <v>11</v>
      </c>
      <c r="F12" s="168" t="s">
        <v>46</v>
      </c>
      <c r="G12" s="138">
        <f>SUMIFS('G2-8 Summary'!P:P,'G2-8 Summary'!C:C,A12,'G2-8 Summary'!F:F,E12)</f>
        <v>9</v>
      </c>
      <c r="H12" s="138">
        <f>SUMIFS('G2-8 Summary'!Q:Q,'G2-8 Summary'!C:C,A12,'G2-8 Summary'!F:F,E12)</f>
        <v>108</v>
      </c>
      <c r="I12" s="138">
        <f>SUMIFS('G2-8 Summary'!U:U,'G2-8 Summary'!C:C,A12,'G2-8 Summary'!F:F,E12)</f>
        <v>3965.2399999999984</v>
      </c>
      <c r="J12" s="169"/>
      <c r="K12" s="142">
        <v>25</v>
      </c>
      <c r="L12" s="153">
        <v>5.7619999999999998E-2</v>
      </c>
      <c r="M12" s="187"/>
      <c r="N12" s="143"/>
      <c r="O12" s="135">
        <f t="shared" ref="O12:O23" si="8">K12*$H12</f>
        <v>2700</v>
      </c>
      <c r="P12" s="159">
        <f t="shared" si="3"/>
        <v>228.47712879999989</v>
      </c>
      <c r="Q12" s="159">
        <f t="shared" si="4"/>
        <v>2928.4771287999997</v>
      </c>
      <c r="R12" s="132"/>
      <c r="S12" s="159"/>
      <c r="T12" s="149">
        <f>SUMIFS('G2-8 Summary'!AC:AC,'G2-8 Summary'!$C:$C,$A12,'G2-8 Summary'!$F:$F,$E12)</f>
        <v>2700</v>
      </c>
      <c r="U12" s="149">
        <f>SUMIFS('G2-8 Summary'!AD:AD,'G2-8 Summary'!$C:$C,$A12,'G2-8 Summary'!$F:$F,$E12)</f>
        <v>228.47712879999989</v>
      </c>
      <c r="V12" s="149">
        <f>SUMIFS('G2-8 Summary'!AE:AE,'G2-8 Summary'!$C:$C,$A12,'G2-8 Summary'!$F:$F,$E12)</f>
        <v>0</v>
      </c>
      <c r="W12" s="149">
        <f t="shared" ref="W12:W23" si="9">SUM(T12:V12)</f>
        <v>2928.4771287999997</v>
      </c>
      <c r="X12" s="23"/>
      <c r="Y12" s="23"/>
      <c r="Z12" s="152"/>
      <c r="AA12" s="147">
        <f t="shared" si="5"/>
        <v>3835.1758298546588</v>
      </c>
      <c r="AB12" s="147">
        <f t="shared" si="0"/>
        <v>2928.4771287999997</v>
      </c>
      <c r="AC12" s="147">
        <f t="shared" si="6"/>
        <v>-906.69870105465907</v>
      </c>
      <c r="AD12" s="147">
        <f t="shared" si="1"/>
        <v>0</v>
      </c>
      <c r="AE12" s="131"/>
      <c r="AF12" s="171">
        <v>0</v>
      </c>
      <c r="AG12" s="172">
        <f t="shared" si="7"/>
        <v>0</v>
      </c>
      <c r="AH12" s="131"/>
      <c r="AI12" s="287">
        <f>IFERROR(((Q12-W12)/W12)/$F$97,0)</f>
        <v>0</v>
      </c>
      <c r="AJ12" s="156"/>
      <c r="AK12" s="141"/>
      <c r="AL12" s="139"/>
      <c r="AM12" s="139"/>
      <c r="AN12" s="139"/>
      <c r="AO12" s="138"/>
      <c r="AP12" s="138"/>
      <c r="AQ12" s="169"/>
      <c r="AR12" s="138"/>
      <c r="AS12" s="138"/>
      <c r="AV12" s="135"/>
      <c r="AW12" s="135"/>
    </row>
    <row r="13" spans="1:49" s="167" customFormat="1" x14ac:dyDescent="0.25">
      <c r="A13" s="167" t="s">
        <v>154</v>
      </c>
      <c r="B13" s="167" t="s">
        <v>49</v>
      </c>
      <c r="C13" s="167" t="s">
        <v>12</v>
      </c>
      <c r="D13" s="167" t="s">
        <v>49</v>
      </c>
      <c r="E13" s="167" t="s">
        <v>12</v>
      </c>
      <c r="F13" s="168" t="s">
        <v>48</v>
      </c>
      <c r="G13" s="138">
        <f>SUMIFS('G2-8 Summary'!P:P,'G2-8 Summary'!C:C,A13,'G2-8 Summary'!F:F,E13)</f>
        <v>6</v>
      </c>
      <c r="H13" s="138">
        <f>SUMIFS('G2-8 Summary'!Q:Q,'G2-8 Summary'!C:C,A13,'G2-8 Summary'!F:F,E13)</f>
        <v>72</v>
      </c>
      <c r="I13" s="138">
        <f>SUMIFS('G2-8 Summary'!U:U,'G2-8 Summary'!C:C,A13,'G2-8 Summary'!F:F,E13)</f>
        <v>14670.979999999996</v>
      </c>
      <c r="J13" s="169"/>
      <c r="K13" s="142">
        <v>35</v>
      </c>
      <c r="L13" s="153">
        <v>5.7619999999999998E-2</v>
      </c>
      <c r="M13" s="187"/>
      <c r="N13" s="143"/>
      <c r="O13" s="135">
        <f t="shared" si="8"/>
        <v>2520</v>
      </c>
      <c r="P13" s="159">
        <f t="shared" si="3"/>
        <v>845.34186759999977</v>
      </c>
      <c r="Q13" s="159">
        <f>P13+O13</f>
        <v>3365.3418675999997</v>
      </c>
      <c r="R13" s="132"/>
      <c r="S13" s="159"/>
      <c r="T13" s="149">
        <f>SUMIFS('G2-8 Summary'!AC:AC,'G2-8 Summary'!$C:$C,$A13,'G2-8 Summary'!$F:$F,$E13)</f>
        <v>1800</v>
      </c>
      <c r="U13" s="149">
        <f>SUMIFS('G2-8 Summary'!AD:AD,'G2-8 Summary'!$C:$C,$A13,'G2-8 Summary'!$F:$F,$E13)</f>
        <v>845.34186759999977</v>
      </c>
      <c r="V13" s="149">
        <f>SUMIFS('G2-8 Summary'!AE:AE,'G2-8 Summary'!$C:$C,$A13,'G2-8 Summary'!$F:$F,$E13)</f>
        <v>0</v>
      </c>
      <c r="W13" s="149">
        <f t="shared" si="9"/>
        <v>2645.3418675999997</v>
      </c>
      <c r="X13" s="23"/>
      <c r="Y13" s="23"/>
      <c r="Z13" s="152"/>
      <c r="AA13" s="147">
        <f t="shared" si="5"/>
        <v>3464.3778134881168</v>
      </c>
      <c r="AB13" s="147">
        <f t="shared" si="0"/>
        <v>3365.3418675999997</v>
      </c>
      <c r="AC13" s="147">
        <f t="shared" si="6"/>
        <v>-99.035945888117112</v>
      </c>
      <c r="AD13" s="147">
        <f t="shared" si="1"/>
        <v>0</v>
      </c>
      <c r="AE13" s="131"/>
      <c r="AF13" s="171">
        <v>0.87908229622238621</v>
      </c>
      <c r="AG13" s="172">
        <f t="shared" si="7"/>
        <v>0.27217654126996593</v>
      </c>
      <c r="AH13" s="131"/>
      <c r="AI13" s="287">
        <f t="shared" si="2"/>
        <v>0.87908229622238621</v>
      </c>
      <c r="AJ13" s="156"/>
      <c r="AK13" s="141"/>
      <c r="AL13" s="139"/>
      <c r="AM13" s="139"/>
      <c r="AN13" s="139"/>
      <c r="AO13" s="138"/>
      <c r="AP13" s="138"/>
      <c r="AQ13" s="169"/>
      <c r="AR13" s="138"/>
      <c r="AS13" s="138"/>
      <c r="AV13" s="135"/>
      <c r="AW13" s="135"/>
    </row>
    <row r="14" spans="1:49" s="167" customFormat="1" x14ac:dyDescent="0.25">
      <c r="A14" s="167" t="s">
        <v>154</v>
      </c>
      <c r="B14" s="167" t="s">
        <v>51</v>
      </c>
      <c r="C14" s="167" t="s">
        <v>13</v>
      </c>
      <c r="D14" s="167" t="s">
        <v>51</v>
      </c>
      <c r="E14" s="167" t="s">
        <v>13</v>
      </c>
      <c r="F14" s="168" t="s">
        <v>50</v>
      </c>
      <c r="G14" s="138">
        <f>SUMIFS('G2-8 Summary'!P:P,'G2-8 Summary'!C:C,A14,'G2-8 Summary'!F:F,E14)</f>
        <v>6</v>
      </c>
      <c r="H14" s="138">
        <f>SUMIFS('G2-8 Summary'!Q:Q,'G2-8 Summary'!C:C,A14,'G2-8 Summary'!F:F,E14)</f>
        <v>72</v>
      </c>
      <c r="I14" s="138">
        <f>SUMIFS('G2-8 Summary'!U:U,'G2-8 Summary'!C:C,A14,'G2-8 Summary'!F:F,E14)</f>
        <v>45334.639999999992</v>
      </c>
      <c r="J14" s="169"/>
      <c r="K14" s="142">
        <v>45</v>
      </c>
      <c r="L14" s="153">
        <v>5.7619999999999998E-2</v>
      </c>
      <c r="M14" s="187"/>
      <c r="N14" s="143"/>
      <c r="O14" s="135">
        <f t="shared" si="8"/>
        <v>3240</v>
      </c>
      <c r="P14" s="159">
        <f>L14*I14</f>
        <v>2612.1819567999996</v>
      </c>
      <c r="Q14" s="159">
        <f>P14+O14</f>
        <v>5852.1819567999992</v>
      </c>
      <c r="R14" s="132"/>
      <c r="S14" s="159"/>
      <c r="T14" s="149">
        <f>SUMIFS('G2-8 Summary'!AC:AC,'G2-8 Summary'!$C:$C,$A14,'G2-8 Summary'!$F:$F,$E14)</f>
        <v>2220</v>
      </c>
      <c r="U14" s="149">
        <f>SUMIFS('G2-8 Summary'!AD:AD,'G2-8 Summary'!$C:$C,$A14,'G2-8 Summary'!$F:$F,$E14)</f>
        <v>2534.1595183999993</v>
      </c>
      <c r="V14" s="149">
        <f>SUMIFS('G2-8 Summary'!AE:AE,'G2-8 Summary'!$C:$C,$A14,'G2-8 Summary'!$F:$F,$E14)</f>
        <v>0</v>
      </c>
      <c r="W14" s="149">
        <f t="shared" si="9"/>
        <v>4754.1595183999998</v>
      </c>
      <c r="X14" s="23"/>
      <c r="Y14" s="23"/>
      <c r="Z14" s="152"/>
      <c r="AA14" s="147">
        <f t="shared" si="5"/>
        <v>6226.1157845246635</v>
      </c>
      <c r="AB14" s="147">
        <f t="shared" si="0"/>
        <v>5852.1819567999992</v>
      </c>
      <c r="AC14" s="147">
        <f t="shared" si="6"/>
        <v>-373.9338277246643</v>
      </c>
      <c r="AD14" s="147">
        <f t="shared" si="1"/>
        <v>0</v>
      </c>
      <c r="AE14" s="131"/>
      <c r="AF14" s="171">
        <v>0.74596131941531829</v>
      </c>
      <c r="AG14" s="172">
        <f t="shared" si="7"/>
        <v>0.23096036936714651</v>
      </c>
      <c r="AH14" s="131"/>
      <c r="AI14" s="287">
        <f t="shared" si="2"/>
        <v>0.74596131941531829</v>
      </c>
      <c r="AJ14" s="156"/>
      <c r="AK14" s="141"/>
      <c r="AL14" s="139"/>
      <c r="AM14" s="139"/>
      <c r="AN14" s="139"/>
      <c r="AO14" s="138"/>
      <c r="AP14" s="138"/>
      <c r="AQ14" s="169"/>
      <c r="AR14" s="138"/>
      <c r="AS14" s="138"/>
      <c r="AV14" s="135"/>
      <c r="AW14" s="135"/>
    </row>
    <row r="15" spans="1:49" s="167" customFormat="1" x14ac:dyDescent="0.25">
      <c r="A15" s="167" t="s">
        <v>154</v>
      </c>
      <c r="B15" s="167" t="s">
        <v>53</v>
      </c>
      <c r="C15" s="167" t="s">
        <v>14</v>
      </c>
      <c r="D15" s="167" t="s">
        <v>53</v>
      </c>
      <c r="E15" s="167" t="s">
        <v>14</v>
      </c>
      <c r="F15" s="168" t="s">
        <v>52</v>
      </c>
      <c r="G15" s="138">
        <f>SUMIFS('G2-8 Summary'!P:P,'G2-8 Summary'!C:C,A15,'G2-8 Summary'!F:F,E15)</f>
        <v>2</v>
      </c>
      <c r="H15" s="138">
        <f>SUMIFS('G2-8 Summary'!Q:Q,'G2-8 Summary'!C:C,A15,'G2-8 Summary'!F:F,E15)</f>
        <v>24</v>
      </c>
      <c r="I15" s="138">
        <f>SUMIFS('G2-8 Summary'!U:U,'G2-8 Summary'!C:C,A15,'G2-8 Summary'!F:F,E15)</f>
        <v>24972.01</v>
      </c>
      <c r="J15" s="169"/>
      <c r="K15" s="142">
        <v>55</v>
      </c>
      <c r="L15" s="153">
        <v>4.9619999999999997E-2</v>
      </c>
      <c r="M15" s="187"/>
      <c r="N15" s="143"/>
      <c r="O15" s="135">
        <f t="shared" si="8"/>
        <v>1320</v>
      </c>
      <c r="P15" s="159">
        <f t="shared" si="3"/>
        <v>1239.1111361999999</v>
      </c>
      <c r="Q15" s="159">
        <f t="shared" si="4"/>
        <v>2559.1111362000001</v>
      </c>
      <c r="R15" s="132"/>
      <c r="S15" s="159"/>
      <c r="T15" s="149">
        <f>SUMIFS('G2-8 Summary'!AC:AC,'G2-8 Summary'!$C:$C,$A15,'G2-8 Summary'!$F:$F,$E15)</f>
        <v>600</v>
      </c>
      <c r="U15" s="149">
        <f>SUMIFS('G2-8 Summary'!AD:AD,'G2-8 Summary'!$C:$C,$A15,'G2-8 Summary'!$F:$F,$E15)</f>
        <v>1438.8872161999998</v>
      </c>
      <c r="V15" s="149">
        <f>SUMIFS('G2-8 Summary'!AE:AE,'G2-8 Summary'!$C:$C,$A15,'G2-8 Summary'!$F:$F,$E15)</f>
        <v>0</v>
      </c>
      <c r="W15" s="149">
        <f t="shared" si="9"/>
        <v>2038.8872161999998</v>
      </c>
      <c r="X15" s="23"/>
      <c r="Y15" s="23"/>
      <c r="Z15" s="152"/>
      <c r="AA15" s="147">
        <f t="shared" si="5"/>
        <v>2670.1560666017826</v>
      </c>
      <c r="AB15" s="147">
        <f t="shared" si="0"/>
        <v>2559.1111362000001</v>
      </c>
      <c r="AC15" s="147">
        <f t="shared" si="6"/>
        <v>-111.04493040178249</v>
      </c>
      <c r="AD15" s="147">
        <f t="shared" si="1"/>
        <v>0</v>
      </c>
      <c r="AE15" s="131"/>
      <c r="AF15" s="171">
        <v>0.82409249192145972</v>
      </c>
      <c r="AG15" s="172">
        <f t="shared" si="7"/>
        <v>0.25515090578162231</v>
      </c>
      <c r="AH15" s="131"/>
      <c r="AI15" s="287">
        <f t="shared" si="2"/>
        <v>0.82409249192145972</v>
      </c>
      <c r="AJ15" s="156"/>
      <c r="AK15" s="141"/>
      <c r="AL15" s="139"/>
      <c r="AM15" s="139"/>
      <c r="AN15" s="139"/>
      <c r="AO15" s="138"/>
      <c r="AP15" s="138"/>
      <c r="AQ15" s="169"/>
      <c r="AR15" s="138"/>
      <c r="AS15" s="138"/>
      <c r="AV15" s="135"/>
      <c r="AW15" s="135"/>
    </row>
    <row r="16" spans="1:49" s="90" customFormat="1" x14ac:dyDescent="0.25">
      <c r="A16" s="167" t="s">
        <v>154</v>
      </c>
      <c r="B16" s="90" t="s">
        <v>55</v>
      </c>
      <c r="C16" s="167" t="s">
        <v>15</v>
      </c>
      <c r="D16" s="90" t="s">
        <v>55</v>
      </c>
      <c r="E16" s="167" t="s">
        <v>15</v>
      </c>
      <c r="F16" s="91" t="s">
        <v>54</v>
      </c>
      <c r="G16" s="138">
        <f>SUMIFS('G2-8 Summary'!P:P,'G2-8 Summary'!C:C,A16,'G2-8 Summary'!F:F,E16)</f>
        <v>0</v>
      </c>
      <c r="H16" s="138">
        <f>SUMIFS('G2-8 Summary'!Q:Q,'G2-8 Summary'!C:C,A16,'G2-8 Summary'!F:F,E16)</f>
        <v>0</v>
      </c>
      <c r="I16" s="138">
        <f>SUMIFS('G2-8 Summary'!U:U,'G2-8 Summary'!C:C,A16,'G2-8 Summary'!F:F,E16)</f>
        <v>0</v>
      </c>
      <c r="J16" s="174"/>
      <c r="K16" s="151"/>
      <c r="L16" s="153"/>
      <c r="M16" s="187"/>
      <c r="N16" s="72"/>
      <c r="O16" s="149">
        <f t="shared" si="8"/>
        <v>0</v>
      </c>
      <c r="P16" s="159">
        <f t="shared" si="3"/>
        <v>0</v>
      </c>
      <c r="Q16" s="159">
        <f t="shared" si="4"/>
        <v>0</v>
      </c>
      <c r="R16" s="132"/>
      <c r="S16" s="149"/>
      <c r="T16" s="149">
        <f>SUMIFS('G2-8 Summary'!AC:AC,'G2-8 Summary'!$C:$C,$A16,'G2-8 Summary'!$F:$F,$E16)</f>
        <v>0</v>
      </c>
      <c r="U16" s="149">
        <f>SUMIFS('G2-8 Summary'!AD:AD,'G2-8 Summary'!$C:$C,$A16,'G2-8 Summary'!$F:$F,$E16)</f>
        <v>0</v>
      </c>
      <c r="V16" s="149">
        <f>SUMIFS('G2-8 Summary'!AE:AE,'G2-8 Summary'!$C:$C,$A16,'G2-8 Summary'!$F:$F,$E16)</f>
        <v>0</v>
      </c>
      <c r="W16" s="149">
        <f t="shared" si="9"/>
        <v>0</v>
      </c>
      <c r="X16" s="23"/>
      <c r="Y16" s="23"/>
      <c r="Z16" s="152"/>
      <c r="AA16" s="147">
        <f t="shared" si="5"/>
        <v>0</v>
      </c>
      <c r="AB16" s="147">
        <f t="shared" si="0"/>
        <v>0</v>
      </c>
      <c r="AC16" s="147">
        <f t="shared" si="6"/>
        <v>0</v>
      </c>
      <c r="AD16" s="147">
        <f t="shared" si="1"/>
        <v>0</v>
      </c>
      <c r="AE16" s="131"/>
      <c r="AF16" s="171">
        <v>1</v>
      </c>
      <c r="AG16" s="172">
        <f t="shared" si="7"/>
        <v>0.30961440406611485</v>
      </c>
      <c r="AH16" s="131"/>
      <c r="AI16" s="287">
        <f t="shared" si="2"/>
        <v>0</v>
      </c>
      <c r="AJ16" s="156"/>
      <c r="AK16" s="141"/>
      <c r="AL16" s="139"/>
      <c r="AM16" s="139"/>
      <c r="AN16" s="146"/>
      <c r="AO16" s="147"/>
      <c r="AP16" s="147"/>
      <c r="AQ16" s="174"/>
      <c r="AR16" s="147"/>
      <c r="AS16" s="147"/>
      <c r="AV16" s="149"/>
      <c r="AW16" s="149"/>
    </row>
    <row r="17" spans="1:49" s="167" customFormat="1" x14ac:dyDescent="0.25">
      <c r="A17" s="167" t="s">
        <v>154</v>
      </c>
      <c r="B17" s="167" t="s">
        <v>57</v>
      </c>
      <c r="C17" s="167" t="s">
        <v>16</v>
      </c>
      <c r="D17" s="167" t="s">
        <v>57</v>
      </c>
      <c r="E17" s="167" t="s">
        <v>16</v>
      </c>
      <c r="F17" s="168" t="s">
        <v>56</v>
      </c>
      <c r="G17" s="138">
        <f>SUMIFS('G2-8 Summary'!P:P,'G2-8 Summary'!C:C,A17,'G2-8 Summary'!F:F,E17)</f>
        <v>0</v>
      </c>
      <c r="H17" s="138">
        <f>SUMIFS('G2-8 Summary'!Q:Q,'G2-8 Summary'!C:C,A17,'G2-8 Summary'!F:F,E17)</f>
        <v>0</v>
      </c>
      <c r="I17" s="138">
        <f>SUMIFS('G2-8 Summary'!U:U,'G2-8 Summary'!C:C,A17,'G2-8 Summary'!F:F,E17)</f>
        <v>0</v>
      </c>
      <c r="J17" s="169"/>
      <c r="K17" s="142"/>
      <c r="L17" s="153"/>
      <c r="M17" s="187"/>
      <c r="N17" s="143"/>
      <c r="O17" s="135">
        <f t="shared" si="8"/>
        <v>0</v>
      </c>
      <c r="P17" s="159">
        <f t="shared" si="3"/>
        <v>0</v>
      </c>
      <c r="Q17" s="159">
        <f t="shared" si="4"/>
        <v>0</v>
      </c>
      <c r="R17" s="132"/>
      <c r="S17" s="159"/>
      <c r="T17" s="149">
        <f>SUMIFS('G2-8 Summary'!AC:AC,'G2-8 Summary'!$C:$C,$A17,'G2-8 Summary'!$F:$F,$E17)</f>
        <v>0</v>
      </c>
      <c r="U17" s="149">
        <f>SUMIFS('G2-8 Summary'!AD:AD,'G2-8 Summary'!$C:$C,$A17,'G2-8 Summary'!$F:$F,$E17)</f>
        <v>0</v>
      </c>
      <c r="V17" s="149">
        <f>SUMIFS('G2-8 Summary'!AE:AE,'G2-8 Summary'!$C:$C,$A17,'G2-8 Summary'!$F:$F,$E17)</f>
        <v>0</v>
      </c>
      <c r="W17" s="149">
        <f t="shared" si="9"/>
        <v>0</v>
      </c>
      <c r="X17" s="23"/>
      <c r="Y17" s="23"/>
      <c r="Z17" s="152"/>
      <c r="AA17" s="147">
        <f t="shared" si="5"/>
        <v>0</v>
      </c>
      <c r="AB17" s="147">
        <f t="shared" si="0"/>
        <v>0</v>
      </c>
      <c r="AC17" s="147">
        <f t="shared" si="6"/>
        <v>0</v>
      </c>
      <c r="AD17" s="147">
        <f t="shared" si="1"/>
        <v>0</v>
      </c>
      <c r="AE17" s="131"/>
      <c r="AF17" s="171">
        <v>1</v>
      </c>
      <c r="AG17" s="172">
        <f t="shared" si="7"/>
        <v>0.30961440406611485</v>
      </c>
      <c r="AH17" s="131"/>
      <c r="AI17" s="287">
        <f t="shared" si="2"/>
        <v>0</v>
      </c>
      <c r="AJ17" s="156"/>
      <c r="AK17" s="141"/>
      <c r="AL17" s="139"/>
      <c r="AM17" s="139"/>
      <c r="AN17" s="139"/>
      <c r="AO17" s="138"/>
      <c r="AP17" s="138"/>
      <c r="AQ17" s="169"/>
      <c r="AR17" s="138"/>
      <c r="AS17" s="138"/>
      <c r="AV17" s="135"/>
      <c r="AW17" s="135"/>
    </row>
    <row r="18" spans="1:49" s="167" customFormat="1" x14ac:dyDescent="0.25">
      <c r="A18" s="167" t="s">
        <v>154</v>
      </c>
      <c r="B18" s="167" t="s">
        <v>59</v>
      </c>
      <c r="C18" s="167" t="s">
        <v>17</v>
      </c>
      <c r="D18" s="167" t="s">
        <v>59</v>
      </c>
      <c r="E18" s="167" t="s">
        <v>17</v>
      </c>
      <c r="F18" s="168" t="s">
        <v>58</v>
      </c>
      <c r="G18" s="138">
        <f>SUMIFS('G2-8 Summary'!P:P,'G2-8 Summary'!C:C,A18,'G2-8 Summary'!F:F,E18)</f>
        <v>0</v>
      </c>
      <c r="H18" s="138">
        <f>SUMIFS('G2-8 Summary'!Q:Q,'G2-8 Summary'!C:C,A18,'G2-8 Summary'!F:F,E18)</f>
        <v>0</v>
      </c>
      <c r="I18" s="138">
        <f>SUMIFS('G2-8 Summary'!U:U,'G2-8 Summary'!C:C,A18,'G2-8 Summary'!F:F,E18)</f>
        <v>0</v>
      </c>
      <c r="J18" s="169"/>
      <c r="K18" s="142"/>
      <c r="L18" s="153"/>
      <c r="M18" s="187"/>
      <c r="N18" s="143"/>
      <c r="O18" s="135">
        <f t="shared" si="8"/>
        <v>0</v>
      </c>
      <c r="P18" s="159">
        <f t="shared" si="3"/>
        <v>0</v>
      </c>
      <c r="Q18" s="159">
        <f t="shared" si="4"/>
        <v>0</v>
      </c>
      <c r="R18" s="132"/>
      <c r="S18" s="159"/>
      <c r="T18" s="149">
        <f>SUMIFS('G2-8 Summary'!AC:AC,'G2-8 Summary'!$C:$C,$A18,'G2-8 Summary'!$F:$F,$E18)</f>
        <v>0</v>
      </c>
      <c r="U18" s="149">
        <f>SUMIFS('G2-8 Summary'!AD:AD,'G2-8 Summary'!$C:$C,$A18,'G2-8 Summary'!$F:$F,$E18)</f>
        <v>0</v>
      </c>
      <c r="V18" s="149">
        <f>SUMIFS('G2-8 Summary'!AE:AE,'G2-8 Summary'!$C:$C,$A18,'G2-8 Summary'!$F:$F,$E18)</f>
        <v>0</v>
      </c>
      <c r="W18" s="149">
        <f t="shared" si="9"/>
        <v>0</v>
      </c>
      <c r="X18" s="23"/>
      <c r="Y18" s="23"/>
      <c r="Z18" s="152"/>
      <c r="AA18" s="147">
        <f t="shared" si="5"/>
        <v>0</v>
      </c>
      <c r="AB18" s="147">
        <f t="shared" si="0"/>
        <v>0</v>
      </c>
      <c r="AC18" s="147">
        <f t="shared" si="6"/>
        <v>0</v>
      </c>
      <c r="AD18" s="147">
        <f t="shared" si="1"/>
        <v>0</v>
      </c>
      <c r="AE18" s="131"/>
      <c r="AF18" s="171">
        <v>1</v>
      </c>
      <c r="AG18" s="172">
        <f t="shared" si="7"/>
        <v>0.30961440406611485</v>
      </c>
      <c r="AH18" s="131"/>
      <c r="AI18" s="287">
        <f t="shared" si="2"/>
        <v>0</v>
      </c>
      <c r="AJ18" s="156"/>
      <c r="AK18" s="141"/>
      <c r="AL18" s="139"/>
      <c r="AM18" s="139"/>
      <c r="AN18" s="139"/>
      <c r="AO18" s="138"/>
      <c r="AP18" s="138"/>
      <c r="AQ18" s="169"/>
      <c r="AR18" s="138"/>
      <c r="AS18" s="138"/>
      <c r="AV18" s="135"/>
      <c r="AW18" s="135"/>
    </row>
    <row r="19" spans="1:49" s="167" customFormat="1" x14ac:dyDescent="0.25">
      <c r="A19" s="167" t="s">
        <v>154</v>
      </c>
      <c r="B19" s="167" t="s">
        <v>269</v>
      </c>
      <c r="C19" s="167" t="s">
        <v>267</v>
      </c>
      <c r="D19" s="167" t="s">
        <v>269</v>
      </c>
      <c r="E19" s="167" t="s">
        <v>267</v>
      </c>
      <c r="F19" s="168" t="s">
        <v>60</v>
      </c>
      <c r="G19" s="138">
        <f>SUMIFS('G2-8 Summary'!P:P,'G2-8 Summary'!C:C,A19,'G2-8 Summary'!F:F,E19)</f>
        <v>0</v>
      </c>
      <c r="H19" s="138">
        <f>SUMIFS('G2-8 Summary'!Q:Q,'G2-8 Summary'!C:C,A19,'G2-8 Summary'!F:F,E19)</f>
        <v>0</v>
      </c>
      <c r="I19" s="138">
        <f>SUMIFS('G2-8 Summary'!U:U,'G2-8 Summary'!C:C,A19,'G2-8 Summary'!F:F,E19)</f>
        <v>0</v>
      </c>
      <c r="J19" s="169"/>
      <c r="K19" s="142"/>
      <c r="L19" s="153"/>
      <c r="M19" s="187"/>
      <c r="N19" s="143"/>
      <c r="O19" s="135">
        <f t="shared" si="8"/>
        <v>0</v>
      </c>
      <c r="P19" s="159">
        <f t="shared" si="3"/>
        <v>0</v>
      </c>
      <c r="Q19" s="159">
        <f t="shared" si="4"/>
        <v>0</v>
      </c>
      <c r="R19" s="132"/>
      <c r="S19" s="159"/>
      <c r="T19" s="149">
        <f>SUMIFS('G2-8 Summary'!AC:AC,'G2-8 Summary'!$C:$C,$A19,'G2-8 Summary'!$F:$F,$E19)</f>
        <v>0</v>
      </c>
      <c r="U19" s="149">
        <f>SUMIFS('G2-8 Summary'!AD:AD,'G2-8 Summary'!$C:$C,$A19,'G2-8 Summary'!$F:$F,$E19)</f>
        <v>0</v>
      </c>
      <c r="V19" s="149">
        <f>SUMIFS('G2-8 Summary'!AE:AE,'G2-8 Summary'!$C:$C,$A19,'G2-8 Summary'!$F:$F,$E19)</f>
        <v>0</v>
      </c>
      <c r="W19" s="149">
        <f t="shared" si="9"/>
        <v>0</v>
      </c>
      <c r="X19" s="23"/>
      <c r="Y19" s="23"/>
      <c r="Z19" s="152"/>
      <c r="AA19" s="147">
        <f t="shared" si="5"/>
        <v>0</v>
      </c>
      <c r="AB19" s="147">
        <f t="shared" si="0"/>
        <v>0</v>
      </c>
      <c r="AC19" s="147">
        <f t="shared" si="6"/>
        <v>0</v>
      </c>
      <c r="AD19" s="147">
        <f t="shared" si="1"/>
        <v>0</v>
      </c>
      <c r="AE19" s="131"/>
      <c r="AF19" s="171">
        <v>1</v>
      </c>
      <c r="AG19" s="172">
        <f t="shared" si="7"/>
        <v>0.30961440406611485</v>
      </c>
      <c r="AH19" s="131"/>
      <c r="AI19" s="287">
        <f t="shared" si="2"/>
        <v>0</v>
      </c>
      <c r="AJ19" s="156"/>
      <c r="AK19" s="141"/>
      <c r="AL19" s="139"/>
      <c r="AM19" s="139"/>
      <c r="AN19" s="139"/>
      <c r="AO19" s="138"/>
      <c r="AP19" s="138"/>
      <c r="AQ19" s="169"/>
      <c r="AR19" s="138"/>
      <c r="AS19" s="138"/>
      <c r="AV19" s="135"/>
      <c r="AW19" s="135"/>
    </row>
    <row r="20" spans="1:49" s="167" customFormat="1" x14ac:dyDescent="0.25">
      <c r="A20" s="167" t="s">
        <v>154</v>
      </c>
      <c r="B20" s="167" t="s">
        <v>61</v>
      </c>
      <c r="C20" s="167" t="s">
        <v>18</v>
      </c>
      <c r="D20" s="167" t="s">
        <v>61</v>
      </c>
      <c r="E20" s="167" t="s">
        <v>18</v>
      </c>
      <c r="F20" s="168" t="s">
        <v>254</v>
      </c>
      <c r="G20" s="138">
        <f>SUMIFS('G2-8 Summary'!P:P,'G2-8 Summary'!C:C,A20,'G2-8 Summary'!F:F,E20)</f>
        <v>0</v>
      </c>
      <c r="H20" s="138">
        <f>SUMIFS('G2-8 Summary'!Q:Q,'G2-8 Summary'!C:C,A20,'G2-8 Summary'!F:F,E20)</f>
        <v>0</v>
      </c>
      <c r="I20" s="138">
        <f>SUMIFS('G2-8 Summary'!U:U,'G2-8 Summary'!C:C,A20,'G2-8 Summary'!F:F,E20)</f>
        <v>0</v>
      </c>
      <c r="J20" s="169"/>
      <c r="K20" s="142"/>
      <c r="L20" s="153"/>
      <c r="M20" s="187"/>
      <c r="N20" s="143"/>
      <c r="O20" s="135">
        <f t="shared" si="8"/>
        <v>0</v>
      </c>
      <c r="P20" s="159">
        <f t="shared" si="3"/>
        <v>0</v>
      </c>
      <c r="Q20" s="159">
        <f t="shared" si="4"/>
        <v>0</v>
      </c>
      <c r="R20" s="132"/>
      <c r="S20" s="159"/>
      <c r="T20" s="149">
        <f>SUMIFS('G2-8 Summary'!AC:AC,'G2-8 Summary'!$C:$C,$A20,'G2-8 Summary'!$F:$F,$E20)</f>
        <v>0</v>
      </c>
      <c r="U20" s="149">
        <f>SUMIFS('G2-8 Summary'!AD:AD,'G2-8 Summary'!$C:$C,$A20,'G2-8 Summary'!$F:$F,$E20)</f>
        <v>0</v>
      </c>
      <c r="V20" s="149">
        <f>SUMIFS('G2-8 Summary'!AE:AE,'G2-8 Summary'!$C:$C,$A20,'G2-8 Summary'!$F:$F,$E20)</f>
        <v>0</v>
      </c>
      <c r="W20" s="149">
        <f t="shared" si="9"/>
        <v>0</v>
      </c>
      <c r="X20" s="23"/>
      <c r="Y20" s="23"/>
      <c r="Z20" s="152"/>
      <c r="AA20" s="147">
        <f t="shared" si="5"/>
        <v>0</v>
      </c>
      <c r="AB20" s="147">
        <f t="shared" si="0"/>
        <v>0</v>
      </c>
      <c r="AC20" s="147">
        <f t="shared" si="6"/>
        <v>0</v>
      </c>
      <c r="AD20" s="147">
        <f t="shared" si="1"/>
        <v>0</v>
      </c>
      <c r="AE20" s="131"/>
      <c r="AF20" s="171">
        <v>1</v>
      </c>
      <c r="AG20" s="172">
        <f t="shared" si="7"/>
        <v>0.30961440406611485</v>
      </c>
      <c r="AH20" s="131"/>
      <c r="AI20" s="287">
        <f t="shared" si="2"/>
        <v>0</v>
      </c>
      <c r="AJ20" s="156"/>
      <c r="AK20" s="141"/>
      <c r="AL20" s="139"/>
      <c r="AM20" s="139"/>
      <c r="AN20" s="139"/>
      <c r="AO20" s="138"/>
      <c r="AP20" s="138"/>
      <c r="AQ20" s="169"/>
      <c r="AR20" s="138"/>
      <c r="AS20" s="138"/>
      <c r="AV20" s="135"/>
      <c r="AW20" s="135"/>
    </row>
    <row r="21" spans="1:49" s="167" customFormat="1" x14ac:dyDescent="0.25">
      <c r="A21" s="167" t="s">
        <v>154</v>
      </c>
      <c r="B21" s="167" t="s">
        <v>62</v>
      </c>
      <c r="C21" s="167" t="s">
        <v>19</v>
      </c>
      <c r="D21" s="167" t="s">
        <v>62</v>
      </c>
      <c r="E21" s="167" t="s">
        <v>19</v>
      </c>
      <c r="F21" s="168" t="s">
        <v>45</v>
      </c>
      <c r="G21" s="138">
        <f>SUMIFS('G2-8 Summary'!P:P,'G2-8 Summary'!C:C,A21,'G2-8 Summary'!F:F,E21)</f>
        <v>0</v>
      </c>
      <c r="H21" s="138">
        <f>SUMIFS('G2-8 Summary'!Q:Q,'G2-8 Summary'!C:C,A21,'G2-8 Summary'!F:F,E21)</f>
        <v>0</v>
      </c>
      <c r="I21" s="138">
        <f>SUMIFS('G2-8 Summary'!U:U,'G2-8 Summary'!C:C,A21,'G2-8 Summary'!F:F,E21)</f>
        <v>0</v>
      </c>
      <c r="J21" s="169"/>
      <c r="K21" s="142"/>
      <c r="L21" s="153"/>
      <c r="M21" s="187"/>
      <c r="N21" s="143"/>
      <c r="O21" s="135">
        <f t="shared" si="8"/>
        <v>0</v>
      </c>
      <c r="P21" s="159">
        <f t="shared" si="3"/>
        <v>0</v>
      </c>
      <c r="Q21" s="159">
        <f t="shared" si="4"/>
        <v>0</v>
      </c>
      <c r="R21" s="132"/>
      <c r="S21" s="159"/>
      <c r="T21" s="149">
        <f>SUMIFS('G2-8 Summary'!AC:AC,'G2-8 Summary'!$C:$C,$A21,'G2-8 Summary'!$F:$F,$E21)</f>
        <v>0</v>
      </c>
      <c r="U21" s="149">
        <f>SUMIFS('G2-8 Summary'!AD:AD,'G2-8 Summary'!$C:$C,$A21,'G2-8 Summary'!$F:$F,$E21)</f>
        <v>0</v>
      </c>
      <c r="V21" s="149">
        <f>SUMIFS('G2-8 Summary'!AE:AE,'G2-8 Summary'!$C:$C,$A21,'G2-8 Summary'!$F:$F,$E21)</f>
        <v>0</v>
      </c>
      <c r="W21" s="149">
        <f t="shared" si="9"/>
        <v>0</v>
      </c>
      <c r="X21" s="23"/>
      <c r="Y21" s="23"/>
      <c r="Z21" s="152"/>
      <c r="AA21" s="147">
        <f t="shared" si="5"/>
        <v>0</v>
      </c>
      <c r="AB21" s="147">
        <f t="shared" si="0"/>
        <v>0</v>
      </c>
      <c r="AC21" s="147">
        <f t="shared" si="6"/>
        <v>0</v>
      </c>
      <c r="AD21" s="147">
        <f t="shared" si="1"/>
        <v>0</v>
      </c>
      <c r="AE21" s="131"/>
      <c r="AF21" s="171">
        <v>1</v>
      </c>
      <c r="AG21" s="172">
        <f t="shared" si="7"/>
        <v>0.30961440406611485</v>
      </c>
      <c r="AH21" s="131"/>
      <c r="AI21" s="287">
        <f t="shared" si="2"/>
        <v>0</v>
      </c>
      <c r="AJ21" s="156"/>
      <c r="AK21" s="141"/>
      <c r="AL21" s="139"/>
      <c r="AM21" s="139"/>
      <c r="AN21" s="139"/>
      <c r="AO21" s="138"/>
      <c r="AP21" s="138"/>
      <c r="AQ21" s="169"/>
      <c r="AR21" s="138"/>
      <c r="AS21" s="138"/>
      <c r="AV21" s="135"/>
      <c r="AW21" s="135"/>
    </row>
    <row r="22" spans="1:49" s="167" customFormat="1" x14ac:dyDescent="0.25">
      <c r="A22" s="167" t="s">
        <v>154</v>
      </c>
      <c r="B22" s="167" t="s">
        <v>63</v>
      </c>
      <c r="C22" s="167" t="s">
        <v>20</v>
      </c>
      <c r="D22" s="167" t="s">
        <v>63</v>
      </c>
      <c r="E22" s="167" t="s">
        <v>20</v>
      </c>
      <c r="F22" s="168" t="s">
        <v>45</v>
      </c>
      <c r="G22" s="138">
        <f>SUMIFS('G2-8 Summary'!P:P,'G2-8 Summary'!C:C,A22,'G2-8 Summary'!F:F,E22)</f>
        <v>0</v>
      </c>
      <c r="H22" s="138">
        <f>SUMIFS('G2-8 Summary'!Q:Q,'G2-8 Summary'!C:C,A22,'G2-8 Summary'!F:F,E22)</f>
        <v>0</v>
      </c>
      <c r="I22" s="138">
        <f>SUMIFS('G2-8 Summary'!U:U,'G2-8 Summary'!C:C,A22,'G2-8 Summary'!F:F,E22)</f>
        <v>0</v>
      </c>
      <c r="J22" s="169"/>
      <c r="K22" s="142"/>
      <c r="L22" s="153"/>
      <c r="M22" s="187"/>
      <c r="N22" s="143"/>
      <c r="O22" s="135">
        <f t="shared" si="8"/>
        <v>0</v>
      </c>
      <c r="P22" s="159">
        <f t="shared" si="3"/>
        <v>0</v>
      </c>
      <c r="Q22" s="159">
        <f t="shared" si="4"/>
        <v>0</v>
      </c>
      <c r="R22" s="132"/>
      <c r="S22" s="159"/>
      <c r="T22" s="149">
        <f>SUMIFS('G2-8 Summary'!AC:AC,'G2-8 Summary'!$C:$C,$A22,'G2-8 Summary'!$F:$F,$E22)</f>
        <v>0</v>
      </c>
      <c r="U22" s="149">
        <f>SUMIFS('G2-8 Summary'!AD:AD,'G2-8 Summary'!$C:$C,$A22,'G2-8 Summary'!$F:$F,$E22)</f>
        <v>0</v>
      </c>
      <c r="V22" s="149">
        <f>SUMIFS('G2-8 Summary'!AE:AE,'G2-8 Summary'!$C:$C,$A22,'G2-8 Summary'!$F:$F,$E22)</f>
        <v>0</v>
      </c>
      <c r="W22" s="149">
        <f t="shared" si="9"/>
        <v>0</v>
      </c>
      <c r="X22" s="23"/>
      <c r="Y22" s="23"/>
      <c r="Z22" s="152"/>
      <c r="AA22" s="147">
        <f t="shared" si="5"/>
        <v>0</v>
      </c>
      <c r="AB22" s="147">
        <f t="shared" si="0"/>
        <v>0</v>
      </c>
      <c r="AC22" s="147">
        <f t="shared" si="6"/>
        <v>0</v>
      </c>
      <c r="AD22" s="147">
        <f t="shared" si="1"/>
        <v>0</v>
      </c>
      <c r="AE22" s="131"/>
      <c r="AF22" s="171">
        <v>1</v>
      </c>
      <c r="AG22" s="172">
        <f t="shared" si="7"/>
        <v>0.30961440406611485</v>
      </c>
      <c r="AH22" s="131"/>
      <c r="AI22" s="287">
        <f t="shared" si="2"/>
        <v>0</v>
      </c>
      <c r="AJ22" s="156"/>
      <c r="AK22" s="141"/>
      <c r="AL22" s="139"/>
      <c r="AM22" s="139"/>
      <c r="AN22" s="139"/>
      <c r="AO22" s="138"/>
      <c r="AP22" s="138"/>
      <c r="AQ22" s="169"/>
      <c r="AR22" s="138"/>
      <c r="AS22" s="138"/>
      <c r="AV22" s="135"/>
      <c r="AW22" s="135"/>
    </row>
    <row r="23" spans="1:49" s="167" customFormat="1" ht="17.25" x14ac:dyDescent="0.4">
      <c r="A23" s="167" t="s">
        <v>154</v>
      </c>
      <c r="B23" s="167" t="s">
        <v>64</v>
      </c>
      <c r="C23" s="167" t="s">
        <v>21</v>
      </c>
      <c r="D23" s="167" t="s">
        <v>64</v>
      </c>
      <c r="E23" s="167" t="s">
        <v>21</v>
      </c>
      <c r="F23" s="168" t="s">
        <v>45</v>
      </c>
      <c r="G23" s="35">
        <f>SUMIFS('G2-8 Summary'!P:P,'G2-8 Summary'!C:C,A23,'G2-8 Summary'!F:F,E23)</f>
        <v>0</v>
      </c>
      <c r="H23" s="35">
        <f>SUMIFS('G2-8 Summary'!Q:Q,'G2-8 Summary'!C:C,A23,'G2-8 Summary'!F:F,E23)</f>
        <v>0</v>
      </c>
      <c r="I23" s="35">
        <f>SUMIFS('G2-8 Summary'!U:U,'G2-8 Summary'!C:C,A23,'G2-8 Summary'!F:F,E23)</f>
        <v>0</v>
      </c>
      <c r="J23" s="169"/>
      <c r="K23" s="142"/>
      <c r="L23" s="153"/>
      <c r="M23" s="187"/>
      <c r="N23" s="143"/>
      <c r="O23" s="19">
        <f t="shared" si="8"/>
        <v>0</v>
      </c>
      <c r="P23" s="19">
        <f t="shared" si="3"/>
        <v>0</v>
      </c>
      <c r="Q23" s="19">
        <f t="shared" si="4"/>
        <v>0</v>
      </c>
      <c r="R23" s="132"/>
      <c r="S23" s="159"/>
      <c r="T23" s="79">
        <f>SUMIFS('G2-8 Summary'!AC:AC,'G2-8 Summary'!$C:$C,$A23,'G2-8 Summary'!$F:$F,$E23)</f>
        <v>0</v>
      </c>
      <c r="U23" s="79">
        <f>SUMIFS('G2-8 Summary'!AD:AD,'G2-8 Summary'!$C:$C,$A23,'G2-8 Summary'!$F:$F,$E23)</f>
        <v>0</v>
      </c>
      <c r="V23" s="79">
        <f>SUMIFS('G2-8 Summary'!AE:AE,'G2-8 Summary'!$C:$C,$A23,'G2-8 Summary'!$F:$F,$E23)</f>
        <v>0</v>
      </c>
      <c r="W23" s="79">
        <f t="shared" si="9"/>
        <v>0</v>
      </c>
      <c r="X23" s="23"/>
      <c r="Y23" s="23"/>
      <c r="Z23" s="152"/>
      <c r="AA23" s="147">
        <f t="shared" si="5"/>
        <v>0</v>
      </c>
      <c r="AB23" s="147">
        <f t="shared" si="0"/>
        <v>0</v>
      </c>
      <c r="AC23" s="147">
        <f t="shared" si="6"/>
        <v>0</v>
      </c>
      <c r="AD23" s="147">
        <f t="shared" si="1"/>
        <v>0</v>
      </c>
      <c r="AE23" s="131"/>
      <c r="AF23" s="171">
        <v>1</v>
      </c>
      <c r="AG23" s="172">
        <f t="shared" si="7"/>
        <v>0.30961440406611485</v>
      </c>
      <c r="AH23" s="131"/>
      <c r="AI23" s="287">
        <f t="shared" si="2"/>
        <v>0</v>
      </c>
      <c r="AJ23" s="156"/>
      <c r="AK23" s="141"/>
      <c r="AL23" s="139"/>
      <c r="AM23" s="139"/>
      <c r="AN23" s="139"/>
      <c r="AO23" s="138"/>
      <c r="AP23" s="138"/>
      <c r="AQ23" s="169"/>
      <c r="AR23" s="138"/>
      <c r="AS23" s="138"/>
      <c r="AV23" s="135"/>
      <c r="AW23" s="135"/>
    </row>
    <row r="24" spans="1:49" s="167" customFormat="1" x14ac:dyDescent="0.25">
      <c r="F24" s="168"/>
      <c r="G24" s="21">
        <f>SUM(G8:G23)</f>
        <v>701</v>
      </c>
      <c r="H24" s="21">
        <f>SUM(H8:H23)</f>
        <v>8412</v>
      </c>
      <c r="I24" s="21">
        <f>SUM(I8:I23)</f>
        <v>189190.54457788888</v>
      </c>
      <c r="J24" s="169"/>
      <c r="K24" s="142"/>
      <c r="L24" s="153"/>
      <c r="M24" s="187"/>
      <c r="N24" s="143"/>
      <c r="O24" s="30">
        <f t="shared" ref="O24:Q24" si="10">SUM(O8:O23)</f>
        <v>115020</v>
      </c>
      <c r="P24" s="30">
        <f t="shared" si="10"/>
        <v>38266.104613486626</v>
      </c>
      <c r="Q24" s="30">
        <f t="shared" si="10"/>
        <v>153286.10461348662</v>
      </c>
      <c r="R24" s="132"/>
      <c r="S24" s="159"/>
      <c r="T24" s="30">
        <f t="shared" ref="T24:W24" si="11">SUM(T8:T23)</f>
        <v>80544</v>
      </c>
      <c r="U24" s="30">
        <f t="shared" si="11"/>
        <v>42975.573407544252</v>
      </c>
      <c r="V24" s="30">
        <f t="shared" si="11"/>
        <v>0</v>
      </c>
      <c r="W24" s="30">
        <f t="shared" si="11"/>
        <v>123519.57340754427</v>
      </c>
      <c r="X24" s="23"/>
      <c r="Y24" s="23"/>
      <c r="Z24" s="30"/>
      <c r="AA24" s="118">
        <f>SUM(AA8:AA23)</f>
        <v>161763.01251862178</v>
      </c>
      <c r="AB24" s="118">
        <f>SUM(AB8:AB23)</f>
        <v>153285.66475595444</v>
      </c>
      <c r="AC24" s="118">
        <f t="shared" ref="AC24:AD24" si="12">SUM(AC8:AC23)</f>
        <v>-8477.3477626673666</v>
      </c>
      <c r="AD24" s="118">
        <f t="shared" si="12"/>
        <v>0.43985753219021717</v>
      </c>
      <c r="AE24" s="131"/>
      <c r="AF24" s="171"/>
      <c r="AG24" s="90"/>
      <c r="AH24" s="90"/>
      <c r="AI24" s="287"/>
      <c r="AJ24" s="156"/>
      <c r="AK24" s="141"/>
      <c r="AL24" s="139"/>
      <c r="AM24" s="139"/>
      <c r="AN24" s="139"/>
      <c r="AO24" s="138"/>
      <c r="AP24" s="138"/>
      <c r="AQ24" s="169"/>
      <c r="AR24" s="138"/>
      <c r="AS24" s="138"/>
      <c r="AV24" s="135"/>
      <c r="AW24" s="135"/>
    </row>
    <row r="25" spans="1:49" s="167" customFormat="1" x14ac:dyDescent="0.25">
      <c r="F25" s="168"/>
      <c r="G25" s="21"/>
      <c r="H25" s="21"/>
      <c r="I25" s="21"/>
      <c r="J25" s="169"/>
      <c r="K25" s="142"/>
      <c r="L25" s="153"/>
      <c r="M25" s="187"/>
      <c r="N25" s="143"/>
      <c r="O25" s="291"/>
      <c r="P25" s="30"/>
      <c r="Q25" s="30"/>
      <c r="R25" s="132"/>
      <c r="S25" s="159"/>
      <c r="T25" s="291"/>
      <c r="U25" s="30"/>
      <c r="V25" s="30"/>
      <c r="W25" s="140"/>
      <c r="X25" s="30"/>
      <c r="Y25" s="30"/>
      <c r="Z25" s="30"/>
      <c r="AA25" s="30"/>
      <c r="AB25" s="30"/>
      <c r="AC25" s="30"/>
      <c r="AD25" s="30"/>
      <c r="AE25" s="30"/>
      <c r="AF25" s="175"/>
      <c r="AG25" s="30"/>
      <c r="AH25" s="30"/>
      <c r="AI25" s="288"/>
      <c r="AJ25" s="156"/>
      <c r="AK25" s="141"/>
      <c r="AL25" s="139"/>
      <c r="AM25" s="139"/>
      <c r="AN25" s="139"/>
      <c r="AO25" s="138"/>
      <c r="AP25" s="138"/>
      <c r="AQ25" s="169"/>
      <c r="AR25" s="138"/>
      <c r="AS25" s="138"/>
      <c r="AV25" s="135"/>
      <c r="AW25" s="135"/>
    </row>
    <row r="26" spans="1:49" s="167" customFormat="1" x14ac:dyDescent="0.25">
      <c r="F26" s="168"/>
      <c r="G26" s="21"/>
      <c r="H26" s="21"/>
      <c r="I26" s="21"/>
      <c r="J26" s="169"/>
      <c r="K26" s="142"/>
      <c r="L26" s="153"/>
      <c r="M26" s="187"/>
      <c r="N26" s="143"/>
      <c r="O26" s="30"/>
      <c r="P26" s="30"/>
      <c r="Q26" s="30"/>
      <c r="R26" s="30"/>
      <c r="S26" s="159"/>
      <c r="T26" s="30"/>
      <c r="U26" s="30"/>
      <c r="V26" s="30"/>
      <c r="W26" s="30">
        <f>Q24-W24</f>
        <v>29766.531205942345</v>
      </c>
      <c r="X26" s="140">
        <f>W26/W24</f>
        <v>0.24098635046066536</v>
      </c>
      <c r="Y26" s="30"/>
      <c r="Z26" s="30"/>
      <c r="AA26" s="30"/>
      <c r="AB26" s="30"/>
      <c r="AC26" s="30"/>
      <c r="AD26" s="30"/>
      <c r="AE26" s="30"/>
      <c r="AF26" s="175"/>
      <c r="AG26" s="30"/>
      <c r="AH26" s="30"/>
      <c r="AI26" s="288"/>
      <c r="AJ26" s="156"/>
      <c r="AK26" s="141"/>
      <c r="AL26" s="139"/>
      <c r="AM26" s="139"/>
      <c r="AN26" s="139"/>
      <c r="AO26" s="138"/>
      <c r="AP26" s="138"/>
      <c r="AQ26" s="169"/>
      <c r="AR26" s="138"/>
      <c r="AS26" s="138"/>
      <c r="AV26" s="135"/>
      <c r="AW26" s="135"/>
    </row>
    <row r="27" spans="1:49" s="167" customFormat="1" x14ac:dyDescent="0.25">
      <c r="J27" s="169"/>
      <c r="M27" s="103"/>
      <c r="O27" s="135"/>
      <c r="P27" s="159"/>
      <c r="Q27" s="159"/>
      <c r="R27" s="159"/>
      <c r="S27" s="15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71"/>
      <c r="AG27" s="149"/>
      <c r="AH27" s="149"/>
      <c r="AI27" s="287"/>
      <c r="AJ27" s="174"/>
      <c r="AK27" s="141"/>
      <c r="AQ27" s="169"/>
    </row>
    <row r="28" spans="1:49" s="167" customFormat="1" x14ac:dyDescent="0.25">
      <c r="A28" s="167" t="s">
        <v>159</v>
      </c>
      <c r="B28" s="167" t="s">
        <v>40</v>
      </c>
      <c r="C28" s="167" t="s">
        <v>8</v>
      </c>
      <c r="D28" s="167" t="s">
        <v>40</v>
      </c>
      <c r="E28" s="167" t="s">
        <v>8</v>
      </c>
      <c r="F28" s="168" t="s">
        <v>39</v>
      </c>
      <c r="G28" s="138">
        <f>SUMIFS('G2-8 Summary'!P:P,'G2-8 Summary'!C:C,A28,'G2-8 Summary'!F:F,E28)</f>
        <v>249</v>
      </c>
      <c r="H28" s="138">
        <f>SUMIFS('G2-8 Summary'!Q:Q,'G2-8 Summary'!C:C,A28,'G2-8 Summary'!F:F,E28)</f>
        <v>2988</v>
      </c>
      <c r="I28" s="138">
        <f>SUMIFS('G2-8 Summary'!U:U,'G2-8 Summary'!C:C,A28,'G2-8 Summary'!F:F,E28)</f>
        <v>11104.707191948544</v>
      </c>
      <c r="J28" s="169"/>
      <c r="K28" s="142">
        <v>11.5</v>
      </c>
      <c r="L28" s="153">
        <v>0.58026</v>
      </c>
      <c r="M28" s="99"/>
      <c r="N28" s="142">
        <f t="shared" ref="N28" si="13">N8</f>
        <v>0</v>
      </c>
      <c r="O28" s="149">
        <f t="shared" ref="O28:O43" si="14">K28*$H28</f>
        <v>34362</v>
      </c>
      <c r="P28" s="149">
        <f t="shared" ref="P28:P43" si="15">I28*L28</f>
        <v>6443.6173952000627</v>
      </c>
      <c r="Q28" s="149">
        <f t="shared" ref="Q28:Q43" si="16">SUM(O28:P28)</f>
        <v>40805.617395200061</v>
      </c>
      <c r="R28" s="166"/>
      <c r="S28" s="159"/>
      <c r="T28" s="149">
        <f>SUMIFS('G2-8 Summary'!AC:AC,'G2-8 Summary'!$C:$C,$A28,'G2-8 Summary'!$F:$F,$E28)</f>
        <v>25398</v>
      </c>
      <c r="U28" s="149">
        <f>SUMIFS('G2-8 Summary'!AD:AD,'G2-8 Summary'!$C:$C,$A28,'G2-8 Summary'!$F:$F,$E28)</f>
        <v>6185.3219059153398</v>
      </c>
      <c r="V28" s="149">
        <f>SUMIFS('G2-8 Summary'!AE:AE,'G2-8 Summary'!$C:$C,$A28,'G2-8 Summary'!$F:$F,$E28)</f>
        <v>1692.9126114125559</v>
      </c>
      <c r="W28" s="149">
        <f t="shared" ref="W28:W43" si="17">SUM(T28:V28)</f>
        <v>33276.234517327895</v>
      </c>
      <c r="X28" s="152"/>
      <c r="Y28" s="152"/>
      <c r="Z28" s="152"/>
      <c r="AA28" s="147">
        <f>W28*$F$97+W28</f>
        <v>43579.036036974649</v>
      </c>
      <c r="AB28" s="147">
        <f t="shared" ref="AB28:AB43" si="18">W28*(1+AG28)</f>
        <v>40805.617395200061</v>
      </c>
      <c r="AC28" s="147">
        <f>AB28-AA28</f>
        <v>-2773.4186417745877</v>
      </c>
      <c r="AD28" s="147">
        <f t="shared" ref="AD28:AD43" si="19">Q28-AB28</f>
        <v>0</v>
      </c>
      <c r="AE28" s="131"/>
      <c r="AF28" s="171">
        <v>0.73080927197463064</v>
      </c>
      <c r="AG28" s="172">
        <f>$F$97*AF28</f>
        <v>0.22626907722841652</v>
      </c>
      <c r="AH28" s="149"/>
      <c r="AI28" s="287">
        <f t="shared" ref="AI28:AI43" si="20">IFERROR(((Q28-W28)/W28)/$F$97,0)</f>
        <v>0.73080927197463064</v>
      </c>
      <c r="AJ28" s="156"/>
      <c r="AK28" s="141"/>
      <c r="AL28" s="139"/>
      <c r="AM28" s="139"/>
      <c r="AN28" s="139"/>
      <c r="AO28" s="138"/>
      <c r="AP28" s="138"/>
      <c r="AQ28" s="169"/>
      <c r="AR28" s="138"/>
      <c r="AS28" s="138"/>
      <c r="AV28" s="135"/>
      <c r="AW28" s="135"/>
    </row>
    <row r="29" spans="1:49" s="167" customFormat="1" x14ac:dyDescent="0.25">
      <c r="A29" s="167" t="s">
        <v>159</v>
      </c>
      <c r="B29" s="167" t="s">
        <v>42</v>
      </c>
      <c r="C29" s="167" t="s">
        <v>9</v>
      </c>
      <c r="D29" s="167" t="s">
        <v>42</v>
      </c>
      <c r="E29" s="167" t="s">
        <v>9</v>
      </c>
      <c r="F29" s="168" t="s">
        <v>41</v>
      </c>
      <c r="G29" s="138">
        <f>SUMIFS('G2-8 Summary'!P:P,'G2-8 Summary'!C:C,A29,'G2-8 Summary'!F:F,E29)</f>
        <v>205</v>
      </c>
      <c r="H29" s="138">
        <f>SUMIFS('G2-8 Summary'!Q:Q,'G2-8 Summary'!C:C,A29,'G2-8 Summary'!F:F,E29)</f>
        <v>2460</v>
      </c>
      <c r="I29" s="138">
        <f>SUMIFS('G2-8 Summary'!U:U,'G2-8 Summary'!C:C,A29,'G2-8 Summary'!F:F,E29)</f>
        <v>30170.344676990484</v>
      </c>
      <c r="J29" s="169"/>
      <c r="K29" s="142">
        <v>12.5</v>
      </c>
      <c r="L29" s="153">
        <v>0.58026</v>
      </c>
      <c r="M29" s="187"/>
      <c r="O29" s="149">
        <f t="shared" si="14"/>
        <v>30750</v>
      </c>
      <c r="P29" s="149">
        <f t="shared" si="15"/>
        <v>17506.644202270498</v>
      </c>
      <c r="Q29" s="149">
        <f t="shared" si="16"/>
        <v>48256.644202270501</v>
      </c>
      <c r="R29" s="166"/>
      <c r="S29" s="159"/>
      <c r="T29" s="149">
        <f>SUMIFS('G2-8 Summary'!AC:AC,'G2-8 Summary'!$C:$C,$A29,'G2-8 Summary'!$F:$F,$E29)</f>
        <v>20910</v>
      </c>
      <c r="U29" s="149">
        <f>SUMIFS('G2-8 Summary'!AD:AD,'G2-8 Summary'!$C:$C,$A29,'G2-8 Summary'!$F:$F,$E29)</f>
        <v>16804.881985083703</v>
      </c>
      <c r="V29" s="149">
        <f>SUMIFS('G2-8 Summary'!AE:AE,'G2-8 Summary'!$C:$C,$A29,'G2-8 Summary'!$F:$F,$E29)</f>
        <v>4599.4690460072006</v>
      </c>
      <c r="W29" s="149">
        <f t="shared" si="17"/>
        <v>42314.351031090904</v>
      </c>
      <c r="X29" s="152"/>
      <c r="Y29" s="152"/>
      <c r="Z29" s="152"/>
      <c r="AA29" s="147">
        <f t="shared" ref="AA29:AA43" si="21">W29*$F$97+W29</f>
        <v>55415.483609026509</v>
      </c>
      <c r="AB29" s="147">
        <f t="shared" si="18"/>
        <v>48256.644202270494</v>
      </c>
      <c r="AC29" s="147">
        <f t="shared" ref="AC29:AC43" si="22">AB29-AA29</f>
        <v>-7158.8394067560148</v>
      </c>
      <c r="AD29" s="147">
        <f t="shared" si="19"/>
        <v>0</v>
      </c>
      <c r="AE29" s="131"/>
      <c r="AF29" s="171">
        <v>0.45357095165858913</v>
      </c>
      <c r="AG29" s="172">
        <f t="shared" ref="AG29:AG43" si="23">$F$97*AF29</f>
        <v>0.14043209989947467</v>
      </c>
      <c r="AH29" s="149"/>
      <c r="AI29" s="287">
        <f t="shared" si="20"/>
        <v>0.45357095165858913</v>
      </c>
      <c r="AJ29" s="156"/>
      <c r="AK29" s="141"/>
      <c r="AL29" s="139"/>
      <c r="AM29" s="139"/>
      <c r="AN29" s="139"/>
      <c r="AO29" s="138"/>
      <c r="AP29" s="138"/>
      <c r="AQ29" s="169"/>
      <c r="AR29" s="138"/>
      <c r="AS29" s="138"/>
      <c r="AV29" s="135"/>
      <c r="AW29" s="135"/>
    </row>
    <row r="30" spans="1:49" s="167" customFormat="1" ht="15.75" customHeight="1" x14ac:dyDescent="0.25">
      <c r="A30" s="167" t="s">
        <v>159</v>
      </c>
      <c r="B30" s="167" t="s">
        <v>268</v>
      </c>
      <c r="C30" s="167" t="s">
        <v>266</v>
      </c>
      <c r="D30" s="167" t="s">
        <v>268</v>
      </c>
      <c r="E30" s="167" t="s">
        <v>266</v>
      </c>
      <c r="F30" s="168" t="s">
        <v>43</v>
      </c>
      <c r="G30" s="138">
        <f>SUMIFS('G2-8 Summary'!P:P,'G2-8 Summary'!C:C,A30,'G2-8 Summary'!F:F,E30)</f>
        <v>42</v>
      </c>
      <c r="H30" s="138">
        <f>SUMIFS('G2-8 Summary'!Q:Q,'G2-8 Summary'!C:C,A30,'G2-8 Summary'!F:F,E30)</f>
        <v>504</v>
      </c>
      <c r="I30" s="138">
        <f>SUMIFS('G2-8 Summary'!U:U,'G2-8 Summary'!C:C,A30,'G2-8 Summary'!F:F,E30)</f>
        <v>15676.944492763572</v>
      </c>
      <c r="J30" s="169"/>
      <c r="K30" s="142">
        <v>16.5</v>
      </c>
      <c r="L30" s="153">
        <v>0.58026</v>
      </c>
      <c r="M30" s="105"/>
      <c r="N30" s="143"/>
      <c r="O30" s="149">
        <f t="shared" si="14"/>
        <v>8316</v>
      </c>
      <c r="P30" s="149">
        <f t="shared" si="15"/>
        <v>9096.7038113709896</v>
      </c>
      <c r="Q30" s="149">
        <f t="shared" si="16"/>
        <v>17412.70381137099</v>
      </c>
      <c r="R30" s="166"/>
      <c r="S30" s="159"/>
      <c r="T30" s="149">
        <f>SUMIFS('G2-8 Summary'!AC:AC,'G2-8 Summary'!$C:$C,$A30,'G2-8 Summary'!$F:$F,$E30)</f>
        <v>4284</v>
      </c>
      <c r="U30" s="149">
        <f>SUMIFS('G2-8 Summary'!AD:AD,'G2-8 Summary'!$C:$C,$A30,'G2-8 Summary'!$F:$F,$E30)</f>
        <v>8732.0580824693097</v>
      </c>
      <c r="V30" s="149">
        <f>SUMIFS('G2-8 Summary'!AE:AE,'G2-8 Summary'!$C:$C,$A30,'G2-8 Summary'!$F:$F,$E30)</f>
        <v>2389.9501879218069</v>
      </c>
      <c r="W30" s="149">
        <f t="shared" si="17"/>
        <v>15406.008270391118</v>
      </c>
      <c r="X30" s="152"/>
      <c r="Y30" s="152"/>
      <c r="Z30" s="152"/>
      <c r="AA30" s="147">
        <f t="shared" si="21"/>
        <v>20175.930340065901</v>
      </c>
      <c r="AB30" s="147">
        <f t="shared" si="18"/>
        <v>17412.70381137099</v>
      </c>
      <c r="AC30" s="147">
        <f t="shared" si="22"/>
        <v>-2763.2265286949114</v>
      </c>
      <c r="AD30" s="147">
        <f t="shared" si="19"/>
        <v>0</v>
      </c>
      <c r="AE30" s="131"/>
      <c r="AF30" s="171">
        <v>0.42069776228371175</v>
      </c>
      <c r="AG30" s="172">
        <f t="shared" si="23"/>
        <v>0.13025408696141946</v>
      </c>
      <c r="AH30" s="149"/>
      <c r="AI30" s="287">
        <f t="shared" si="20"/>
        <v>0.42069776228371175</v>
      </c>
      <c r="AJ30" s="156"/>
      <c r="AK30" s="141"/>
      <c r="AL30" s="139"/>
      <c r="AM30" s="139"/>
      <c r="AN30" s="139"/>
      <c r="AO30" s="138"/>
      <c r="AP30" s="138"/>
      <c r="AQ30" s="169"/>
      <c r="AR30" s="138"/>
      <c r="AS30" s="138"/>
      <c r="AV30" s="135"/>
      <c r="AW30" s="135"/>
    </row>
    <row r="31" spans="1:49" s="167" customFormat="1" x14ac:dyDescent="0.25">
      <c r="A31" s="167" t="s">
        <v>159</v>
      </c>
      <c r="B31" s="167" t="s">
        <v>44</v>
      </c>
      <c r="C31" s="167" t="s">
        <v>10</v>
      </c>
      <c r="D31" s="167" t="s">
        <v>44</v>
      </c>
      <c r="E31" s="167" t="s">
        <v>10</v>
      </c>
      <c r="F31" s="168" t="s">
        <v>45</v>
      </c>
      <c r="G31" s="138">
        <f>SUMIFS('G2-8 Summary'!P:P,'G2-8 Summary'!C:C,A31,'G2-8 Summary'!F:F,E31)</f>
        <v>0</v>
      </c>
      <c r="H31" s="138">
        <f>SUMIFS('G2-8 Summary'!Q:Q,'G2-8 Summary'!C:C,A31,'G2-8 Summary'!F:F,E31)</f>
        <v>0</v>
      </c>
      <c r="I31" s="138">
        <f>SUMIFS('G2-8 Summary'!U:U,'G2-8 Summary'!C:C,A31,'G2-8 Summary'!F:F,E31)</f>
        <v>0</v>
      </c>
      <c r="J31" s="169"/>
      <c r="K31" s="142">
        <v>0</v>
      </c>
      <c r="L31" s="142">
        <v>0</v>
      </c>
      <c r="M31" s="106"/>
      <c r="N31" s="143"/>
      <c r="O31" s="149">
        <f t="shared" si="14"/>
        <v>0</v>
      </c>
      <c r="P31" s="149">
        <f t="shared" si="15"/>
        <v>0</v>
      </c>
      <c r="Q31" s="149">
        <f t="shared" si="16"/>
        <v>0</v>
      </c>
      <c r="R31" s="166"/>
      <c r="S31" s="159"/>
      <c r="T31" s="149">
        <f>SUMIFS('G2-8 Summary'!AC:AC,'G2-8 Summary'!$C:$C,$A31,'G2-8 Summary'!$F:$F,$E31)</f>
        <v>0</v>
      </c>
      <c r="U31" s="149">
        <f>SUMIFS('G2-8 Summary'!AD:AD,'G2-8 Summary'!$C:$C,$A31,'G2-8 Summary'!$F:$F,$E31)</f>
        <v>0</v>
      </c>
      <c r="V31" s="149">
        <f>SUMIFS('G2-8 Summary'!AE:AE,'G2-8 Summary'!$C:$C,$A31,'G2-8 Summary'!$F:$F,$E31)</f>
        <v>0</v>
      </c>
      <c r="W31" s="149">
        <f t="shared" si="17"/>
        <v>0</v>
      </c>
      <c r="X31" s="152"/>
      <c r="Y31" s="152"/>
      <c r="Z31" s="152"/>
      <c r="AA31" s="147">
        <f t="shared" si="21"/>
        <v>0</v>
      </c>
      <c r="AB31" s="147">
        <f t="shared" si="18"/>
        <v>0</v>
      </c>
      <c r="AC31" s="147">
        <f t="shared" si="22"/>
        <v>0</v>
      </c>
      <c r="AD31" s="147">
        <f t="shared" si="19"/>
        <v>0</v>
      </c>
      <c r="AE31" s="131"/>
      <c r="AF31" s="171">
        <v>0</v>
      </c>
      <c r="AG31" s="172">
        <f t="shared" si="23"/>
        <v>0</v>
      </c>
      <c r="AH31" s="149"/>
      <c r="AI31" s="287">
        <f t="shared" si="20"/>
        <v>0</v>
      </c>
      <c r="AJ31" s="156"/>
      <c r="AK31" s="141"/>
      <c r="AL31" s="139"/>
      <c r="AM31" s="139"/>
      <c r="AN31" s="139"/>
      <c r="AO31" s="138"/>
      <c r="AP31" s="138"/>
      <c r="AQ31" s="169"/>
      <c r="AR31" s="138"/>
      <c r="AS31" s="138"/>
      <c r="AV31" s="135"/>
      <c r="AW31" s="135"/>
    </row>
    <row r="32" spans="1:49" s="167" customFormat="1" x14ac:dyDescent="0.25">
      <c r="A32" s="167" t="s">
        <v>159</v>
      </c>
      <c r="B32" s="167" t="s">
        <v>47</v>
      </c>
      <c r="C32" s="167" t="s">
        <v>11</v>
      </c>
      <c r="D32" s="167" t="s">
        <v>47</v>
      </c>
      <c r="E32" s="167" t="s">
        <v>11</v>
      </c>
      <c r="F32" s="168" t="s">
        <v>46</v>
      </c>
      <c r="G32" s="138">
        <f>SUMIFS('G2-8 Summary'!P:P,'G2-8 Summary'!C:C,A32,'G2-8 Summary'!F:F,E32)</f>
        <v>16</v>
      </c>
      <c r="H32" s="138">
        <f>SUMIFS('G2-8 Summary'!Q:Q,'G2-8 Summary'!C:C,A32,'G2-8 Summary'!F:F,E32)</f>
        <v>192</v>
      </c>
      <c r="I32" s="138">
        <f>SUMIFS('G2-8 Summary'!U:U,'G2-8 Summary'!C:C,A32,'G2-8 Summary'!F:F,E32)</f>
        <v>3241.8171346318159</v>
      </c>
      <c r="J32" s="169"/>
      <c r="K32" s="142">
        <v>25</v>
      </c>
      <c r="L32" s="153">
        <v>0.55700000000000005</v>
      </c>
      <c r="M32" s="187"/>
      <c r="N32" s="143"/>
      <c r="O32" s="149">
        <f t="shared" si="14"/>
        <v>4800</v>
      </c>
      <c r="P32" s="149">
        <f t="shared" si="15"/>
        <v>1805.6921439899215</v>
      </c>
      <c r="Q32" s="149">
        <f t="shared" si="16"/>
        <v>6605.6921439899215</v>
      </c>
      <c r="R32" s="166"/>
      <c r="S32" s="159"/>
      <c r="T32" s="149">
        <f>SUMIFS('G2-8 Summary'!AC:AC,'G2-8 Summary'!$C:$C,$A32,'G2-8 Summary'!$F:$F,$E32)</f>
        <v>3360</v>
      </c>
      <c r="U32" s="149">
        <f>SUMIFS('G2-8 Summary'!AD:AD,'G2-8 Summary'!$C:$C,$A32,'G2-8 Summary'!$F:$F,$E32)</f>
        <v>1805.6921439899215</v>
      </c>
      <c r="V32" s="149">
        <f>SUMIFS('G2-8 Summary'!AE:AE,'G2-8 Summary'!$C:$C,$A32,'G2-8 Summary'!$F:$F,$E32)</f>
        <v>47.200857480239243</v>
      </c>
      <c r="W32" s="149">
        <f t="shared" si="17"/>
        <v>5212.8930014701609</v>
      </c>
      <c r="X32" s="152"/>
      <c r="Y32" s="152"/>
      <c r="Z32" s="152"/>
      <c r="AA32" s="147">
        <f t="shared" si="21"/>
        <v>6826.8797615807653</v>
      </c>
      <c r="AB32" s="147">
        <f t="shared" si="18"/>
        <v>6605.6921439899215</v>
      </c>
      <c r="AC32" s="147">
        <f t="shared" si="22"/>
        <v>-221.18761759084373</v>
      </c>
      <c r="AD32" s="147">
        <f t="shared" si="19"/>
        <v>0</v>
      </c>
      <c r="AE32" s="131"/>
      <c r="AF32" s="171">
        <v>0.86295574222945537</v>
      </c>
      <c r="AG32" s="172">
        <f t="shared" si="23"/>
        <v>0.26718352786580463</v>
      </c>
      <c r="AH32" s="149"/>
      <c r="AI32" s="287">
        <f t="shared" si="20"/>
        <v>0.86295574222945537</v>
      </c>
      <c r="AJ32" s="156"/>
      <c r="AK32" s="141"/>
      <c r="AL32" s="139"/>
      <c r="AM32" s="139"/>
      <c r="AN32" s="139"/>
      <c r="AO32" s="138"/>
      <c r="AP32" s="138"/>
      <c r="AQ32" s="169"/>
      <c r="AR32" s="138"/>
      <c r="AS32" s="138"/>
      <c r="AV32" s="135"/>
      <c r="AW32" s="135"/>
    </row>
    <row r="33" spans="1:49" s="167" customFormat="1" x14ac:dyDescent="0.25">
      <c r="A33" s="167" t="s">
        <v>159</v>
      </c>
      <c r="B33" s="167" t="s">
        <v>49</v>
      </c>
      <c r="C33" s="167" t="s">
        <v>12</v>
      </c>
      <c r="D33" s="167" t="s">
        <v>49</v>
      </c>
      <c r="E33" s="167" t="s">
        <v>12</v>
      </c>
      <c r="F33" s="168" t="s">
        <v>48</v>
      </c>
      <c r="G33" s="138">
        <f>SUMIFS('G2-8 Summary'!P:P,'G2-8 Summary'!C:C,A33,'G2-8 Summary'!F:F,E33)</f>
        <v>11</v>
      </c>
      <c r="H33" s="138">
        <f>SUMIFS('G2-8 Summary'!Q:Q,'G2-8 Summary'!C:C,A33,'G2-8 Summary'!F:F,E33)</f>
        <v>132</v>
      </c>
      <c r="I33" s="138">
        <f>SUMIFS('G2-8 Summary'!U:U,'G2-8 Summary'!C:C,A33,'G2-8 Summary'!F:F,E33)</f>
        <v>27322.685700216971</v>
      </c>
      <c r="J33" s="169"/>
      <c r="K33" s="142">
        <v>50</v>
      </c>
      <c r="L33" s="153">
        <v>0.55700000000000005</v>
      </c>
      <c r="M33" s="187"/>
      <c r="N33" s="143"/>
      <c r="O33" s="149">
        <f t="shared" si="14"/>
        <v>6600</v>
      </c>
      <c r="P33" s="149">
        <f t="shared" si="15"/>
        <v>15218.735935020854</v>
      </c>
      <c r="Q33" s="149">
        <f t="shared" si="16"/>
        <v>21818.735935020854</v>
      </c>
      <c r="R33" s="166"/>
      <c r="S33" s="159"/>
      <c r="T33" s="149">
        <f>SUMIFS('G2-8 Summary'!AC:AC,'G2-8 Summary'!$C:$C,$A33,'G2-8 Summary'!$F:$F,$E33)</f>
        <v>2310</v>
      </c>
      <c r="U33" s="149">
        <f>SUMIFS('G2-8 Summary'!AD:AD,'G2-8 Summary'!$C:$C,$A33,'G2-8 Summary'!$F:$F,$E33)</f>
        <v>15218.735935020854</v>
      </c>
      <c r="V33" s="149">
        <f>SUMIFS('G2-8 Summary'!AE:AE,'G2-8 Summary'!$C:$C,$A33,'G2-8 Summary'!$F:$F,$E33)</f>
        <v>397.81830379515918</v>
      </c>
      <c r="W33" s="149">
        <f t="shared" si="17"/>
        <v>17926.554238816014</v>
      </c>
      <c r="X33" s="152"/>
      <c r="Y33" s="152"/>
      <c r="Z33" s="152"/>
      <c r="AA33" s="147">
        <f t="shared" si="21"/>
        <v>23476.87364642592</v>
      </c>
      <c r="AB33" s="147">
        <f t="shared" si="18"/>
        <v>21818.735935020854</v>
      </c>
      <c r="AC33" s="147">
        <f t="shared" si="22"/>
        <v>-1658.1377114050665</v>
      </c>
      <c r="AD33" s="147">
        <f t="shared" si="19"/>
        <v>0</v>
      </c>
      <c r="AE33" s="131"/>
      <c r="AF33" s="171">
        <v>0.70125364152347081</v>
      </c>
      <c r="AG33" s="172">
        <f t="shared" si="23"/>
        <v>0.21711822831948235</v>
      </c>
      <c r="AH33" s="149"/>
      <c r="AI33" s="287">
        <f t="shared" si="20"/>
        <v>0.70125364152347081</v>
      </c>
      <c r="AJ33" s="156"/>
      <c r="AK33" s="141"/>
      <c r="AL33" s="139"/>
      <c r="AM33" s="139"/>
      <c r="AN33" s="139"/>
      <c r="AO33" s="138"/>
      <c r="AP33" s="138"/>
      <c r="AQ33" s="169"/>
      <c r="AR33" s="138"/>
      <c r="AS33" s="138"/>
      <c r="AV33" s="135"/>
      <c r="AW33" s="135"/>
    </row>
    <row r="34" spans="1:49" s="167" customFormat="1" x14ac:dyDescent="0.25">
      <c r="A34" s="167" t="s">
        <v>159</v>
      </c>
      <c r="B34" s="167" t="s">
        <v>51</v>
      </c>
      <c r="C34" s="167" t="s">
        <v>13</v>
      </c>
      <c r="D34" s="167" t="s">
        <v>51</v>
      </c>
      <c r="E34" s="167" t="s">
        <v>13</v>
      </c>
      <c r="F34" s="168" t="s">
        <v>50</v>
      </c>
      <c r="G34" s="138">
        <f>SUMIFS('G2-8 Summary'!P:P,'G2-8 Summary'!C:C,A34,'G2-8 Summary'!F:F,E34)</f>
        <v>3</v>
      </c>
      <c r="H34" s="138">
        <f>SUMIFS('G2-8 Summary'!Q:Q,'G2-8 Summary'!C:C,A34,'G2-8 Summary'!F:F,E34)</f>
        <v>36</v>
      </c>
      <c r="I34" s="138">
        <f>SUMIFS('G2-8 Summary'!U:U,'G2-8 Summary'!C:C,A34,'G2-8 Summary'!F:F,E34)</f>
        <v>20470.795298562542</v>
      </c>
      <c r="J34" s="169"/>
      <c r="K34" s="142">
        <v>100</v>
      </c>
      <c r="L34" s="153">
        <v>0.55700000000000005</v>
      </c>
      <c r="M34" s="187"/>
      <c r="N34" s="143"/>
      <c r="O34" s="149">
        <f t="shared" si="14"/>
        <v>3600</v>
      </c>
      <c r="P34" s="149">
        <f t="shared" si="15"/>
        <v>11402.232981299338</v>
      </c>
      <c r="Q34" s="149">
        <f t="shared" si="16"/>
        <v>15002.232981299338</v>
      </c>
      <c r="R34" s="166"/>
      <c r="S34" s="159"/>
      <c r="T34" s="149">
        <f>SUMIFS('G2-8 Summary'!AC:AC,'G2-8 Summary'!$C:$C,$A34,'G2-8 Summary'!$F:$F,$E34)</f>
        <v>630</v>
      </c>
      <c r="U34" s="149">
        <f>SUMIFS('G2-8 Summary'!AD:AD,'G2-8 Summary'!$C:$C,$A34,'G2-8 Summary'!$F:$F,$E34)</f>
        <v>11402.232981299338</v>
      </c>
      <c r="V34" s="149">
        <f>SUMIFS('G2-8 Summary'!AE:AE,'G2-8 Summary'!$C:$C,$A34,'G2-8 Summary'!$F:$F,$E34)</f>
        <v>298.05477954707067</v>
      </c>
      <c r="W34" s="149">
        <f t="shared" si="17"/>
        <v>12330.287760846408</v>
      </c>
      <c r="X34" s="152"/>
      <c r="Y34" s="152"/>
      <c r="Z34" s="152"/>
      <c r="AA34" s="147">
        <f t="shared" si="21"/>
        <v>16147.922457884579</v>
      </c>
      <c r="AB34" s="147">
        <f t="shared" si="18"/>
        <v>15002.232981299338</v>
      </c>
      <c r="AC34" s="147">
        <f t="shared" si="22"/>
        <v>-1145.6894765852412</v>
      </c>
      <c r="AD34" s="147">
        <f t="shared" si="19"/>
        <v>0</v>
      </c>
      <c r="AE34" s="131"/>
      <c r="AF34" s="171">
        <v>0.69989546734942998</v>
      </c>
      <c r="AG34" s="172">
        <f t="shared" si="23"/>
        <v>0.21669771803196872</v>
      </c>
      <c r="AH34" s="149"/>
      <c r="AI34" s="287">
        <f t="shared" si="20"/>
        <v>0.69989546734942998</v>
      </c>
      <c r="AJ34" s="156"/>
      <c r="AK34" s="141"/>
      <c r="AL34" s="139"/>
      <c r="AM34" s="139"/>
      <c r="AN34" s="139"/>
      <c r="AO34" s="138"/>
      <c r="AP34" s="138"/>
      <c r="AQ34" s="169"/>
      <c r="AR34" s="138"/>
      <c r="AS34" s="138"/>
      <c r="AV34" s="135"/>
      <c r="AW34" s="135"/>
    </row>
    <row r="35" spans="1:49" s="167" customFormat="1" x14ac:dyDescent="0.25">
      <c r="A35" s="167" t="s">
        <v>159</v>
      </c>
      <c r="B35" s="167" t="s">
        <v>53</v>
      </c>
      <c r="C35" s="167" t="s">
        <v>14</v>
      </c>
      <c r="D35" s="167" t="s">
        <v>53</v>
      </c>
      <c r="E35" s="167" t="s">
        <v>14</v>
      </c>
      <c r="F35" s="168" t="s">
        <v>52</v>
      </c>
      <c r="G35" s="138">
        <f>SUMIFS('G2-8 Summary'!P:P,'G2-8 Summary'!C:C,A35,'G2-8 Summary'!F:F,E35)</f>
        <v>4</v>
      </c>
      <c r="H35" s="138">
        <f>SUMIFS('G2-8 Summary'!Q:Q,'G2-8 Summary'!C:C,A35,'G2-8 Summary'!F:F,E35)</f>
        <v>48</v>
      </c>
      <c r="I35" s="138">
        <f>SUMIFS('G2-8 Summary'!U:U,'G2-8 Summary'!C:C,A35,'G2-8 Summary'!F:F,E35)</f>
        <v>72076.226459553363</v>
      </c>
      <c r="J35" s="169"/>
      <c r="K35" s="142">
        <v>225</v>
      </c>
      <c r="L35" s="153">
        <v>0.31365999999999999</v>
      </c>
      <c r="M35" s="187"/>
      <c r="N35" s="143"/>
      <c r="O35" s="149">
        <f t="shared" si="14"/>
        <v>10800</v>
      </c>
      <c r="P35" s="149">
        <f t="shared" si="15"/>
        <v>22607.429191303509</v>
      </c>
      <c r="Q35" s="149">
        <f t="shared" si="16"/>
        <v>33407.429191303512</v>
      </c>
      <c r="R35" s="166"/>
      <c r="S35" s="159"/>
      <c r="T35" s="149">
        <f>SUMIFS('G2-8 Summary'!AC:AC,'G2-8 Summary'!$C:$C,$A35,'G2-8 Summary'!$F:$F,$E35)</f>
        <v>6510</v>
      </c>
      <c r="U35" s="149">
        <f>SUMIFS('G2-8 Summary'!AD:AD,'G2-8 Summary'!$C:$C,$A35,'G2-8 Summary'!$F:$F,$E35)</f>
        <v>23421.889747971229</v>
      </c>
      <c r="V35" s="149">
        <f>SUMIFS('G2-8 Summary'!AE:AE,'G2-8 Summary'!$C:$C,$A35,'G2-8 Summary'!$F:$F,$E35)</f>
        <v>331.11211165109717</v>
      </c>
      <c r="W35" s="149">
        <f t="shared" si="17"/>
        <v>30263.001859622327</v>
      </c>
      <c r="X35" s="152"/>
      <c r="Y35" s="152"/>
      <c r="Z35" s="152"/>
      <c r="AA35" s="147">
        <f t="shared" si="21"/>
        <v>39632.863145641022</v>
      </c>
      <c r="AB35" s="147">
        <f t="shared" si="18"/>
        <v>33407.429191303512</v>
      </c>
      <c r="AC35" s="147">
        <f t="shared" si="22"/>
        <v>-6225.4339543375099</v>
      </c>
      <c r="AD35" s="147">
        <f t="shared" si="19"/>
        <v>0</v>
      </c>
      <c r="AE35" s="131"/>
      <c r="AF35" s="171">
        <v>0.33558952856358348</v>
      </c>
      <c r="AG35" s="172">
        <f t="shared" si="23"/>
        <v>0.10390335189704232</v>
      </c>
      <c r="AH35" s="149"/>
      <c r="AI35" s="287">
        <f t="shared" si="20"/>
        <v>0.33558952856358348</v>
      </c>
      <c r="AJ35" s="156"/>
      <c r="AK35" s="141"/>
      <c r="AL35" s="139"/>
      <c r="AM35" s="139"/>
      <c r="AN35" s="139"/>
      <c r="AO35" s="138"/>
      <c r="AP35" s="138"/>
      <c r="AQ35" s="169"/>
      <c r="AR35" s="138"/>
      <c r="AS35" s="138"/>
      <c r="AV35" s="135"/>
      <c r="AW35" s="135"/>
    </row>
    <row r="36" spans="1:49" s="90" customFormat="1" x14ac:dyDescent="0.25">
      <c r="A36" s="167" t="s">
        <v>159</v>
      </c>
      <c r="B36" s="90" t="s">
        <v>55</v>
      </c>
      <c r="C36" s="167" t="s">
        <v>15</v>
      </c>
      <c r="D36" s="90" t="s">
        <v>55</v>
      </c>
      <c r="E36" s="167" t="s">
        <v>15</v>
      </c>
      <c r="F36" s="91" t="s">
        <v>54</v>
      </c>
      <c r="G36" s="138">
        <f>SUMIFS('G2-8 Summary'!P:P,'G2-8 Summary'!C:C,A36,'G2-8 Summary'!F:F,E36)</f>
        <v>1</v>
      </c>
      <c r="H36" s="138">
        <f>SUMIFS('G2-8 Summary'!Q:Q,'G2-8 Summary'!C:C,A36,'G2-8 Summary'!F:F,E36)</f>
        <v>12</v>
      </c>
      <c r="I36" s="138">
        <f>SUMIFS('G2-8 Summary'!U:U,'G2-8 Summary'!C:C,A36,'G2-8 Summary'!F:F,E36)</f>
        <v>119829.02999999998</v>
      </c>
      <c r="J36" s="174"/>
      <c r="K36" s="151">
        <v>300</v>
      </c>
      <c r="L36" s="153">
        <v>0.26922000000000001</v>
      </c>
      <c r="M36" s="187"/>
      <c r="N36" s="72"/>
      <c r="O36" s="149">
        <f t="shared" si="14"/>
        <v>3600</v>
      </c>
      <c r="P36" s="149">
        <f t="shared" si="15"/>
        <v>32260.371456599998</v>
      </c>
      <c r="Q36" s="149">
        <f t="shared" si="16"/>
        <v>35860.371456599998</v>
      </c>
      <c r="R36" s="166"/>
      <c r="S36" s="149"/>
      <c r="T36" s="149">
        <f>SUMIFS('G2-8 Summary'!AC:AC,'G2-8 Summary'!$C:$C,$A36,'G2-8 Summary'!$F:$F,$E36)</f>
        <v>2100</v>
      </c>
      <c r="U36" s="149">
        <f>SUMIFS('G2-8 Summary'!AD:AD,'G2-8 Summary'!$C:$C,$A36,'G2-8 Summary'!$F:$F,$E36)</f>
        <v>26122.728539999996</v>
      </c>
      <c r="V36" s="149">
        <f>SUMIFS('G2-8 Summary'!AE:AE,'G2-8 Summary'!$C:$C,$A36,'G2-8 Summary'!$F:$F,$E36)</f>
        <v>0</v>
      </c>
      <c r="W36" s="149">
        <f t="shared" si="17"/>
        <v>28222.728539999996</v>
      </c>
      <c r="X36" s="152"/>
      <c r="Y36" s="152"/>
      <c r="Z36" s="152"/>
      <c r="AA36" s="147">
        <f t="shared" si="21"/>
        <v>36960.891818031829</v>
      </c>
      <c r="AB36" s="147">
        <f t="shared" si="18"/>
        <v>35860.371456600005</v>
      </c>
      <c r="AC36" s="147">
        <f t="shared" si="22"/>
        <v>-1100.5203614318234</v>
      </c>
      <c r="AD36" s="147">
        <f t="shared" si="19"/>
        <v>0</v>
      </c>
      <c r="AE36" s="131"/>
      <c r="AF36" s="171">
        <v>0.87405587119222294</v>
      </c>
      <c r="AG36" s="172">
        <f t="shared" si="23"/>
        <v>0.27062028767966895</v>
      </c>
      <c r="AH36" s="149"/>
      <c r="AI36" s="287">
        <f t="shared" si="20"/>
        <v>0.87405587119222294</v>
      </c>
      <c r="AJ36" s="156"/>
      <c r="AK36" s="141"/>
      <c r="AL36" s="139"/>
      <c r="AM36" s="139"/>
      <c r="AN36" s="146"/>
      <c r="AO36" s="147"/>
      <c r="AP36" s="147"/>
      <c r="AQ36" s="174"/>
      <c r="AR36" s="147"/>
      <c r="AS36" s="147"/>
      <c r="AV36" s="149"/>
      <c r="AW36" s="149"/>
    </row>
    <row r="37" spans="1:49" s="167" customFormat="1" x14ac:dyDescent="0.25">
      <c r="A37" s="167" t="s">
        <v>159</v>
      </c>
      <c r="B37" s="167" t="s">
        <v>57</v>
      </c>
      <c r="C37" s="167" t="s">
        <v>16</v>
      </c>
      <c r="D37" s="167" t="s">
        <v>57</v>
      </c>
      <c r="E37" s="167" t="s">
        <v>16</v>
      </c>
      <c r="F37" s="168" t="s">
        <v>56</v>
      </c>
      <c r="G37" s="138">
        <f>SUMIFS('G2-8 Summary'!P:P,'G2-8 Summary'!C:C,A37,'G2-8 Summary'!F:F,E37)</f>
        <v>0</v>
      </c>
      <c r="H37" s="138">
        <f>SUMIFS('G2-8 Summary'!Q:Q,'G2-8 Summary'!C:C,A37,'G2-8 Summary'!F:F,E37)</f>
        <v>0</v>
      </c>
      <c r="I37" s="138">
        <f>SUMIFS('G2-8 Summary'!U:U,'G2-8 Summary'!C:C,A37,'G2-8 Summary'!F:F,E37)</f>
        <v>0</v>
      </c>
      <c r="J37" s="169"/>
      <c r="K37" s="142">
        <v>0</v>
      </c>
      <c r="L37" s="153">
        <v>0</v>
      </c>
      <c r="M37" s="187"/>
      <c r="N37" s="143"/>
      <c r="O37" s="149">
        <f t="shared" si="14"/>
        <v>0</v>
      </c>
      <c r="P37" s="149">
        <f t="shared" si="15"/>
        <v>0</v>
      </c>
      <c r="Q37" s="149">
        <f t="shared" si="16"/>
        <v>0</v>
      </c>
      <c r="R37" s="166"/>
      <c r="S37" s="159"/>
      <c r="T37" s="149">
        <f>SUMIFS('G2-8 Summary'!AC:AC,'G2-8 Summary'!$C:$C,$A37,'G2-8 Summary'!$F:$F,$E37)</f>
        <v>0</v>
      </c>
      <c r="U37" s="149">
        <f>SUMIFS('G2-8 Summary'!AD:AD,'G2-8 Summary'!$C:$C,$A37,'G2-8 Summary'!$F:$F,$E37)</f>
        <v>0</v>
      </c>
      <c r="V37" s="149">
        <f>SUMIFS('G2-8 Summary'!AE:AE,'G2-8 Summary'!$C:$C,$A37,'G2-8 Summary'!$F:$F,$E37)</f>
        <v>0</v>
      </c>
      <c r="W37" s="149">
        <f t="shared" si="17"/>
        <v>0</v>
      </c>
      <c r="X37" s="152"/>
      <c r="Y37" s="152"/>
      <c r="Z37" s="152"/>
      <c r="AA37" s="147">
        <f t="shared" si="21"/>
        <v>0</v>
      </c>
      <c r="AB37" s="147">
        <f t="shared" si="18"/>
        <v>0</v>
      </c>
      <c r="AC37" s="147">
        <f t="shared" si="22"/>
        <v>0</v>
      </c>
      <c r="AD37" s="147">
        <f t="shared" si="19"/>
        <v>0</v>
      </c>
      <c r="AE37" s="131"/>
      <c r="AF37" s="171">
        <v>0</v>
      </c>
      <c r="AG37" s="172">
        <f t="shared" si="23"/>
        <v>0</v>
      </c>
      <c r="AH37" s="149"/>
      <c r="AI37" s="287">
        <f t="shared" si="20"/>
        <v>0</v>
      </c>
      <c r="AJ37" s="156"/>
      <c r="AK37" s="141"/>
      <c r="AL37" s="139"/>
      <c r="AM37" s="139"/>
      <c r="AN37" s="139"/>
      <c r="AO37" s="138"/>
      <c r="AP37" s="138"/>
      <c r="AQ37" s="169"/>
      <c r="AR37" s="138"/>
      <c r="AS37" s="138"/>
      <c r="AV37" s="135"/>
      <c r="AW37" s="135"/>
    </row>
    <row r="38" spans="1:49" s="167" customFormat="1" x14ac:dyDescent="0.25">
      <c r="A38" s="167" t="s">
        <v>159</v>
      </c>
      <c r="B38" s="167" t="s">
        <v>59</v>
      </c>
      <c r="C38" s="167" t="s">
        <v>17</v>
      </c>
      <c r="D38" s="167" t="s">
        <v>59</v>
      </c>
      <c r="E38" s="167" t="s">
        <v>17</v>
      </c>
      <c r="F38" s="168" t="s">
        <v>58</v>
      </c>
      <c r="G38" s="138">
        <f>SUMIFS('G2-8 Summary'!P:P,'G2-8 Summary'!C:C,A38,'G2-8 Summary'!F:F,E38)</f>
        <v>0</v>
      </c>
      <c r="H38" s="138">
        <f>SUMIFS('G2-8 Summary'!Q:Q,'G2-8 Summary'!C:C,A38,'G2-8 Summary'!F:F,E38)</f>
        <v>0</v>
      </c>
      <c r="I38" s="138">
        <f>SUMIFS('G2-8 Summary'!U:U,'G2-8 Summary'!C:C,A38,'G2-8 Summary'!F:F,E38)</f>
        <v>0</v>
      </c>
      <c r="J38" s="169"/>
      <c r="K38" s="142">
        <v>0</v>
      </c>
      <c r="L38" s="153">
        <v>0</v>
      </c>
      <c r="M38" s="187"/>
      <c r="N38" s="143"/>
      <c r="O38" s="149">
        <f t="shared" si="14"/>
        <v>0</v>
      </c>
      <c r="P38" s="149">
        <f t="shared" si="15"/>
        <v>0</v>
      </c>
      <c r="Q38" s="149">
        <f t="shared" si="16"/>
        <v>0</v>
      </c>
      <c r="R38" s="166"/>
      <c r="S38" s="159"/>
      <c r="T38" s="149">
        <f>SUMIFS('G2-8 Summary'!AC:AC,'G2-8 Summary'!$C:$C,$A38,'G2-8 Summary'!$F:$F,$E38)</f>
        <v>0</v>
      </c>
      <c r="U38" s="149">
        <f>SUMIFS('G2-8 Summary'!AD:AD,'G2-8 Summary'!$C:$C,$A38,'G2-8 Summary'!$F:$F,$E38)</f>
        <v>0</v>
      </c>
      <c r="V38" s="149">
        <f>SUMIFS('G2-8 Summary'!AE:AE,'G2-8 Summary'!$C:$C,$A38,'G2-8 Summary'!$F:$F,$E38)</f>
        <v>0</v>
      </c>
      <c r="W38" s="149">
        <f t="shared" si="17"/>
        <v>0</v>
      </c>
      <c r="X38" s="152"/>
      <c r="Y38" s="152"/>
      <c r="Z38" s="152"/>
      <c r="AA38" s="147">
        <f t="shared" si="21"/>
        <v>0</v>
      </c>
      <c r="AB38" s="147">
        <f t="shared" si="18"/>
        <v>0</v>
      </c>
      <c r="AC38" s="147">
        <f t="shared" si="22"/>
        <v>0</v>
      </c>
      <c r="AD38" s="147">
        <f t="shared" si="19"/>
        <v>0</v>
      </c>
      <c r="AE38" s="131"/>
      <c r="AF38" s="171">
        <v>0</v>
      </c>
      <c r="AG38" s="172">
        <f t="shared" si="23"/>
        <v>0</v>
      </c>
      <c r="AH38" s="149"/>
      <c r="AI38" s="287">
        <f t="shared" si="20"/>
        <v>0</v>
      </c>
      <c r="AJ38" s="156"/>
      <c r="AK38" s="141"/>
      <c r="AL38" s="139"/>
      <c r="AM38" s="139"/>
      <c r="AN38" s="139"/>
      <c r="AO38" s="138"/>
      <c r="AP38" s="138"/>
      <c r="AQ38" s="169"/>
      <c r="AR38" s="138"/>
      <c r="AS38" s="138"/>
      <c r="AV38" s="135"/>
      <c r="AW38" s="135"/>
    </row>
    <row r="39" spans="1:49" s="167" customFormat="1" x14ac:dyDescent="0.25">
      <c r="A39" s="167" t="s">
        <v>159</v>
      </c>
      <c r="B39" s="167" t="s">
        <v>269</v>
      </c>
      <c r="C39" s="167" t="s">
        <v>267</v>
      </c>
      <c r="D39" s="167" t="s">
        <v>269</v>
      </c>
      <c r="E39" s="167" t="s">
        <v>267</v>
      </c>
      <c r="F39" s="168" t="s">
        <v>60</v>
      </c>
      <c r="G39" s="138">
        <f>SUMIFS('G2-8 Summary'!P:P,'G2-8 Summary'!C:C,A39,'G2-8 Summary'!F:F,E39)</f>
        <v>0</v>
      </c>
      <c r="H39" s="138">
        <f>SUMIFS('G2-8 Summary'!Q:Q,'G2-8 Summary'!C:C,A39,'G2-8 Summary'!F:F,E39)</f>
        <v>0</v>
      </c>
      <c r="I39" s="138">
        <f>SUMIFS('G2-8 Summary'!U:U,'G2-8 Summary'!C:C,A39,'G2-8 Summary'!F:F,E39)</f>
        <v>0</v>
      </c>
      <c r="J39" s="169"/>
      <c r="K39" s="142">
        <v>0</v>
      </c>
      <c r="L39" s="153">
        <v>0</v>
      </c>
      <c r="M39" s="187"/>
      <c r="N39" s="143"/>
      <c r="O39" s="149">
        <f t="shared" si="14"/>
        <v>0</v>
      </c>
      <c r="P39" s="149">
        <f t="shared" si="15"/>
        <v>0</v>
      </c>
      <c r="Q39" s="149">
        <f t="shared" si="16"/>
        <v>0</v>
      </c>
      <c r="R39" s="166"/>
      <c r="S39" s="159"/>
      <c r="T39" s="149">
        <f>SUMIFS('G2-8 Summary'!AC:AC,'G2-8 Summary'!$C:$C,$A39,'G2-8 Summary'!$F:$F,$E39)</f>
        <v>0</v>
      </c>
      <c r="U39" s="149">
        <f>SUMIFS('G2-8 Summary'!AD:AD,'G2-8 Summary'!$C:$C,$A39,'G2-8 Summary'!$F:$F,$E39)</f>
        <v>0</v>
      </c>
      <c r="V39" s="149">
        <f>SUMIFS('G2-8 Summary'!AE:AE,'G2-8 Summary'!$C:$C,$A39,'G2-8 Summary'!$F:$F,$E39)</f>
        <v>0</v>
      </c>
      <c r="W39" s="149">
        <f t="shared" si="17"/>
        <v>0</v>
      </c>
      <c r="X39" s="152"/>
      <c r="Y39" s="152"/>
      <c r="Z39" s="152"/>
      <c r="AA39" s="147">
        <f t="shared" si="21"/>
        <v>0</v>
      </c>
      <c r="AB39" s="147">
        <f t="shared" si="18"/>
        <v>0</v>
      </c>
      <c r="AC39" s="147">
        <f t="shared" si="22"/>
        <v>0</v>
      </c>
      <c r="AD39" s="147">
        <f t="shared" si="19"/>
        <v>0</v>
      </c>
      <c r="AE39" s="131"/>
      <c r="AF39" s="171">
        <v>0</v>
      </c>
      <c r="AG39" s="172">
        <f t="shared" si="23"/>
        <v>0</v>
      </c>
      <c r="AH39" s="149"/>
      <c r="AI39" s="287">
        <f t="shared" si="20"/>
        <v>0</v>
      </c>
      <c r="AJ39" s="156"/>
      <c r="AK39" s="141"/>
      <c r="AL39" s="139"/>
      <c r="AM39" s="139"/>
      <c r="AN39" s="139"/>
      <c r="AO39" s="138"/>
      <c r="AP39" s="138"/>
      <c r="AQ39" s="169"/>
      <c r="AR39" s="138"/>
      <c r="AS39" s="138"/>
      <c r="AV39" s="135"/>
      <c r="AW39" s="135"/>
    </row>
    <row r="40" spans="1:49" s="167" customFormat="1" x14ac:dyDescent="0.25">
      <c r="A40" s="167" t="s">
        <v>159</v>
      </c>
      <c r="B40" s="167" t="s">
        <v>61</v>
      </c>
      <c r="C40" s="167" t="s">
        <v>18</v>
      </c>
      <c r="D40" s="167" t="s">
        <v>61</v>
      </c>
      <c r="E40" s="167" t="s">
        <v>18</v>
      </c>
      <c r="F40" s="168" t="s">
        <v>254</v>
      </c>
      <c r="G40" s="138">
        <f>SUMIFS('G2-8 Summary'!P:P,'G2-8 Summary'!C:C,A40,'G2-8 Summary'!F:F,E40)</f>
        <v>0</v>
      </c>
      <c r="H40" s="138">
        <f>SUMIFS('G2-8 Summary'!Q:Q,'G2-8 Summary'!C:C,A40,'G2-8 Summary'!F:F,E40)</f>
        <v>0</v>
      </c>
      <c r="I40" s="138">
        <f>SUMIFS('G2-8 Summary'!U:U,'G2-8 Summary'!C:C,A40,'G2-8 Summary'!F:F,E40)</f>
        <v>0</v>
      </c>
      <c r="J40" s="169"/>
      <c r="K40" s="142">
        <v>0</v>
      </c>
      <c r="L40" s="153">
        <v>0</v>
      </c>
      <c r="M40" s="187"/>
      <c r="N40" s="143"/>
      <c r="O40" s="149">
        <f t="shared" si="14"/>
        <v>0</v>
      </c>
      <c r="P40" s="149">
        <f t="shared" si="15"/>
        <v>0</v>
      </c>
      <c r="Q40" s="149">
        <f t="shared" si="16"/>
        <v>0</v>
      </c>
      <c r="R40" s="166"/>
      <c r="S40" s="159"/>
      <c r="T40" s="149">
        <f>SUMIFS('G2-8 Summary'!AC:AC,'G2-8 Summary'!$C:$C,$A40,'G2-8 Summary'!$F:$F,$E40)</f>
        <v>0</v>
      </c>
      <c r="U40" s="149">
        <f>SUMIFS('G2-8 Summary'!AD:AD,'G2-8 Summary'!$C:$C,$A40,'G2-8 Summary'!$F:$F,$E40)</f>
        <v>0</v>
      </c>
      <c r="V40" s="149">
        <f>SUMIFS('G2-8 Summary'!AE:AE,'G2-8 Summary'!$C:$C,$A40,'G2-8 Summary'!$F:$F,$E40)</f>
        <v>0</v>
      </c>
      <c r="W40" s="149">
        <f t="shared" si="17"/>
        <v>0</v>
      </c>
      <c r="X40" s="152"/>
      <c r="Y40" s="152"/>
      <c r="Z40" s="152"/>
      <c r="AA40" s="147">
        <f t="shared" si="21"/>
        <v>0</v>
      </c>
      <c r="AB40" s="147">
        <f t="shared" si="18"/>
        <v>0</v>
      </c>
      <c r="AC40" s="147">
        <f t="shared" si="22"/>
        <v>0</v>
      </c>
      <c r="AD40" s="147">
        <f t="shared" si="19"/>
        <v>0</v>
      </c>
      <c r="AE40" s="131"/>
      <c r="AF40" s="171">
        <v>0</v>
      </c>
      <c r="AG40" s="172">
        <f t="shared" si="23"/>
        <v>0</v>
      </c>
      <c r="AH40" s="149"/>
      <c r="AI40" s="287">
        <f t="shared" si="20"/>
        <v>0</v>
      </c>
      <c r="AJ40" s="156"/>
      <c r="AK40" s="141"/>
      <c r="AL40" s="139"/>
      <c r="AM40" s="139"/>
      <c r="AN40" s="139"/>
      <c r="AO40" s="138"/>
      <c r="AP40" s="138"/>
      <c r="AQ40" s="169"/>
      <c r="AR40" s="138"/>
      <c r="AS40" s="138"/>
      <c r="AV40" s="135"/>
      <c r="AW40" s="135"/>
    </row>
    <row r="41" spans="1:49" s="167" customFormat="1" x14ac:dyDescent="0.25">
      <c r="A41" s="167" t="s">
        <v>159</v>
      </c>
      <c r="B41" s="167" t="s">
        <v>62</v>
      </c>
      <c r="C41" s="167" t="s">
        <v>19</v>
      </c>
      <c r="D41" s="167" t="s">
        <v>62</v>
      </c>
      <c r="E41" s="167" t="s">
        <v>19</v>
      </c>
      <c r="F41" s="168" t="s">
        <v>45</v>
      </c>
      <c r="G41" s="138">
        <f>SUMIFS('G2-8 Summary'!P:P,'G2-8 Summary'!C:C,A41,'G2-8 Summary'!F:F,E41)</f>
        <v>0</v>
      </c>
      <c r="H41" s="138">
        <f>SUMIFS('G2-8 Summary'!Q:Q,'G2-8 Summary'!C:C,A41,'G2-8 Summary'!F:F,E41)</f>
        <v>0</v>
      </c>
      <c r="I41" s="138">
        <f>SUMIFS('G2-8 Summary'!U:U,'G2-8 Summary'!C:C,A41,'G2-8 Summary'!F:F,E41)</f>
        <v>0</v>
      </c>
      <c r="J41" s="169"/>
      <c r="K41" s="142">
        <v>0</v>
      </c>
      <c r="L41" s="153">
        <v>0</v>
      </c>
      <c r="M41" s="187"/>
      <c r="N41" s="143"/>
      <c r="O41" s="149">
        <f t="shared" si="14"/>
        <v>0</v>
      </c>
      <c r="P41" s="149">
        <f t="shared" si="15"/>
        <v>0</v>
      </c>
      <c r="Q41" s="149">
        <f t="shared" si="16"/>
        <v>0</v>
      </c>
      <c r="R41" s="166"/>
      <c r="S41" s="159"/>
      <c r="T41" s="149">
        <f>SUMIFS('G2-8 Summary'!AC:AC,'G2-8 Summary'!$C:$C,$A41,'G2-8 Summary'!$F:$F,$E41)</f>
        <v>0</v>
      </c>
      <c r="U41" s="149">
        <f>SUMIFS('G2-8 Summary'!AD:AD,'G2-8 Summary'!$C:$C,$A41,'G2-8 Summary'!$F:$F,$E41)</f>
        <v>0</v>
      </c>
      <c r="V41" s="149">
        <f>SUMIFS('G2-8 Summary'!AE:AE,'G2-8 Summary'!$C:$C,$A41,'G2-8 Summary'!$F:$F,$E41)</f>
        <v>0</v>
      </c>
      <c r="W41" s="149">
        <f t="shared" si="17"/>
        <v>0</v>
      </c>
      <c r="X41" s="152"/>
      <c r="Y41" s="152"/>
      <c r="Z41" s="152"/>
      <c r="AA41" s="147">
        <f t="shared" si="21"/>
        <v>0</v>
      </c>
      <c r="AB41" s="147">
        <f t="shared" si="18"/>
        <v>0</v>
      </c>
      <c r="AC41" s="147">
        <f t="shared" si="22"/>
        <v>0</v>
      </c>
      <c r="AD41" s="147">
        <f t="shared" si="19"/>
        <v>0</v>
      </c>
      <c r="AE41" s="131"/>
      <c r="AF41" s="171">
        <v>0</v>
      </c>
      <c r="AG41" s="172">
        <f t="shared" si="23"/>
        <v>0</v>
      </c>
      <c r="AH41" s="149"/>
      <c r="AI41" s="287">
        <f t="shared" si="20"/>
        <v>0</v>
      </c>
      <c r="AJ41" s="156"/>
      <c r="AK41" s="141"/>
      <c r="AL41" s="139"/>
      <c r="AM41" s="139"/>
      <c r="AN41" s="139"/>
      <c r="AO41" s="138"/>
      <c r="AP41" s="138"/>
      <c r="AQ41" s="169"/>
      <c r="AR41" s="138"/>
      <c r="AS41" s="138"/>
      <c r="AV41" s="135"/>
      <c r="AW41" s="135"/>
    </row>
    <row r="42" spans="1:49" s="167" customFormat="1" x14ac:dyDescent="0.25">
      <c r="A42" s="167" t="s">
        <v>159</v>
      </c>
      <c r="B42" s="167" t="s">
        <v>63</v>
      </c>
      <c r="C42" s="167" t="s">
        <v>20</v>
      </c>
      <c r="D42" s="167" t="s">
        <v>63</v>
      </c>
      <c r="E42" s="167" t="s">
        <v>20</v>
      </c>
      <c r="F42" s="168" t="s">
        <v>45</v>
      </c>
      <c r="G42" s="138">
        <f>SUMIFS('G2-8 Summary'!P:P,'G2-8 Summary'!C:C,A42,'G2-8 Summary'!F:F,E42)</f>
        <v>0</v>
      </c>
      <c r="H42" s="138">
        <f>SUMIFS('G2-8 Summary'!Q:Q,'G2-8 Summary'!C:C,A42,'G2-8 Summary'!F:F,E42)</f>
        <v>0</v>
      </c>
      <c r="I42" s="138">
        <f>SUMIFS('G2-8 Summary'!U:U,'G2-8 Summary'!C:C,A42,'G2-8 Summary'!F:F,E42)</f>
        <v>0</v>
      </c>
      <c r="J42" s="169"/>
      <c r="K42" s="142">
        <v>0</v>
      </c>
      <c r="L42" s="153">
        <v>0</v>
      </c>
      <c r="M42" s="187"/>
      <c r="N42" s="143"/>
      <c r="O42" s="149">
        <f t="shared" si="14"/>
        <v>0</v>
      </c>
      <c r="P42" s="149">
        <f t="shared" si="15"/>
        <v>0</v>
      </c>
      <c r="Q42" s="149">
        <f t="shared" si="16"/>
        <v>0</v>
      </c>
      <c r="R42" s="166"/>
      <c r="S42" s="159"/>
      <c r="T42" s="149">
        <f>SUMIFS('G2-8 Summary'!AC:AC,'G2-8 Summary'!$C:$C,$A42,'G2-8 Summary'!$F:$F,$E42)</f>
        <v>0</v>
      </c>
      <c r="U42" s="149">
        <f>SUMIFS('G2-8 Summary'!AD:AD,'G2-8 Summary'!$C:$C,$A42,'G2-8 Summary'!$F:$F,$E42)</f>
        <v>0</v>
      </c>
      <c r="V42" s="149">
        <f>SUMIFS('G2-8 Summary'!AE:AE,'G2-8 Summary'!$C:$C,$A42,'G2-8 Summary'!$F:$F,$E42)</f>
        <v>0</v>
      </c>
      <c r="W42" s="149">
        <f t="shared" si="17"/>
        <v>0</v>
      </c>
      <c r="X42" s="152"/>
      <c r="Y42" s="152"/>
      <c r="Z42" s="152"/>
      <c r="AA42" s="147">
        <f t="shared" si="21"/>
        <v>0</v>
      </c>
      <c r="AB42" s="147">
        <f t="shared" si="18"/>
        <v>0</v>
      </c>
      <c r="AC42" s="147">
        <f t="shared" si="22"/>
        <v>0</v>
      </c>
      <c r="AD42" s="147">
        <f t="shared" si="19"/>
        <v>0</v>
      </c>
      <c r="AE42" s="131"/>
      <c r="AF42" s="171">
        <v>0</v>
      </c>
      <c r="AG42" s="172">
        <f t="shared" si="23"/>
        <v>0</v>
      </c>
      <c r="AH42" s="149"/>
      <c r="AI42" s="287">
        <f t="shared" si="20"/>
        <v>0</v>
      </c>
      <c r="AJ42" s="156"/>
      <c r="AK42" s="141"/>
      <c r="AL42" s="139"/>
      <c r="AM42" s="139"/>
      <c r="AN42" s="139"/>
      <c r="AO42" s="138"/>
      <c r="AP42" s="138"/>
      <c r="AQ42" s="169"/>
      <c r="AR42" s="138"/>
      <c r="AS42" s="138"/>
      <c r="AV42" s="135"/>
      <c r="AW42" s="135"/>
    </row>
    <row r="43" spans="1:49" s="167" customFormat="1" ht="17.25" x14ac:dyDescent="0.4">
      <c r="A43" s="167" t="s">
        <v>159</v>
      </c>
      <c r="B43" s="167" t="s">
        <v>64</v>
      </c>
      <c r="C43" s="167" t="s">
        <v>21</v>
      </c>
      <c r="D43" s="167" t="s">
        <v>64</v>
      </c>
      <c r="E43" s="167" t="s">
        <v>21</v>
      </c>
      <c r="F43" s="168" t="s">
        <v>45</v>
      </c>
      <c r="G43" s="35">
        <f>SUMIFS('G2-8 Summary'!P:P,'G2-8 Summary'!C:C,A43,'G2-8 Summary'!F:F,E43)</f>
        <v>0</v>
      </c>
      <c r="H43" s="35">
        <f>SUMIFS('G2-8 Summary'!Q:Q,'G2-8 Summary'!C:C,A43,'G2-8 Summary'!F:F,E43)</f>
        <v>0</v>
      </c>
      <c r="I43" s="35">
        <f>SUMIFS('G2-8 Summary'!U:U,'G2-8 Summary'!C:C,A43,'G2-8 Summary'!F:F,E43)</f>
        <v>0</v>
      </c>
      <c r="J43" s="169"/>
      <c r="K43" s="142">
        <v>0</v>
      </c>
      <c r="L43" s="153">
        <v>0</v>
      </c>
      <c r="M43" s="187"/>
      <c r="N43" s="143"/>
      <c r="O43" s="79">
        <f t="shared" si="14"/>
        <v>0</v>
      </c>
      <c r="P43" s="79">
        <f t="shared" si="15"/>
        <v>0</v>
      </c>
      <c r="Q43" s="79">
        <f t="shared" si="16"/>
        <v>0</v>
      </c>
      <c r="R43" s="166"/>
      <c r="S43" s="159"/>
      <c r="T43" s="292">
        <f>SUMIFS('G2-8 Summary'!AC:AC,'G2-8 Summary'!$C:$C,$A43,'G2-8 Summary'!$F:$F,$E43)</f>
        <v>0</v>
      </c>
      <c r="U43" s="292">
        <f>SUMIFS('G2-8 Summary'!AD:AD,'G2-8 Summary'!$C:$C,$A43,'G2-8 Summary'!$F:$F,$E43)</f>
        <v>0</v>
      </c>
      <c r="V43" s="292">
        <f>SUMIFS('G2-8 Summary'!AE:AE,'G2-8 Summary'!$C:$C,$A43,'G2-8 Summary'!$F:$F,$E43)</f>
        <v>0</v>
      </c>
      <c r="W43" s="292">
        <f t="shared" si="17"/>
        <v>0</v>
      </c>
      <c r="X43" s="152"/>
      <c r="Y43" s="152"/>
      <c r="Z43" s="152"/>
      <c r="AA43" s="147">
        <f t="shared" si="21"/>
        <v>0</v>
      </c>
      <c r="AB43" s="147">
        <f t="shared" si="18"/>
        <v>0</v>
      </c>
      <c r="AC43" s="147">
        <f t="shared" si="22"/>
        <v>0</v>
      </c>
      <c r="AD43" s="147">
        <f t="shared" si="19"/>
        <v>0</v>
      </c>
      <c r="AE43" s="131"/>
      <c r="AF43" s="171">
        <v>0</v>
      </c>
      <c r="AG43" s="172">
        <f t="shared" si="23"/>
        <v>0</v>
      </c>
      <c r="AH43" s="292"/>
      <c r="AI43" s="287">
        <f t="shared" si="20"/>
        <v>0</v>
      </c>
      <c r="AJ43" s="156"/>
      <c r="AK43" s="141"/>
      <c r="AL43" s="139"/>
      <c r="AM43" s="139"/>
      <c r="AN43" s="139"/>
      <c r="AO43" s="138"/>
      <c r="AP43" s="138"/>
      <c r="AQ43" s="169"/>
      <c r="AR43" s="138"/>
      <c r="AS43" s="138"/>
      <c r="AV43" s="135"/>
      <c r="AW43" s="135"/>
    </row>
    <row r="44" spans="1:49" s="167" customFormat="1" x14ac:dyDescent="0.25">
      <c r="F44" s="168"/>
      <c r="G44" s="21">
        <f>SUM(G28:G43)</f>
        <v>531</v>
      </c>
      <c r="H44" s="21">
        <f>SUM(H28:H43)</f>
        <v>6372</v>
      </c>
      <c r="I44" s="21">
        <f>SUM(I28:I43)</f>
        <v>299892.55095466727</v>
      </c>
      <c r="J44" s="169"/>
      <c r="K44" s="142"/>
      <c r="L44" s="153"/>
      <c r="M44" s="187"/>
      <c r="N44" s="143"/>
      <c r="O44" s="30">
        <f t="shared" ref="O44:Q44" si="24">SUM(O28:O43)</f>
        <v>102828</v>
      </c>
      <c r="P44" s="30">
        <f t="shared" si="24"/>
        <v>116341.42711705518</v>
      </c>
      <c r="Q44" s="30">
        <f t="shared" si="24"/>
        <v>219169.42711705514</v>
      </c>
      <c r="R44" s="166"/>
      <c r="S44" s="159"/>
      <c r="T44" s="30">
        <f t="shared" ref="T44:W44" si="25">SUM(T28:T43)</f>
        <v>65502</v>
      </c>
      <c r="U44" s="30">
        <f t="shared" si="25"/>
        <v>109693.5413217497</v>
      </c>
      <c r="V44" s="30">
        <f t="shared" si="25"/>
        <v>9756.5178978151271</v>
      </c>
      <c r="W44" s="30">
        <f t="shared" si="25"/>
        <v>184952.05921956484</v>
      </c>
      <c r="X44" s="152"/>
      <c r="Y44" s="152"/>
      <c r="Z44" s="30"/>
      <c r="AA44" s="118">
        <f>SUM(AA28:AA43)</f>
        <v>242215.88081563119</v>
      </c>
      <c r="AB44" s="118">
        <f>SUM(AB28:AB43)</f>
        <v>219169.42711705514</v>
      </c>
      <c r="AC44" s="118">
        <f t="shared" ref="AC44" si="26">SUM(AC28:AC43)</f>
        <v>-23046.453698575999</v>
      </c>
      <c r="AD44" s="118">
        <f t="shared" ref="AD44" si="27">SUM(AD28:AD43)</f>
        <v>0</v>
      </c>
      <c r="AE44" s="90"/>
      <c r="AF44" s="171"/>
      <c r="AG44" s="90"/>
      <c r="AH44" s="30"/>
      <c r="AI44" s="288"/>
      <c r="AJ44" s="156"/>
      <c r="AK44" s="141"/>
      <c r="AL44" s="139"/>
      <c r="AM44" s="139"/>
      <c r="AN44" s="139"/>
      <c r="AO44" s="138"/>
      <c r="AP44" s="138"/>
      <c r="AQ44" s="169"/>
      <c r="AR44" s="138"/>
      <c r="AS44" s="138"/>
      <c r="AV44" s="135"/>
      <c r="AW44" s="135"/>
    </row>
    <row r="45" spans="1:49" s="167" customFormat="1" x14ac:dyDescent="0.25">
      <c r="F45" s="168"/>
      <c r="G45" s="21"/>
      <c r="H45" s="21"/>
      <c r="I45" s="21"/>
      <c r="J45" s="169"/>
      <c r="K45" s="142"/>
      <c r="L45" s="153"/>
      <c r="M45" s="187"/>
      <c r="N45" s="143"/>
      <c r="O45" s="30"/>
      <c r="P45" s="30"/>
      <c r="Q45" s="30">
        <f>Q44-(W44+X45)</f>
        <v>34217.367897490301</v>
      </c>
      <c r="R45" s="30"/>
      <c r="S45" s="159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75"/>
      <c r="AG45" s="30"/>
      <c r="AH45" s="30"/>
      <c r="AI45" s="288"/>
      <c r="AJ45" s="156"/>
      <c r="AK45" s="141"/>
      <c r="AL45" s="139"/>
      <c r="AM45" s="139"/>
      <c r="AN45" s="139"/>
      <c r="AO45" s="138"/>
      <c r="AP45" s="138"/>
      <c r="AQ45" s="169"/>
      <c r="AR45" s="138"/>
      <c r="AS45" s="138"/>
      <c r="AV45" s="135"/>
      <c r="AW45" s="135"/>
    </row>
    <row r="46" spans="1:49" s="167" customFormat="1" x14ac:dyDescent="0.25">
      <c r="F46" s="168"/>
      <c r="G46" s="21"/>
      <c r="H46" s="21"/>
      <c r="I46" s="21"/>
      <c r="J46" s="169"/>
      <c r="K46" s="142"/>
      <c r="L46" s="153"/>
      <c r="M46" s="187"/>
      <c r="N46" s="143"/>
      <c r="O46" s="30"/>
      <c r="P46" s="30"/>
      <c r="Q46" s="30"/>
      <c r="R46" s="30"/>
      <c r="S46" s="159"/>
      <c r="T46" s="30"/>
      <c r="U46" s="30"/>
      <c r="V46" s="30"/>
      <c r="W46" s="30">
        <f>Q44-W44</f>
        <v>34217.367897490301</v>
      </c>
      <c r="X46" s="140">
        <f>W46/W44</f>
        <v>0.18500668790537411</v>
      </c>
      <c r="Y46" s="30"/>
      <c r="Z46" s="30"/>
      <c r="AA46" s="30"/>
      <c r="AB46" s="30"/>
      <c r="AC46" s="30"/>
      <c r="AD46" s="30"/>
      <c r="AE46" s="30"/>
      <c r="AF46" s="175"/>
      <c r="AG46" s="30"/>
      <c r="AH46" s="30"/>
      <c r="AI46" s="288"/>
      <c r="AJ46" s="156"/>
      <c r="AK46" s="141"/>
      <c r="AL46" s="139"/>
      <c r="AM46" s="139"/>
      <c r="AN46" s="139"/>
      <c r="AO46" s="138"/>
      <c r="AP46" s="138"/>
      <c r="AQ46" s="169"/>
      <c r="AR46" s="138"/>
      <c r="AS46" s="138"/>
      <c r="AV46" s="135"/>
      <c r="AW46" s="135"/>
    </row>
    <row r="47" spans="1:49" s="167" customFormat="1" x14ac:dyDescent="0.25">
      <c r="F47" s="168"/>
      <c r="G47" s="21"/>
      <c r="H47" s="291"/>
      <c r="I47" s="21"/>
      <c r="J47" s="169"/>
      <c r="K47" s="142"/>
      <c r="L47" s="153"/>
      <c r="M47" s="187"/>
      <c r="N47" s="143"/>
      <c r="O47" s="30"/>
      <c r="P47" s="30"/>
      <c r="Q47" s="30"/>
      <c r="R47" s="30"/>
      <c r="S47" s="159"/>
      <c r="T47" s="30"/>
      <c r="U47" s="30"/>
      <c r="V47" s="30"/>
      <c r="W47" s="30"/>
      <c r="X47" s="30"/>
      <c r="Y47" s="30"/>
      <c r="Z47" s="30"/>
      <c r="AA47" s="110"/>
      <c r="AB47" s="110"/>
      <c r="AC47" s="30"/>
      <c r="AD47" s="30"/>
      <c r="AE47" s="30"/>
      <c r="AF47" s="175"/>
      <c r="AG47" s="30"/>
      <c r="AH47" s="30"/>
      <c r="AI47" s="288"/>
      <c r="AJ47" s="156"/>
      <c r="AK47" s="141"/>
      <c r="AL47" s="139"/>
      <c r="AM47" s="139"/>
      <c r="AN47" s="139"/>
      <c r="AO47" s="138"/>
      <c r="AP47" s="138"/>
      <c r="AQ47" s="169"/>
      <c r="AR47" s="138"/>
      <c r="AS47" s="138"/>
      <c r="AV47" s="135"/>
      <c r="AW47" s="135"/>
    </row>
    <row r="48" spans="1:49" s="167" customFormat="1" x14ac:dyDescent="0.25">
      <c r="A48" s="155" t="s">
        <v>257</v>
      </c>
      <c r="B48" s="167" t="s">
        <v>40</v>
      </c>
      <c r="C48" s="167" t="s">
        <v>8</v>
      </c>
      <c r="D48" s="167" t="s">
        <v>40</v>
      </c>
      <c r="E48" s="167" t="s">
        <v>8</v>
      </c>
      <c r="F48" s="168" t="s">
        <v>39</v>
      </c>
      <c r="G48" s="138">
        <f>SUMIFS('G2-8 Summary'!P:P,'G2-8 Summary'!K:K,A48,'G2-8 Summary'!H:H,E48)</f>
        <v>27825</v>
      </c>
      <c r="H48" s="138">
        <f>SUMIFS('G2-8 Summary'!Q:Q,'G2-8 Summary'!K:K,A48,'G2-8 Summary'!H:H,E48)</f>
        <v>333900</v>
      </c>
      <c r="I48" s="138">
        <f>SUMIFS('G2-8 Summary'!U:U,'G2-8 Summary'!K:K,A48,'G2-8 Summary'!H:H,E48)</f>
        <v>1499409.2244781579</v>
      </c>
      <c r="J48" s="169"/>
      <c r="K48" s="142">
        <v>16.5</v>
      </c>
      <c r="L48" s="153">
        <f>ROUND(M48,5)</f>
        <v>0.65229000000000004</v>
      </c>
      <c r="M48" s="187">
        <f>(AB48-O48)/I48</f>
        <v>0.65229000000000004</v>
      </c>
      <c r="O48" s="149">
        <f t="shared" ref="O48:O66" si="28">K48*$H48</f>
        <v>5509350</v>
      </c>
      <c r="P48" s="149">
        <f t="shared" ref="P48:P66" si="29">I48*L48</f>
        <v>978049.6430348577</v>
      </c>
      <c r="Q48" s="149">
        <f t="shared" ref="Q48:Q66" si="30">SUM(O48:P48)</f>
        <v>6487399.6430348577</v>
      </c>
      <c r="R48" s="166"/>
      <c r="S48" s="159"/>
      <c r="T48" s="170">
        <f>SUMIFS('G2-8 Summary'!AC:AC,'G2-8 Summary'!$K:$K,$A48,'G2-8 Summary'!$H:$H,$E48)</f>
        <v>4242324</v>
      </c>
      <c r="U48" s="170">
        <f>SUMIFS('G2-8 Summary'!AD:AD,'G2-8 Summary'!$K:$K,$A48,'G2-8 Summary'!$H:$H,$E48)</f>
        <v>731860.19792756019</v>
      </c>
      <c r="V48" s="170">
        <f>SUMIFS('G2-8 Summary'!AE:AE,'G2-8 Summary'!$K:$K,$A48,'G2-8 Summary'!$H:$H,$E48)</f>
        <v>426364.25622588466</v>
      </c>
      <c r="W48" s="170">
        <f t="shared" ref="W48:W66" si="31">SUM(T48:V48)</f>
        <v>5400548.4541534455</v>
      </c>
      <c r="X48" s="152"/>
      <c r="Y48" s="152"/>
      <c r="Z48" s="160"/>
      <c r="AA48" s="147">
        <f>W48*$F$97+W48</f>
        <v>7072636.0454163421</v>
      </c>
      <c r="AB48" s="147">
        <f t="shared" ref="AB48:AB66" si="32">W48*(1+AG48)</f>
        <v>6487399.6430348577</v>
      </c>
      <c r="AC48" s="147">
        <f>AB48-AA48</f>
        <v>-585236.4023814844</v>
      </c>
      <c r="AD48" s="147">
        <f t="shared" ref="AD48:AD66" si="33">Q48-AB48</f>
        <v>0</v>
      </c>
      <c r="AE48" s="175"/>
      <c r="AF48" s="171">
        <v>0.6499965639123807</v>
      </c>
      <c r="AG48" s="172">
        <f>$F$97*AF48</f>
        <v>0.20124829878075409</v>
      </c>
      <c r="AH48" s="173"/>
      <c r="AI48" s="287">
        <f t="shared" ref="AI48:AI66" si="34">((Q48-W48)/W48)/$F$97</f>
        <v>0.6499965639123807</v>
      </c>
      <c r="AJ48" s="156"/>
      <c r="AK48" s="141"/>
      <c r="AL48" s="139"/>
      <c r="AM48" s="139"/>
      <c r="AN48" s="139"/>
      <c r="AO48" s="138"/>
      <c r="AP48" s="138"/>
      <c r="AQ48" s="169"/>
      <c r="AR48" s="138"/>
      <c r="AS48" s="138"/>
      <c r="AV48" s="135"/>
      <c r="AW48" s="135"/>
    </row>
    <row r="49" spans="1:49" s="167" customFormat="1" x14ac:dyDescent="0.25">
      <c r="A49" s="155" t="s">
        <v>257</v>
      </c>
      <c r="B49" s="167" t="s">
        <v>42</v>
      </c>
      <c r="C49" s="167" t="s">
        <v>9</v>
      </c>
      <c r="D49" s="167" t="s">
        <v>42</v>
      </c>
      <c r="E49" s="167" t="s">
        <v>9</v>
      </c>
      <c r="F49" s="168" t="s">
        <v>41</v>
      </c>
      <c r="G49" s="138">
        <f>SUMIFS('G2-8 Summary'!P:P,'G2-8 Summary'!K:K,A49,'G2-8 Summary'!H:H,E49)</f>
        <v>37005</v>
      </c>
      <c r="H49" s="138">
        <f>SUMIFS('G2-8 Summary'!Q:Q,'G2-8 Summary'!K:K,A49,'G2-8 Summary'!H:H,E49)</f>
        <v>444060</v>
      </c>
      <c r="I49" s="138">
        <f>SUMIFS('G2-8 Summary'!U:U,'G2-8 Summary'!K:K,A49,'G2-8 Summary'!H:H,E49)</f>
        <v>5891312.2731699115</v>
      </c>
      <c r="J49" s="169"/>
      <c r="K49" s="142">
        <v>19.5</v>
      </c>
      <c r="L49" s="153">
        <f t="shared" ref="L49:L66" si="35">ROUND(M49,5)</f>
        <v>0.65271999999999997</v>
      </c>
      <c r="M49" s="187">
        <f t="shared" ref="M49:M66" si="36">(AB49-O49)/I49</f>
        <v>0.65271999999999997</v>
      </c>
      <c r="O49" s="149">
        <f>K49*$H49</f>
        <v>8659170</v>
      </c>
      <c r="P49" s="149">
        <f>I49*L49</f>
        <v>3845377.3469434646</v>
      </c>
      <c r="Q49" s="149">
        <f>SUM(O49:P49)</f>
        <v>12504547.346943464</v>
      </c>
      <c r="R49" s="166"/>
      <c r="S49" s="159"/>
      <c r="T49" s="170">
        <f>SUMIFS('G2-8 Summary'!AC:AC,'G2-8 Summary'!$K:$K,$A49,'G2-8 Summary'!$H:$H,$E49)</f>
        <v>5740146</v>
      </c>
      <c r="U49" s="170">
        <f>SUMIFS('G2-8 Summary'!AD:AD,'G2-8 Summary'!$K:$K,$A49,'G2-8 Summary'!$H:$H,$E49)</f>
        <v>2874241.3010331159</v>
      </c>
      <c r="V49" s="170">
        <f>SUMIFS('G2-8 Summary'!AE:AE,'G2-8 Summary'!$K:$K,$A49,'G2-8 Summary'!$H:$H,$E49)</f>
        <v>1610770.9640586802</v>
      </c>
      <c r="W49" s="170">
        <f t="shared" si="31"/>
        <v>10225158.265091797</v>
      </c>
      <c r="X49" s="152"/>
      <c r="Y49" s="152"/>
      <c r="Z49" s="160"/>
      <c r="AA49" s="147">
        <f t="shared" ref="AA49:AA66" si="37">W49*$F$97+W49</f>
        <v>13391014.547819903</v>
      </c>
      <c r="AB49" s="147">
        <f t="shared" si="32"/>
        <v>12504547.346943464</v>
      </c>
      <c r="AC49" s="147">
        <f t="shared" ref="AC49:AC66" si="38">AB49-AA49</f>
        <v>-886467.20087643899</v>
      </c>
      <c r="AD49" s="147">
        <f t="shared" si="33"/>
        <v>0</v>
      </c>
      <c r="AE49" s="175"/>
      <c r="AF49" s="171">
        <v>0.71999133197779097</v>
      </c>
      <c r="AG49" s="172">
        <f t="shared" ref="AG49:AG66" si="39">$F$97*AF49</f>
        <v>0.22291968718307201</v>
      </c>
      <c r="AH49" s="173"/>
      <c r="AI49" s="287">
        <f t="shared" si="34"/>
        <v>0.71999133197779097</v>
      </c>
      <c r="AJ49" s="156"/>
      <c r="AK49" s="141"/>
      <c r="AL49" s="139"/>
      <c r="AM49" s="139"/>
      <c r="AN49" s="139"/>
      <c r="AO49" s="138"/>
      <c r="AP49" s="138"/>
      <c r="AQ49" s="169"/>
      <c r="AR49" s="138"/>
      <c r="AS49" s="138"/>
      <c r="AV49" s="135"/>
      <c r="AW49" s="135"/>
    </row>
    <row r="50" spans="1:49" s="167" customFormat="1" ht="15.75" customHeight="1" x14ac:dyDescent="0.25">
      <c r="A50" s="155" t="s">
        <v>257</v>
      </c>
      <c r="B50" s="167" t="s">
        <v>268</v>
      </c>
      <c r="C50" s="167" t="s">
        <v>266</v>
      </c>
      <c r="D50" s="167" t="s">
        <v>268</v>
      </c>
      <c r="E50" s="167" t="s">
        <v>266</v>
      </c>
      <c r="F50" s="168" t="s">
        <v>45</v>
      </c>
      <c r="G50" s="138">
        <f>SUMIFS('G2-8 Summary'!P:P,'G2-8 Summary'!K:K,A50,'G2-8 Summary'!H:H,E50)</f>
        <v>19329</v>
      </c>
      <c r="H50" s="138">
        <f>SUMIFS('G2-8 Summary'!Q:Q,'G2-8 Summary'!K:K,A50,'G2-8 Summary'!H:H,E50)</f>
        <v>231948</v>
      </c>
      <c r="I50" s="138">
        <f>SUMIFS('G2-8 Summary'!U:U,'G2-8 Summary'!K:K,A50,'G2-8 Summary'!H:H,E50)</f>
        <v>12907300.824713349</v>
      </c>
      <c r="J50" s="169"/>
      <c r="K50" s="142">
        <v>26.5</v>
      </c>
      <c r="L50" s="153">
        <f t="shared" si="35"/>
        <v>0.65386</v>
      </c>
      <c r="M50" s="187">
        <f t="shared" si="36"/>
        <v>0.65386</v>
      </c>
      <c r="N50" s="143"/>
      <c r="O50" s="149">
        <f>K50*$H50</f>
        <v>6146622</v>
      </c>
      <c r="P50" s="149">
        <f>I50*L50</f>
        <v>8439567.7172470707</v>
      </c>
      <c r="Q50" s="149">
        <f>SUM(O50:P50)</f>
        <v>14586189.717247071</v>
      </c>
      <c r="R50" s="166"/>
      <c r="S50" s="159"/>
      <c r="T50" s="170">
        <f>SUMIFS('G2-8 Summary'!AC:AC,'G2-8 Summary'!$K:$K,$A50,'G2-8 Summary'!$H:$H,$E50)</f>
        <v>3133194</v>
      </c>
      <c r="U50" s="170">
        <f>SUMIFS('G2-8 Summary'!AD:AD,'G2-8 Summary'!$K:$K,$A50,'G2-8 Summary'!$H:$H,$E50)</f>
        <v>6202880.6113077002</v>
      </c>
      <c r="V50" s="170">
        <f>SUMIFS('G2-8 Summary'!AE:AE,'G2-8 Summary'!$K:$K,$A50,'G2-8 Summary'!$H:$H,$E50)</f>
        <v>3678624.9803376878</v>
      </c>
      <c r="W50" s="170">
        <f t="shared" si="31"/>
        <v>13014699.591645386</v>
      </c>
      <c r="X50" s="152"/>
      <c r="Y50" s="152"/>
      <c r="Z50" s="160"/>
      <c r="AA50" s="147">
        <f t="shared" si="37"/>
        <v>17044238.049812179</v>
      </c>
      <c r="AB50" s="147">
        <f t="shared" si="32"/>
        <v>14586189.717247071</v>
      </c>
      <c r="AC50" s="147">
        <f t="shared" si="38"/>
        <v>-2458048.3325651083</v>
      </c>
      <c r="AD50" s="147">
        <f t="shared" si="33"/>
        <v>0</v>
      </c>
      <c r="AE50" s="175"/>
      <c r="AF50" s="171">
        <v>0.38999258647518187</v>
      </c>
      <c r="AG50" s="172">
        <f t="shared" si="39"/>
        <v>0.12074732225171619</v>
      </c>
      <c r="AH50" s="173"/>
      <c r="AI50" s="287">
        <f t="shared" si="34"/>
        <v>0.38999258647518187</v>
      </c>
      <c r="AJ50" s="156"/>
      <c r="AK50" s="141"/>
      <c r="AL50" s="139"/>
      <c r="AM50" s="139"/>
      <c r="AN50" s="139"/>
      <c r="AO50" s="138"/>
      <c r="AP50" s="138"/>
      <c r="AQ50" s="169"/>
      <c r="AR50" s="138"/>
      <c r="AS50" s="138"/>
      <c r="AV50" s="135"/>
      <c r="AW50" s="135"/>
    </row>
    <row r="51" spans="1:49" s="167" customFormat="1" x14ac:dyDescent="0.25">
      <c r="A51" s="155" t="s">
        <v>257</v>
      </c>
      <c r="B51" s="167" t="s">
        <v>44</v>
      </c>
      <c r="C51" s="167" t="s">
        <v>10</v>
      </c>
      <c r="D51" s="167" t="s">
        <v>44</v>
      </c>
      <c r="E51" s="167" t="s">
        <v>10</v>
      </c>
      <c r="F51" s="168" t="s">
        <v>45</v>
      </c>
      <c r="G51" s="138">
        <f>SUMIFS('G2-8 Summary'!P:P,'G2-8 Summary'!K:K,A51,'G2-8 Summary'!H:H,E51)</f>
        <v>883</v>
      </c>
      <c r="H51" s="138">
        <f>SUMIFS('G2-8 Summary'!Q:Q,'G2-8 Summary'!K:K,A51,'G2-8 Summary'!H:H,E51)</f>
        <v>10596</v>
      </c>
      <c r="I51" s="138">
        <f>SUMIFS('G2-8 Summary'!U:U,'G2-8 Summary'!K:K,A51,'G2-8 Summary'!H:H,E51)</f>
        <v>96298.671290106227</v>
      </c>
      <c r="J51" s="169"/>
      <c r="K51" s="142">
        <v>36.5</v>
      </c>
      <c r="L51" s="153">
        <f t="shared" si="35"/>
        <v>0.65386</v>
      </c>
      <c r="M51" s="187">
        <f t="shared" si="36"/>
        <v>0.65385999999999989</v>
      </c>
      <c r="N51" s="143"/>
      <c r="O51" s="149">
        <f t="shared" si="28"/>
        <v>386754</v>
      </c>
      <c r="P51" s="149">
        <f t="shared" si="29"/>
        <v>62965.849209748856</v>
      </c>
      <c r="Q51" s="149">
        <f t="shared" si="30"/>
        <v>449719.84920974885</v>
      </c>
      <c r="R51" s="166"/>
      <c r="S51" s="159"/>
      <c r="T51" s="170">
        <f>SUMIFS('G2-8 Summary'!AC:AC,'G2-8 Summary'!$K:$K,$A51,'G2-8 Summary'!$H:$H,$E51)</f>
        <v>225165</v>
      </c>
      <c r="U51" s="170">
        <f>SUMIFS('G2-8 Summary'!AD:AD,'G2-8 Summary'!$K:$K,$A51,'G2-8 Summary'!$H:$H,$E51)</f>
        <v>47983.70193043413</v>
      </c>
      <c r="V51" s="170">
        <f>SUMIFS('G2-8 Summary'!AE:AE,'G2-8 Summary'!$K:$K,$A51,'G2-8 Summary'!$H:$H,$E51)</f>
        <v>30470.825569615416</v>
      </c>
      <c r="W51" s="170">
        <f t="shared" si="31"/>
        <v>303619.52750004956</v>
      </c>
      <c r="X51" s="152"/>
      <c r="Y51" s="152"/>
      <c r="Z51" s="160"/>
      <c r="AA51" s="147">
        <f t="shared" si="37"/>
        <v>397624.50656981277</v>
      </c>
      <c r="AB51" s="147">
        <f t="shared" si="32"/>
        <v>449719.84920974885</v>
      </c>
      <c r="AC51" s="147">
        <f t="shared" si="38"/>
        <v>52095.342639936076</v>
      </c>
      <c r="AD51" s="147">
        <f t="shared" si="33"/>
        <v>0</v>
      </c>
      <c r="AE51" s="175"/>
      <c r="AF51" s="171">
        <v>1.5541764186902796</v>
      </c>
      <c r="AG51" s="172">
        <f t="shared" si="39"/>
        <v>0.48119540568639951</v>
      </c>
      <c r="AH51" s="173"/>
      <c r="AI51" s="287">
        <f t="shared" si="34"/>
        <v>1.5541764186902796</v>
      </c>
      <c r="AJ51" s="156"/>
      <c r="AK51" s="141"/>
      <c r="AL51" s="139"/>
      <c r="AM51" s="139"/>
      <c r="AN51" s="139"/>
      <c r="AO51" s="138"/>
      <c r="AP51" s="138"/>
      <c r="AQ51" s="169"/>
      <c r="AR51" s="138"/>
      <c r="AS51" s="138"/>
      <c r="AV51" s="135"/>
      <c r="AW51" s="135"/>
    </row>
    <row r="52" spans="1:49" s="167" customFormat="1" ht="15.75" customHeight="1" x14ac:dyDescent="0.25">
      <c r="A52" s="155" t="s">
        <v>257</v>
      </c>
      <c r="B52" s="167" t="s">
        <v>47</v>
      </c>
      <c r="C52" s="167" t="s">
        <v>11</v>
      </c>
      <c r="D52" s="167" t="s">
        <v>47</v>
      </c>
      <c r="E52" s="167" t="s">
        <v>11</v>
      </c>
      <c r="F52" s="168" t="s">
        <v>46</v>
      </c>
      <c r="G52" s="138">
        <f>SUMIFS('G2-8 Summary'!P:P,'G2-8 Summary'!K:K,A52,'G2-8 Summary'!H:H,E52)</f>
        <v>2123</v>
      </c>
      <c r="H52" s="138">
        <f>SUMIFS('G2-8 Summary'!Q:Q,'G2-8 Summary'!K:K,A52,'G2-8 Summary'!H:H,E52)</f>
        <v>25476</v>
      </c>
      <c r="I52" s="138">
        <f>SUMIFS('G2-8 Summary'!U:U,'G2-8 Summary'!K:K,A52,'G2-8 Summary'!H:H,E52)</f>
        <v>684789.07640387444</v>
      </c>
      <c r="J52" s="169"/>
      <c r="K52" s="142">
        <v>40</v>
      </c>
      <c r="L52" s="153">
        <f t="shared" si="35"/>
        <v>0.70123999999999997</v>
      </c>
      <c r="M52" s="187">
        <f t="shared" si="36"/>
        <v>0.70123999999999964</v>
      </c>
      <c r="N52" s="143"/>
      <c r="O52" s="149">
        <f t="shared" si="28"/>
        <v>1019040</v>
      </c>
      <c r="P52" s="149">
        <f t="shared" si="29"/>
        <v>480201.49193745287</v>
      </c>
      <c r="Q52" s="149">
        <f t="shared" si="30"/>
        <v>1499241.4919374529</v>
      </c>
      <c r="R52" s="166"/>
      <c r="S52" s="159"/>
      <c r="T52" s="170">
        <f>SUMIFS('G2-8 Summary'!AC:AC,'G2-8 Summary'!$K:$K,$A52,'G2-8 Summary'!$H:$H,$E52)</f>
        <v>824358</v>
      </c>
      <c r="U52" s="170">
        <f>SUMIFS('G2-8 Summary'!AD:AD,'G2-8 Summary'!$K:$K,$A52,'G2-8 Summary'!$H:$H,$E52)</f>
        <v>256154.79246879983</v>
      </c>
      <c r="V52" s="170">
        <f>SUMIFS('G2-8 Summary'!AE:AE,'G2-8 Summary'!$K:$K,$A52,'G2-8 Summary'!$H:$H,$E52)</f>
        <v>142338.38595736897</v>
      </c>
      <c r="W52" s="170">
        <f t="shared" si="31"/>
        <v>1222851.1784261686</v>
      </c>
      <c r="X52" s="152"/>
      <c r="Y52" s="152"/>
      <c r="Z52" s="160"/>
      <c r="AA52" s="147">
        <f t="shared" si="37"/>
        <v>1601463.5172961331</v>
      </c>
      <c r="AB52" s="147">
        <f t="shared" si="32"/>
        <v>1499241.4919374527</v>
      </c>
      <c r="AC52" s="147">
        <f t="shared" si="38"/>
        <v>-102222.0253586804</v>
      </c>
      <c r="AD52" s="147">
        <f t="shared" si="33"/>
        <v>0</v>
      </c>
      <c r="AE52" s="175"/>
      <c r="AF52" s="171">
        <v>0.73000873224633955</v>
      </c>
      <c r="AG52" s="172">
        <f t="shared" si="39"/>
        <v>0.22602121859751043</v>
      </c>
      <c r="AH52" s="173"/>
      <c r="AI52" s="287">
        <f t="shared" si="34"/>
        <v>0.73000873224633955</v>
      </c>
      <c r="AJ52" s="156"/>
      <c r="AK52" s="141"/>
      <c r="AL52" s="139"/>
      <c r="AM52" s="139"/>
      <c r="AN52" s="139"/>
      <c r="AO52" s="138"/>
      <c r="AP52" s="138"/>
      <c r="AQ52" s="169"/>
      <c r="AR52" s="138"/>
      <c r="AS52" s="138"/>
      <c r="AV52" s="135"/>
      <c r="AW52" s="135"/>
    </row>
    <row r="53" spans="1:49" s="167" customFormat="1" x14ac:dyDescent="0.25">
      <c r="A53" s="155" t="s">
        <v>257</v>
      </c>
      <c r="B53" s="167" t="s">
        <v>49</v>
      </c>
      <c r="C53" s="167" t="s">
        <v>12</v>
      </c>
      <c r="D53" s="167" t="s">
        <v>49</v>
      </c>
      <c r="E53" s="167" t="s">
        <v>12</v>
      </c>
      <c r="F53" s="168" t="s">
        <v>48</v>
      </c>
      <c r="G53" s="138">
        <f>SUMIFS('G2-8 Summary'!P:P,'G2-8 Summary'!K:K,A53,'G2-8 Summary'!H:H,E53)</f>
        <v>2474</v>
      </c>
      <c r="H53" s="138">
        <f>SUMIFS('G2-8 Summary'!Q:Q,'G2-8 Summary'!K:K,A53,'G2-8 Summary'!H:H,E53)</f>
        <v>29688</v>
      </c>
      <c r="I53" s="138">
        <f>SUMIFS('G2-8 Summary'!U:U,'G2-8 Summary'!K:K,A53,'G2-8 Summary'!H:H,E53)</f>
        <v>7188032.1236525923</v>
      </c>
      <c r="J53" s="169"/>
      <c r="K53" s="142">
        <v>70</v>
      </c>
      <c r="L53" s="153">
        <f t="shared" si="35"/>
        <v>0.69901999999999997</v>
      </c>
      <c r="M53" s="187">
        <f t="shared" si="36"/>
        <v>0.69902000000000009</v>
      </c>
      <c r="N53" s="143"/>
      <c r="O53" s="149">
        <f t="shared" si="28"/>
        <v>2078160</v>
      </c>
      <c r="P53" s="149">
        <f t="shared" si="29"/>
        <v>5024578.2150756354</v>
      </c>
      <c r="Q53" s="149">
        <f t="shared" si="30"/>
        <v>7102738.2150756354</v>
      </c>
      <c r="R53" s="166"/>
      <c r="S53" s="159"/>
      <c r="T53" s="170">
        <f>SUMIFS('G2-8 Summary'!AC:AC,'G2-8 Summary'!$K:$K,$A53,'G2-8 Summary'!$H:$H,$E53)</f>
        <v>1477104</v>
      </c>
      <c r="U53" s="170">
        <f>SUMIFS('G2-8 Summary'!AD:AD,'G2-8 Summary'!$K:$K,$A53,'G2-8 Summary'!$H:$H,$E53)</f>
        <v>2568450.0255981628</v>
      </c>
      <c r="V53" s="170">
        <f>SUMIFS('G2-8 Summary'!AE:AE,'G2-8 Summary'!$K:$K,$A53,'G2-8 Summary'!$H:$H,$E53)</f>
        <v>1390830.6632866089</v>
      </c>
      <c r="W53" s="170">
        <f t="shared" si="31"/>
        <v>5436384.6888847714</v>
      </c>
      <c r="X53" s="152"/>
      <c r="Y53" s="152"/>
      <c r="Z53" s="160"/>
      <c r="AA53" s="147">
        <f t="shared" si="37"/>
        <v>7119567.6946079805</v>
      </c>
      <c r="AB53" s="147">
        <f t="shared" si="32"/>
        <v>7102738.2150756354</v>
      </c>
      <c r="AC53" s="147">
        <f t="shared" si="38"/>
        <v>-16829.479532345198</v>
      </c>
      <c r="AD53" s="147">
        <f t="shared" si="33"/>
        <v>0</v>
      </c>
      <c r="AE53" s="175"/>
      <c r="AF53" s="171">
        <v>0.99000139647612795</v>
      </c>
      <c r="AG53" s="172">
        <f t="shared" si="39"/>
        <v>0.30651869239457785</v>
      </c>
      <c r="AH53" s="173"/>
      <c r="AI53" s="287">
        <f t="shared" si="34"/>
        <v>0.99000139647612795</v>
      </c>
      <c r="AJ53" s="156"/>
      <c r="AK53" s="141"/>
      <c r="AL53" s="139"/>
      <c r="AM53" s="139"/>
      <c r="AN53" s="139"/>
      <c r="AO53" s="138"/>
      <c r="AP53" s="138"/>
      <c r="AQ53" s="169"/>
      <c r="AR53" s="138"/>
      <c r="AS53" s="138"/>
      <c r="AV53" s="135"/>
      <c r="AW53" s="135"/>
    </row>
    <row r="54" spans="1:49" s="167" customFormat="1" x14ac:dyDescent="0.25">
      <c r="A54" s="155" t="s">
        <v>257</v>
      </c>
      <c r="B54" s="167" t="s">
        <v>51</v>
      </c>
      <c r="C54" s="167" t="s">
        <v>13</v>
      </c>
      <c r="D54" s="167" t="s">
        <v>51</v>
      </c>
      <c r="E54" s="167" t="s">
        <v>13</v>
      </c>
      <c r="F54" s="168" t="s">
        <v>50</v>
      </c>
      <c r="G54" s="138">
        <f>SUMIFS('G2-8 Summary'!P:P,'G2-8 Summary'!K:K,A54,'G2-8 Summary'!H:H,E54)</f>
        <v>1601</v>
      </c>
      <c r="H54" s="138">
        <f>SUMIFS('G2-8 Summary'!Q:Q,'G2-8 Summary'!K:K,A54,'G2-8 Summary'!H:H,E54)</f>
        <v>19212</v>
      </c>
      <c r="I54" s="138">
        <f>SUMIFS('G2-8 Summary'!U:U,'G2-8 Summary'!K:K,A54,'G2-8 Summary'!H:H,E54)</f>
        <v>11706802.125175815</v>
      </c>
      <c r="J54" s="169"/>
      <c r="K54" s="142">
        <v>150</v>
      </c>
      <c r="L54" s="153">
        <f>ROUND(M54,5)</f>
        <v>0.62475000000000003</v>
      </c>
      <c r="M54" s="187">
        <f t="shared" si="36"/>
        <v>0.62475000000000014</v>
      </c>
      <c r="N54" s="143"/>
      <c r="O54" s="149">
        <f t="shared" si="28"/>
        <v>2881800</v>
      </c>
      <c r="P54" s="149">
        <f>I54*L54</f>
        <v>7313824.6277035912</v>
      </c>
      <c r="Q54" s="149">
        <f t="shared" si="30"/>
        <v>10195624.627703592</v>
      </c>
      <c r="R54" s="166"/>
      <c r="S54" s="159"/>
      <c r="T54" s="170">
        <f>SUMIFS('G2-8 Summary'!AC:AC,'G2-8 Summary'!$K:$K,$A54,'G2-8 Summary'!$H:$H,$E54)</f>
        <v>1498560</v>
      </c>
      <c r="U54" s="170">
        <f>SUMIFS('G2-8 Summary'!AD:AD,'G2-8 Summary'!$K:$K,$A54,'G2-8 Summary'!$H:$H,$E54)</f>
        <v>3943699.8407024378</v>
      </c>
      <c r="V54" s="170">
        <f>SUMIFS('G2-8 Summary'!AE:AE,'G2-8 Summary'!$K:$K,$A54,'G2-8 Summary'!$H:$H,$E54)</f>
        <v>1991452.9192916639</v>
      </c>
      <c r="W54" s="170">
        <f t="shared" si="31"/>
        <v>7433712.7599941017</v>
      </c>
      <c r="X54" s="152"/>
      <c r="Y54" s="152"/>
      <c r="Z54" s="160"/>
      <c r="AA54" s="147">
        <f t="shared" si="37"/>
        <v>9735297.30617835</v>
      </c>
      <c r="AB54" s="147">
        <f t="shared" si="32"/>
        <v>10195624.627703592</v>
      </c>
      <c r="AC54" s="147">
        <f t="shared" si="38"/>
        <v>460327.32152524218</v>
      </c>
      <c r="AD54" s="147">
        <f t="shared" si="33"/>
        <v>0</v>
      </c>
      <c r="AE54" s="175"/>
      <c r="AF54" s="171">
        <v>1.2000045239652006</v>
      </c>
      <c r="AG54" s="172">
        <f t="shared" si="39"/>
        <v>0.37153868556412745</v>
      </c>
      <c r="AH54" s="173"/>
      <c r="AI54" s="287">
        <f t="shared" si="34"/>
        <v>1.2000045239652006</v>
      </c>
      <c r="AJ54" s="156"/>
      <c r="AK54" s="141"/>
      <c r="AL54" s="139"/>
      <c r="AM54" s="139"/>
      <c r="AN54" s="139"/>
      <c r="AO54" s="138"/>
      <c r="AP54" s="138"/>
      <c r="AQ54" s="169"/>
      <c r="AR54" s="138"/>
      <c r="AS54" s="138"/>
      <c r="AV54" s="135"/>
      <c r="AW54" s="135"/>
    </row>
    <row r="55" spans="1:49" s="167" customFormat="1" x14ac:dyDescent="0.25">
      <c r="A55" s="155" t="s">
        <v>257</v>
      </c>
      <c r="B55" s="167" t="s">
        <v>53</v>
      </c>
      <c r="C55" s="167" t="s">
        <v>14</v>
      </c>
      <c r="D55" s="167" t="s">
        <v>53</v>
      </c>
      <c r="E55" s="167" t="s">
        <v>14</v>
      </c>
      <c r="F55" s="168" t="s">
        <v>52</v>
      </c>
      <c r="G55" s="138">
        <f>SUMIFS('G2-8 Summary'!P:P,'G2-8 Summary'!K:K,A55,'G2-8 Summary'!H:H,E55)</f>
        <v>1395</v>
      </c>
      <c r="H55" s="138">
        <f>SUMIFS('G2-8 Summary'!Q:Q,'G2-8 Summary'!K:K,A55,'G2-8 Summary'!H:H,E55)</f>
        <v>16740</v>
      </c>
      <c r="I55" s="138">
        <f>SUMIFS('G2-8 Summary'!U:U,'G2-8 Summary'!K:K,A55,'G2-8 Summary'!H:H,E55)</f>
        <v>24847741.118744057</v>
      </c>
      <c r="J55" s="169"/>
      <c r="K55" s="142">
        <v>275</v>
      </c>
      <c r="L55" s="153">
        <f>ROUND(M55,5)</f>
        <v>0.59182999999999997</v>
      </c>
      <c r="M55" s="187">
        <f>(AB55-O55)/I55</f>
        <v>0.59182999999999997</v>
      </c>
      <c r="N55" s="143"/>
      <c r="O55" s="149">
        <f t="shared" si="28"/>
        <v>4603500</v>
      </c>
      <c r="P55" s="149">
        <f t="shared" si="29"/>
        <v>14705638.626306294</v>
      </c>
      <c r="Q55" s="149">
        <f t="shared" si="30"/>
        <v>19309138.626306295</v>
      </c>
      <c r="R55" s="166"/>
      <c r="S55" s="159"/>
      <c r="T55" s="170">
        <f>SUMIFS('G2-8 Summary'!AC:AC,'G2-8 Summary'!$K:$K,$A55,'G2-8 Summary'!$H:$H,$E55)</f>
        <v>1793784</v>
      </c>
      <c r="U55" s="170">
        <f>SUMIFS('G2-8 Summary'!AD:AD,'G2-8 Summary'!$K:$K,$A55,'G2-8 Summary'!$H:$H,$E55)</f>
        <v>8187173.6758323293</v>
      </c>
      <c r="V55" s="170">
        <f>SUMIFS('G2-8 Summary'!AE:AE,'G2-8 Summary'!$K:$K,$A55,'G2-8 Summary'!$H:$H,$E55)</f>
        <v>3882464.6203686534</v>
      </c>
      <c r="W55" s="170">
        <f t="shared" si="31"/>
        <v>13863422.296200983</v>
      </c>
      <c r="X55" s="152"/>
      <c r="Y55" s="152"/>
      <c r="Z55" s="160"/>
      <c r="AA55" s="147">
        <f t="shared" si="37"/>
        <v>18155737.528756142</v>
      </c>
      <c r="AB55" s="147">
        <f t="shared" si="32"/>
        <v>19309138.626306295</v>
      </c>
      <c r="AC55" s="147">
        <f t="shared" si="38"/>
        <v>1153401.0975501537</v>
      </c>
      <c r="AD55" s="147">
        <f t="shared" si="33"/>
        <v>0</v>
      </c>
      <c r="AE55" s="175"/>
      <c r="AF55" s="171">
        <v>1.2687130453052842</v>
      </c>
      <c r="AG55" s="172">
        <f t="shared" si="39"/>
        <v>0.39281183345310133</v>
      </c>
      <c r="AH55" s="173"/>
      <c r="AI55" s="287">
        <f t="shared" si="34"/>
        <v>1.2687130453052842</v>
      </c>
      <c r="AJ55" s="156"/>
      <c r="AK55" s="141"/>
      <c r="AL55" s="139"/>
      <c r="AM55" s="139"/>
      <c r="AN55" s="139"/>
      <c r="AO55" s="138"/>
      <c r="AP55" s="138"/>
      <c r="AQ55" s="169"/>
      <c r="AR55" s="138"/>
      <c r="AS55" s="138"/>
      <c r="AV55" s="135"/>
      <c r="AW55" s="135"/>
    </row>
    <row r="56" spans="1:49" s="167" customFormat="1" x14ac:dyDescent="0.25">
      <c r="A56" s="155" t="s">
        <v>257</v>
      </c>
      <c r="B56" s="167" t="s">
        <v>55</v>
      </c>
      <c r="C56" s="167" t="s">
        <v>15</v>
      </c>
      <c r="D56" s="167" t="s">
        <v>55</v>
      </c>
      <c r="E56" s="167" t="s">
        <v>15</v>
      </c>
      <c r="F56" s="168" t="s">
        <v>54</v>
      </c>
      <c r="G56" s="138">
        <f>SUMIFS('G2-8 Summary'!P:P,'G2-8 Summary'!K:K,A56,'G2-8 Summary'!H:H,E56)</f>
        <v>113</v>
      </c>
      <c r="H56" s="138">
        <f>SUMIFS('G2-8 Summary'!Q:Q,'G2-8 Summary'!K:K,A56,'G2-8 Summary'!H:H,E56)</f>
        <v>1356</v>
      </c>
      <c r="I56" s="138">
        <f>SUMIFS('G2-8 Summary'!U:U,'G2-8 Summary'!K:K,A56,'G2-8 Summary'!H:H,E56)</f>
        <v>12429773.920048062</v>
      </c>
      <c r="J56" s="169"/>
      <c r="K56" s="142">
        <v>750</v>
      </c>
      <c r="L56" s="153">
        <v>0.52</v>
      </c>
      <c r="M56" s="187">
        <f>(AB56-O56)/I56</f>
        <v>0.52000000000000013</v>
      </c>
      <c r="N56" s="143"/>
      <c r="O56" s="149">
        <f t="shared" si="28"/>
        <v>1017000</v>
      </c>
      <c r="P56" s="149">
        <f t="shared" si="29"/>
        <v>6463482.4384249924</v>
      </c>
      <c r="Q56" s="149">
        <f t="shared" si="30"/>
        <v>7480482.4384249924</v>
      </c>
      <c r="R56" s="166"/>
      <c r="S56" s="159"/>
      <c r="T56" s="170">
        <f>SUMIFS('G2-8 Summary'!AC:AC,'G2-8 Summary'!$K:$K,$A56,'G2-8 Summary'!$H:$H,$E56)</f>
        <v>465276</v>
      </c>
      <c r="U56" s="170">
        <f>SUMIFS('G2-8 Summary'!AD:AD,'G2-8 Summary'!$K:$K,$A56,'G2-8 Summary'!$H:$H,$E56)</f>
        <v>3166673.2179735322</v>
      </c>
      <c r="V56" s="170">
        <f>SUMIFS('G2-8 Summary'!AE:AE,'G2-8 Summary'!$K:$K,$A56,'G2-8 Summary'!$H:$H,$E56)</f>
        <v>1545673.1250201394</v>
      </c>
      <c r="W56" s="170">
        <f t="shared" si="31"/>
        <v>5177622.3429936711</v>
      </c>
      <c r="X56" s="152"/>
      <c r="Y56" s="152"/>
      <c r="Z56" s="160"/>
      <c r="AA56" s="147">
        <f t="shared" si="37"/>
        <v>6780688.7991990577</v>
      </c>
      <c r="AB56" s="147">
        <f t="shared" si="32"/>
        <v>7480482.4384249933</v>
      </c>
      <c r="AC56" s="147">
        <f t="shared" si="38"/>
        <v>699793.63922593556</v>
      </c>
      <c r="AD56" s="147">
        <f t="shared" si="33"/>
        <v>0</v>
      </c>
      <c r="AE56" s="175"/>
      <c r="AF56" s="171">
        <v>1.4365343910210771</v>
      </c>
      <c r="AG56" s="172">
        <f t="shared" si="39"/>
        <v>0.44477173939646997</v>
      </c>
      <c r="AH56" s="173"/>
      <c r="AI56" s="287">
        <f t="shared" si="34"/>
        <v>1.4365343910210771</v>
      </c>
      <c r="AJ56" s="156"/>
      <c r="AK56" s="141"/>
      <c r="AL56" s="139"/>
      <c r="AM56" s="139"/>
      <c r="AN56" s="139"/>
      <c r="AO56" s="138"/>
      <c r="AP56" s="138"/>
      <c r="AQ56" s="169"/>
      <c r="AR56" s="138"/>
      <c r="AS56" s="138"/>
      <c r="AV56" s="135"/>
      <c r="AW56" s="135"/>
    </row>
    <row r="57" spans="1:49" s="167" customFormat="1" x14ac:dyDescent="0.25">
      <c r="A57" s="155" t="s">
        <v>257</v>
      </c>
      <c r="B57" s="167" t="s">
        <v>57</v>
      </c>
      <c r="C57" s="167" t="s">
        <v>16</v>
      </c>
      <c r="D57" s="167" t="s">
        <v>57</v>
      </c>
      <c r="E57" s="167" t="s">
        <v>16</v>
      </c>
      <c r="F57" s="168" t="s">
        <v>56</v>
      </c>
      <c r="G57" s="138">
        <f>SUMIFS('G2-8 Summary'!P:P,'G2-8 Summary'!K:K,A57,'G2-8 Summary'!H:H,E57)</f>
        <v>34</v>
      </c>
      <c r="H57" s="138">
        <f>SUMIFS('G2-8 Summary'!Q:Q,'G2-8 Summary'!K:K,A57,'G2-8 Summary'!H:H,E57)</f>
        <v>408</v>
      </c>
      <c r="I57" s="138">
        <f>SUMIFS('G2-8 Summary'!U:U,'G2-8 Summary'!K:K,A57,'G2-8 Summary'!H:H,E57)</f>
        <v>11918155.033044502</v>
      </c>
      <c r="J57" s="169"/>
      <c r="K57" s="142">
        <v>2500</v>
      </c>
      <c r="L57" s="153">
        <f>ROUND(M57,5)</f>
        <v>0.49419000000000002</v>
      </c>
      <c r="M57" s="187">
        <f>(AB57-O57)/I57</f>
        <v>0.49419000000000007</v>
      </c>
      <c r="N57" s="143"/>
      <c r="O57" s="149">
        <f t="shared" si="28"/>
        <v>1020000</v>
      </c>
      <c r="P57" s="149">
        <f t="shared" si="29"/>
        <v>5889833.0357802631</v>
      </c>
      <c r="Q57" s="149">
        <f t="shared" si="30"/>
        <v>6909833.0357802631</v>
      </c>
      <c r="R57" s="166"/>
      <c r="S57" s="159"/>
      <c r="T57" s="170">
        <f>SUMIFS('G2-8 Summary'!AC:AC,'G2-8 Summary'!$K:$K,$A57,'G2-8 Summary'!$H:$H,$E57)</f>
        <v>277680</v>
      </c>
      <c r="U57" s="170">
        <f>SUMIFS('G2-8 Summary'!AD:AD,'G2-8 Summary'!$K:$K,$A57,'G2-8 Summary'!$H:$H,$E57)</f>
        <v>2639462.3104302376</v>
      </c>
      <c r="V57" s="170">
        <f>SUMIFS('G2-8 Summary'!AE:AE,'G2-8 Summary'!$K:$K,$A57,'G2-8 Summary'!$H:$H,$E57)</f>
        <v>1450185.1398561148</v>
      </c>
      <c r="W57" s="170">
        <f t="shared" si="31"/>
        <v>4367327.4502863521</v>
      </c>
      <c r="X57" s="152"/>
      <c r="Y57" s="152"/>
      <c r="Z57" s="160"/>
      <c r="AA57" s="147">
        <f t="shared" si="37"/>
        <v>5719514.9361683456</v>
      </c>
      <c r="AB57" s="147">
        <f t="shared" si="32"/>
        <v>6909833.0357802631</v>
      </c>
      <c r="AC57" s="147">
        <f t="shared" si="38"/>
        <v>1190318.0996119175</v>
      </c>
      <c r="AD57" s="147">
        <f t="shared" si="33"/>
        <v>0</v>
      </c>
      <c r="AE57" s="175"/>
      <c r="AF57" s="171">
        <v>1.8802907230246304</v>
      </c>
      <c r="AG57" s="172">
        <f t="shared" si="39"/>
        <v>0.58216509168031516</v>
      </c>
      <c r="AH57" s="173"/>
      <c r="AI57" s="287">
        <f t="shared" si="34"/>
        <v>1.8802907230246304</v>
      </c>
      <c r="AJ57" s="156"/>
      <c r="AK57" s="141"/>
      <c r="AL57" s="139"/>
      <c r="AM57" s="139"/>
      <c r="AN57" s="139"/>
      <c r="AO57" s="138"/>
      <c r="AP57" s="138"/>
      <c r="AQ57" s="169"/>
      <c r="AR57" s="138"/>
      <c r="AS57" s="138"/>
      <c r="AV57" s="135"/>
      <c r="AW57" s="135"/>
    </row>
    <row r="58" spans="1:49" s="167" customFormat="1" x14ac:dyDescent="0.25">
      <c r="A58" s="155" t="s">
        <v>257</v>
      </c>
      <c r="B58" s="167" t="s">
        <v>59</v>
      </c>
      <c r="C58" s="167" t="s">
        <v>17</v>
      </c>
      <c r="D58" s="167" t="s">
        <v>59</v>
      </c>
      <c r="E58" s="167" t="s">
        <v>17</v>
      </c>
      <c r="F58" s="168" t="s">
        <v>58</v>
      </c>
      <c r="G58" s="138">
        <f>SUMIFS('G2-8 Summary'!P:P,'G2-8 Summary'!K:K,A58,'G2-8 Summary'!H:H,E58)</f>
        <v>12</v>
      </c>
      <c r="H58" s="138">
        <f>SUMIFS('G2-8 Summary'!Q:Q,'G2-8 Summary'!K:K,A58,'G2-8 Summary'!H:H,E58)</f>
        <v>144</v>
      </c>
      <c r="I58" s="138">
        <f>SUMIFS('G2-8 Summary'!U:U,'G2-8 Summary'!K:K,A58,'G2-8 Summary'!H:H,E58)</f>
        <v>9260734.8100861516</v>
      </c>
      <c r="J58" s="169"/>
      <c r="K58" s="142">
        <v>4500</v>
      </c>
      <c r="L58" s="153">
        <f t="shared" si="35"/>
        <v>0.38796999999999998</v>
      </c>
      <c r="M58" s="187">
        <f t="shared" si="36"/>
        <v>0.38796999999999993</v>
      </c>
      <c r="N58" s="143"/>
      <c r="O58" s="149">
        <f t="shared" si="28"/>
        <v>648000</v>
      </c>
      <c r="P58" s="149">
        <f t="shared" si="29"/>
        <v>3592887.2842691243</v>
      </c>
      <c r="Q58" s="149">
        <f t="shared" si="30"/>
        <v>4240887.2842691243</v>
      </c>
      <c r="R58" s="166"/>
      <c r="S58" s="159"/>
      <c r="T58" s="170">
        <f>SUMIFS('G2-8 Summary'!AC:AC,'G2-8 Summary'!$K:$K,$A58,'G2-8 Summary'!$H:$H,$E58)</f>
        <v>378840</v>
      </c>
      <c r="U58" s="170">
        <f>SUMIFS('G2-8 Summary'!AD:AD,'G2-8 Summary'!$K:$K,$A58,'G2-8 Summary'!$H:$H,$E58)</f>
        <v>1375197.9766032081</v>
      </c>
      <c r="V58" s="170">
        <f>SUMIFS('G2-8 Summary'!AE:AE,'G2-8 Summary'!$K:$K,$A58,'G2-8 Summary'!$H:$H,$E58)</f>
        <v>937098.73460499104</v>
      </c>
      <c r="W58" s="170">
        <f t="shared" si="31"/>
        <v>2691136.7112081992</v>
      </c>
      <c r="X58" s="152"/>
      <c r="Y58" s="152"/>
      <c r="Z58" s="160"/>
      <c r="AA58" s="147">
        <f t="shared" si="37"/>
        <v>3524351.4003093699</v>
      </c>
      <c r="AB58" s="147">
        <f t="shared" si="32"/>
        <v>4240887.2842691233</v>
      </c>
      <c r="AC58" s="147">
        <f t="shared" si="38"/>
        <v>716535.88395975344</v>
      </c>
      <c r="AD58" s="147">
        <f t="shared" si="33"/>
        <v>0</v>
      </c>
      <c r="AE58" s="175"/>
      <c r="AF58" s="171">
        <v>1.8599654966869528</v>
      </c>
      <c r="AG58" s="172">
        <f t="shared" si="39"/>
        <v>0.57587210884026618</v>
      </c>
      <c r="AH58" s="173"/>
      <c r="AI58" s="287">
        <f t="shared" si="34"/>
        <v>1.8599654966869541</v>
      </c>
      <c r="AJ58" s="156"/>
      <c r="AK58" s="141"/>
      <c r="AL58" s="139"/>
      <c r="AM58" s="139"/>
      <c r="AN58" s="139"/>
      <c r="AO58" s="138"/>
      <c r="AP58" s="138"/>
      <c r="AQ58" s="169"/>
      <c r="AR58" s="138"/>
      <c r="AS58" s="138"/>
      <c r="AV58" s="135"/>
      <c r="AW58" s="135"/>
    </row>
    <row r="59" spans="1:49" s="167" customFormat="1" x14ac:dyDescent="0.25">
      <c r="A59" s="155" t="s">
        <v>257</v>
      </c>
      <c r="B59" s="167" t="s">
        <v>269</v>
      </c>
      <c r="C59" s="167" t="s">
        <v>267</v>
      </c>
      <c r="D59" s="167" t="s">
        <v>277</v>
      </c>
      <c r="E59" s="167" t="s">
        <v>272</v>
      </c>
      <c r="F59" s="168" t="s">
        <v>270</v>
      </c>
      <c r="G59" s="138">
        <f>SUMIFS('G2-8 Summary'!P:P,'G2-8 Summary'!K:K,A59,'G2-8 Summary'!H:H,E59)</f>
        <v>2</v>
      </c>
      <c r="H59" s="138">
        <f>SUMIFS('G2-8 Summary'!Q:Q,'G2-8 Summary'!K:K,A59,'G2-8 Summary'!H:H,E59)</f>
        <v>24</v>
      </c>
      <c r="I59" s="138">
        <f>SUMIFS('G2-8 Summary'!U:U,'G2-8 Summary'!K:K,A59,'G2-8 Summary'!H:H,E59)</f>
        <v>2164166.9766194141</v>
      </c>
      <c r="J59" s="169"/>
      <c r="K59" s="142">
        <v>9500</v>
      </c>
      <c r="L59" s="153">
        <f>L58-0.02</f>
        <v>0.36796999999999996</v>
      </c>
      <c r="M59" s="187">
        <f t="shared" si="36"/>
        <v>0.36796537928445072</v>
      </c>
      <c r="N59" s="143"/>
      <c r="O59" s="149">
        <f t="shared" si="28"/>
        <v>228000</v>
      </c>
      <c r="P59" s="149">
        <f t="shared" si="29"/>
        <v>796348.52238664567</v>
      </c>
      <c r="Q59" s="149">
        <f>SUM(O59:P59)-10</f>
        <v>1024338.5223866457</v>
      </c>
      <c r="R59" s="166"/>
      <c r="S59" s="159"/>
      <c r="T59" s="170">
        <f>SUMIFS('G2-8 Summary'!AC:AC,'G2-8 Summary'!$K:$K,$A59,'G2-8 Summary'!$H:$H,$E59)</f>
        <v>2160</v>
      </c>
      <c r="U59" s="170">
        <f>SUMIFS('G2-8 Summary'!AD:AD,'G2-8 Summary'!$K:$K,$A59,'G2-8 Summary'!$H:$H,$E59)</f>
        <v>765379.29295122193</v>
      </c>
      <c r="V59" s="170">
        <f>SUMIFS('G2-8 Summary'!AE:AE,'G2-8 Summary'!$K:$K,$A59,'G2-8 Summary'!$H:$H,$E59)</f>
        <v>346439.84961723583</v>
      </c>
      <c r="W59" s="170">
        <f t="shared" ref="W59:W60" si="40">SUM(T59:V59)</f>
        <v>1113979.1425684579</v>
      </c>
      <c r="X59" s="152"/>
      <c r="Y59" s="152"/>
      <c r="Z59" s="160"/>
      <c r="AA59" s="147">
        <f t="shared" si="37"/>
        <v>1458883.1309368727</v>
      </c>
      <c r="AB59" s="147">
        <f t="shared" ref="AB59:AB60" si="41">W59*(1+AG59)</f>
        <v>1024338.5223866457</v>
      </c>
      <c r="AC59" s="147">
        <f t="shared" ref="AC59:AC60" si="42">AB59-AA59</f>
        <v>-434544.60855022701</v>
      </c>
      <c r="AD59" s="147">
        <f t="shared" ref="AD59:AD60" si="43">Q59-AB59</f>
        <v>0</v>
      </c>
      <c r="AE59" s="175"/>
      <c r="AF59" s="171">
        <v>-0.2599002134068138</v>
      </c>
      <c r="AG59" s="172">
        <f t="shared" si="39"/>
        <v>-8.046884969060672E-2</v>
      </c>
      <c r="AH59" s="173"/>
      <c r="AI59" s="287">
        <f t="shared" si="34"/>
        <v>-0.2599002134068138</v>
      </c>
      <c r="AJ59" s="156"/>
      <c r="AK59" s="141"/>
      <c r="AL59" s="139"/>
      <c r="AM59" s="139"/>
      <c r="AN59" s="139"/>
      <c r="AO59" s="138"/>
      <c r="AP59" s="138"/>
      <c r="AQ59" s="169"/>
      <c r="AR59" s="138"/>
      <c r="AS59" s="138"/>
      <c r="AV59" s="135"/>
      <c r="AW59" s="135"/>
    </row>
    <row r="60" spans="1:49" s="167" customFormat="1" x14ac:dyDescent="0.25">
      <c r="A60" s="155" t="s">
        <v>257</v>
      </c>
      <c r="B60" s="167" t="s">
        <v>269</v>
      </c>
      <c r="C60" s="167" t="s">
        <v>267</v>
      </c>
      <c r="D60" s="167" t="s">
        <v>278</v>
      </c>
      <c r="E60" s="167" t="s">
        <v>273</v>
      </c>
      <c r="F60" s="168" t="s">
        <v>271</v>
      </c>
      <c r="G60" s="138">
        <f>SUMIFS('G2-8 Summary'!P:P,'G2-8 Summary'!K:K,A60,'G2-8 Summary'!H:H,E60)</f>
        <v>3</v>
      </c>
      <c r="H60" s="138">
        <f>SUMIFS('G2-8 Summary'!Q:Q,'G2-8 Summary'!K:K,A60,'G2-8 Summary'!H:H,E60)</f>
        <v>36</v>
      </c>
      <c r="I60" s="138">
        <f>SUMIFS('G2-8 Summary'!U:U,'G2-8 Summary'!K:K,A60,'G2-8 Summary'!H:H,E60)</f>
        <v>5002175.5056545176</v>
      </c>
      <c r="J60" s="169"/>
      <c r="K60" s="142">
        <v>9500</v>
      </c>
      <c r="L60" s="153">
        <f>L59-0.02</f>
        <v>0.34796999999999995</v>
      </c>
      <c r="M60" s="187">
        <f t="shared" si="36"/>
        <v>0.34796800086982371</v>
      </c>
      <c r="N60" s="143"/>
      <c r="O60" s="149">
        <f t="shared" ref="O60" si="44">K60*$H60</f>
        <v>342000</v>
      </c>
      <c r="P60" s="149">
        <f t="shared" ref="P60" si="45">I60*L60</f>
        <v>1740607.0107026021</v>
      </c>
      <c r="Q60" s="149">
        <f t="shared" ref="Q60" si="46">SUM(O60:P60)-10</f>
        <v>2082597.0107026021</v>
      </c>
      <c r="R60" s="166"/>
      <c r="S60" s="159"/>
      <c r="T60" s="170">
        <f>SUMIFS('G2-8 Summary'!AC:AC,'G2-8 Summary'!$K:$K,$A60,'G2-8 Summary'!$H:$H,$E60)</f>
        <v>103080</v>
      </c>
      <c r="U60" s="170">
        <f>SUMIFS('G2-8 Summary'!AD:AD,'G2-8 Summary'!$K:$K,$A60,'G2-8 Summary'!$H:$H,$E60)</f>
        <v>855241.07949077652</v>
      </c>
      <c r="V60" s="170">
        <f>SUMIFS('G2-8 Summary'!AE:AE,'G2-8 Summary'!$K:$K,$A60,'G2-8 Summary'!$H:$H,$E60)</f>
        <v>484672.26094317518</v>
      </c>
      <c r="W60" s="170">
        <f t="shared" si="40"/>
        <v>1442993.3404339517</v>
      </c>
      <c r="X60" s="152"/>
      <c r="Y60" s="152"/>
      <c r="Z60" s="160"/>
      <c r="AA60" s="147">
        <f t="shared" si="37"/>
        <v>1889764.8636037819</v>
      </c>
      <c r="AB60" s="147">
        <f t="shared" si="41"/>
        <v>2082597.0107026021</v>
      </c>
      <c r="AC60" s="147">
        <f t="shared" si="42"/>
        <v>192832.14709882019</v>
      </c>
      <c r="AD60" s="147">
        <f t="shared" si="43"/>
        <v>0</v>
      </c>
      <c r="AE60" s="175"/>
      <c r="AF60" s="171">
        <v>1.4316124396888188</v>
      </c>
      <c r="AG60" s="172">
        <f t="shared" si="39"/>
        <v>0.44324783236789039</v>
      </c>
      <c r="AH60" s="173"/>
      <c r="AI60" s="287">
        <f t="shared" si="34"/>
        <v>1.4316124396888188</v>
      </c>
      <c r="AJ60" s="156"/>
      <c r="AK60" s="141"/>
      <c r="AL60" s="139"/>
      <c r="AM60" s="139"/>
      <c r="AN60" s="139"/>
      <c r="AO60" s="138"/>
      <c r="AP60" s="138"/>
      <c r="AQ60" s="169"/>
      <c r="AR60" s="138"/>
      <c r="AS60" s="138"/>
      <c r="AV60" s="135"/>
      <c r="AW60" s="135"/>
    </row>
    <row r="61" spans="1:49" s="167" customFormat="1" x14ac:dyDescent="0.25">
      <c r="A61" s="155" t="s">
        <v>257</v>
      </c>
      <c r="B61" s="167" t="s">
        <v>269</v>
      </c>
      <c r="C61" s="167" t="s">
        <v>267</v>
      </c>
      <c r="D61" s="167" t="s">
        <v>279</v>
      </c>
      <c r="E61" s="167" t="s">
        <v>274</v>
      </c>
      <c r="F61" s="168" t="s">
        <v>289</v>
      </c>
      <c r="G61" s="138">
        <f>SUMIFS('G2-8 Summary'!P:P,'G2-8 Summary'!K:K,A61,'G2-8 Summary'!H:H,E61)</f>
        <v>1</v>
      </c>
      <c r="H61" s="138">
        <f>SUMIFS('G2-8 Summary'!Q:Q,'G2-8 Summary'!K:K,A61,'G2-8 Summary'!H:H,E61)</f>
        <v>12</v>
      </c>
      <c r="I61" s="138">
        <f>SUMIFS('G2-8 Summary'!U:U,'G2-8 Summary'!K:K,A61,'G2-8 Summary'!H:H,E61)</f>
        <v>2236699.4899999998</v>
      </c>
      <c r="J61" s="169"/>
      <c r="K61" s="142">
        <v>9500</v>
      </c>
      <c r="L61" s="153">
        <f t="shared" si="35"/>
        <v>0.18051</v>
      </c>
      <c r="M61" s="187">
        <f t="shared" si="36"/>
        <v>0.18050552912671339</v>
      </c>
      <c r="N61" s="143"/>
      <c r="O61" s="149">
        <f t="shared" ref="O61:O62" si="47">K61*$H61</f>
        <v>114000</v>
      </c>
      <c r="P61" s="149">
        <f t="shared" ref="P61:P62" si="48">I61*L61</f>
        <v>403746.62493989995</v>
      </c>
      <c r="Q61" s="149">
        <f t="shared" ref="Q61" si="49">SUM(O61:P61)-10</f>
        <v>517736.62493989995</v>
      </c>
      <c r="R61" s="166"/>
      <c r="S61" s="159"/>
      <c r="T61" s="170">
        <f>SUMIFS('G2-8 Summary'!AC:AC,'G2-8 Summary'!$K:$K,$A61,'G2-8 Summary'!$H:$H,$E61)</f>
        <v>108000</v>
      </c>
      <c r="U61" s="170">
        <f>SUMIFS('G2-8 Summary'!AD:AD,'G2-8 Summary'!$K:$K,$A61,'G2-8 Summary'!$H:$H,$E61)</f>
        <v>136971.00336861997</v>
      </c>
      <c r="V61" s="170">
        <f>SUMIFS('G2-8 Summary'!AE:AE,'G2-8 Summary'!$K:$K,$A61,'G2-8 Summary'!$H:$H,$E61)</f>
        <v>82936.817089199991</v>
      </c>
      <c r="W61" s="170">
        <f t="shared" ref="W61:W62" si="50">SUM(T61:V61)</f>
        <v>327907.82045781997</v>
      </c>
      <c r="X61" s="152"/>
      <c r="Y61" s="152"/>
      <c r="Z61" s="160"/>
      <c r="AA61" s="147">
        <f t="shared" si="37"/>
        <v>429432.80487748649</v>
      </c>
      <c r="AB61" s="147">
        <f t="shared" ref="AB61:AB62" si="51">W61*(1+AG61)</f>
        <v>517736.62493989995</v>
      </c>
      <c r="AC61" s="147">
        <f t="shared" ref="AC61:AC62" si="52">AB61-AA61</f>
        <v>88303.820062413462</v>
      </c>
      <c r="AD61" s="147">
        <f t="shared" ref="AD61:AD62" si="53">Q61-AB61</f>
        <v>0</v>
      </c>
      <c r="AE61" s="175"/>
      <c r="AF61" s="171">
        <v>1.8697742783923839</v>
      </c>
      <c r="AG61" s="172">
        <f t="shared" si="39"/>
        <v>0.57890904894260786</v>
      </c>
      <c r="AH61" s="173"/>
      <c r="AI61" s="287">
        <f t="shared" si="34"/>
        <v>1.8697742783923839</v>
      </c>
      <c r="AJ61" s="156"/>
      <c r="AK61" s="141"/>
      <c r="AL61" s="139"/>
      <c r="AM61" s="139"/>
      <c r="AN61" s="139"/>
      <c r="AO61" s="138"/>
      <c r="AP61" s="138"/>
      <c r="AQ61" s="169"/>
      <c r="AR61" s="138"/>
      <c r="AS61" s="138"/>
      <c r="AV61" s="135"/>
      <c r="AW61" s="135"/>
    </row>
    <row r="62" spans="1:49" s="167" customFormat="1" x14ac:dyDescent="0.25">
      <c r="A62" s="155" t="s">
        <v>257</v>
      </c>
      <c r="B62" s="167" t="s">
        <v>269</v>
      </c>
      <c r="C62" s="167" t="s">
        <v>267</v>
      </c>
      <c r="D62" s="167" t="s">
        <v>288</v>
      </c>
      <c r="E62" s="167" t="s">
        <v>287</v>
      </c>
      <c r="F62" s="168" t="s">
        <v>290</v>
      </c>
      <c r="G62" s="138">
        <f>SUMIFS('G2-8 Summary'!P:P,'G2-8 Summary'!K:K,A62,'G2-8 Summary'!H:H,E62)</f>
        <v>2</v>
      </c>
      <c r="H62" s="138">
        <f>SUMIFS('G2-8 Summary'!Q:Q,'G2-8 Summary'!K:K,A62,'G2-8 Summary'!H:H,E62)</f>
        <v>24</v>
      </c>
      <c r="I62" s="138">
        <f>SUMIFS('G2-8 Summary'!U:U,'G2-8 Summary'!K:K,A62,'G2-8 Summary'!H:H,E62)</f>
        <v>13334614.040000005</v>
      </c>
      <c r="J62" s="169"/>
      <c r="K62" s="142">
        <v>9500</v>
      </c>
      <c r="L62" s="153">
        <f>ROUND(M62,5)</f>
        <v>0.17322000000000001</v>
      </c>
      <c r="M62" s="187">
        <f>(AB62-O62)/I62</f>
        <v>0.17322000000000001</v>
      </c>
      <c r="N62" s="143"/>
      <c r="O62" s="149">
        <f t="shared" si="47"/>
        <v>228000</v>
      </c>
      <c r="P62" s="149">
        <f t="shared" si="48"/>
        <v>2309821.844008801</v>
      </c>
      <c r="Q62" s="149">
        <f>SUM(O62:P62)</f>
        <v>2537821.844008801</v>
      </c>
      <c r="R62" s="166"/>
      <c r="S62" s="159"/>
      <c r="T62" s="170">
        <f>SUMIFS('G2-8 Summary'!AC:AC,'G2-8 Summary'!$K:$K,$A62,'G2-8 Summary'!$H:$H,$E62)</f>
        <v>216000</v>
      </c>
      <c r="U62" s="170">
        <f>SUMIFS('G2-8 Summary'!AD:AD,'G2-8 Summary'!$K:$K,$A62,'G2-8 Summary'!$H:$H,$E62)</f>
        <v>816585.0945815203</v>
      </c>
      <c r="V62" s="170">
        <f>SUMIFS('G2-8 Summary'!AE:AE,'G2-8 Summary'!$K:$K,$A62,'G2-8 Summary'!$H:$H,$E62)</f>
        <v>494447.48860320018</v>
      </c>
      <c r="W62" s="170">
        <f t="shared" si="50"/>
        <v>1527032.5831847205</v>
      </c>
      <c r="X62" s="152"/>
      <c r="Y62" s="152"/>
      <c r="Z62" s="160"/>
      <c r="AA62" s="147">
        <f t="shared" si="37"/>
        <v>1999823.8664169977</v>
      </c>
      <c r="AB62" s="147">
        <f t="shared" si="51"/>
        <v>2537821.844008801</v>
      </c>
      <c r="AC62" s="147">
        <f t="shared" si="52"/>
        <v>537997.9775918033</v>
      </c>
      <c r="AD62" s="147">
        <f t="shared" si="53"/>
        <v>0</v>
      </c>
      <c r="AE62" s="175"/>
      <c r="AF62" s="171">
        <v>2.1379185629517852</v>
      </c>
      <c r="AG62" s="172">
        <f t="shared" si="39"/>
        <v>0.66193038181020158</v>
      </c>
      <c r="AH62" s="173"/>
      <c r="AI62" s="287">
        <f t="shared" si="34"/>
        <v>2.1379185629517856</v>
      </c>
      <c r="AJ62" s="156"/>
      <c r="AK62" s="141"/>
      <c r="AL62" s="139"/>
      <c r="AM62" s="139"/>
      <c r="AN62" s="139"/>
      <c r="AO62" s="138"/>
      <c r="AP62" s="138"/>
      <c r="AQ62" s="169"/>
      <c r="AR62" s="138"/>
      <c r="AS62" s="138"/>
      <c r="AV62" s="135"/>
      <c r="AW62" s="135"/>
    </row>
    <row r="63" spans="1:49" s="167" customFormat="1" x14ac:dyDescent="0.25">
      <c r="A63" s="155" t="s">
        <v>257</v>
      </c>
      <c r="B63" s="167" t="s">
        <v>61</v>
      </c>
      <c r="C63" s="167" t="s">
        <v>18</v>
      </c>
      <c r="D63" s="167" t="s">
        <v>61</v>
      </c>
      <c r="E63" s="167" t="s">
        <v>18</v>
      </c>
      <c r="F63" s="168" t="s">
        <v>254</v>
      </c>
      <c r="G63" s="138">
        <f>SUMIFS('G2-8 Summary'!P:P,'G2-8 Summary'!K:K,A63,'G2-8 Summary'!H:H,E63)</f>
        <v>17</v>
      </c>
      <c r="H63" s="138">
        <f>SUMIFS('G2-8 Summary'!Q:Q,'G2-8 Summary'!K:K,A63,'G2-8 Summary'!H:H,E63)</f>
        <v>204</v>
      </c>
      <c r="I63" s="138">
        <f>SUMIFS('G2-8 Summary'!U:U,'G2-8 Summary'!K:K,A63,'G2-8 Summary'!H:H,E63)</f>
        <v>9502458.6362488344</v>
      </c>
      <c r="J63" s="169"/>
      <c r="K63" s="142">
        <f>K56</f>
        <v>750</v>
      </c>
      <c r="L63" s="153">
        <f t="shared" si="35"/>
        <v>0.36749999999999999</v>
      </c>
      <c r="M63" s="187">
        <f t="shared" si="36"/>
        <v>0.36749999999999994</v>
      </c>
      <c r="N63" s="143"/>
      <c r="O63" s="149">
        <f t="shared" si="28"/>
        <v>153000</v>
      </c>
      <c r="P63" s="149">
        <f t="shared" si="29"/>
        <v>3492153.5488214465</v>
      </c>
      <c r="Q63" s="149">
        <f t="shared" si="30"/>
        <v>3645153.5488214465</v>
      </c>
      <c r="R63" s="166"/>
      <c r="S63" s="159"/>
      <c r="T63" s="170">
        <f>SUMIFS('G2-8 Summary'!AC:AC,'G2-8 Summary'!$K:$K,$A63,'G2-8 Summary'!$H:$H,$E63)</f>
        <v>57120</v>
      </c>
      <c r="U63" s="170">
        <f>SUMIFS('G2-8 Summary'!AD:AD,'G2-8 Summary'!$K:$K,$A63,'G2-8 Summary'!$H:$H,$E63)</f>
        <v>2193167.4532462312</v>
      </c>
      <c r="V63" s="170">
        <f>SUMIFS('G2-8 Summary'!AE:AE,'G2-8 Summary'!$K:$K,$A63,'G2-8 Summary'!$H:$H,$E63)</f>
        <v>906154.4555526888</v>
      </c>
      <c r="W63" s="170">
        <f t="shared" si="31"/>
        <v>3156441.90879892</v>
      </c>
      <c r="X63" s="152"/>
      <c r="Y63" s="152"/>
      <c r="Z63" s="160"/>
      <c r="AA63" s="147">
        <f t="shared" si="37"/>
        <v>4133721.7893610075</v>
      </c>
      <c r="AB63" s="147">
        <f t="shared" si="32"/>
        <v>3645153.548821446</v>
      </c>
      <c r="AC63" s="147">
        <f t="shared" si="38"/>
        <v>-488568.24053956149</v>
      </c>
      <c r="AD63" s="147">
        <f t="shared" si="33"/>
        <v>0</v>
      </c>
      <c r="AE63" s="175"/>
      <c r="AF63" s="171">
        <v>0.50007336664031332</v>
      </c>
      <c r="AG63" s="172">
        <f t="shared" si="39"/>
        <v>0.15482991740167637</v>
      </c>
      <c r="AH63" s="173"/>
      <c r="AI63" s="287">
        <f t="shared" si="34"/>
        <v>0.50007336664031332</v>
      </c>
      <c r="AJ63" s="156"/>
      <c r="AK63" s="141"/>
      <c r="AL63" s="139"/>
      <c r="AM63" s="139"/>
      <c r="AN63" s="139"/>
      <c r="AO63" s="138"/>
      <c r="AP63" s="138"/>
      <c r="AQ63" s="169"/>
      <c r="AR63" s="138"/>
      <c r="AS63" s="138"/>
      <c r="AV63" s="135"/>
      <c r="AW63" s="135"/>
    </row>
    <row r="64" spans="1:49" s="167" customFormat="1" x14ac:dyDescent="0.25">
      <c r="A64" s="155" t="s">
        <v>257</v>
      </c>
      <c r="B64" s="167" t="s">
        <v>62</v>
      </c>
      <c r="C64" s="167" t="s">
        <v>19</v>
      </c>
      <c r="D64" s="167" t="s">
        <v>62</v>
      </c>
      <c r="E64" s="167" t="s">
        <v>19</v>
      </c>
      <c r="F64" s="168" t="s">
        <v>45</v>
      </c>
      <c r="G64" s="138">
        <f>SUMIFS('G2-8 Summary'!P:P,'G2-8 Summary'!K:K,A64,'G2-8 Summary'!H:H,E64)</f>
        <v>3</v>
      </c>
      <c r="H64" s="138">
        <f>SUMIFS('G2-8 Summary'!Q:Q,'G2-8 Summary'!K:K,A64,'G2-8 Summary'!H:H,E64)</f>
        <v>36</v>
      </c>
      <c r="I64" s="138">
        <f>SUMIFS('G2-8 Summary'!U:U,'G2-8 Summary'!K:K,A64,'G2-8 Summary'!H:H,E64)</f>
        <v>1022277.8566666668</v>
      </c>
      <c r="J64" s="169"/>
      <c r="K64" s="142">
        <v>250</v>
      </c>
      <c r="L64" s="153">
        <f t="shared" si="35"/>
        <v>0.49803999999999998</v>
      </c>
      <c r="M64" s="187">
        <f t="shared" si="36"/>
        <v>0.49803999999999998</v>
      </c>
      <c r="N64" s="143"/>
      <c r="O64" s="149">
        <f t="shared" si="28"/>
        <v>9000</v>
      </c>
      <c r="P64" s="149">
        <f t="shared" si="29"/>
        <v>509135.26373426674</v>
      </c>
      <c r="Q64" s="149">
        <f t="shared" si="30"/>
        <v>518135.26373426674</v>
      </c>
      <c r="R64" s="166"/>
      <c r="S64" s="159"/>
      <c r="T64" s="170">
        <f>SUMIFS('G2-8 Summary'!AC:AC,'G2-8 Summary'!$K:$K,$A64,'G2-8 Summary'!$H:$H,$E64)</f>
        <v>3600</v>
      </c>
      <c r="U64" s="170">
        <f>SUMIFS('G2-8 Summary'!AD:AD,'G2-8 Summary'!$K:$K,$A64,'G2-8 Summary'!$H:$H,$E64)</f>
        <v>174921.96405423339</v>
      </c>
      <c r="V64" s="170">
        <f>SUMIFS('G2-8 Summary'!AE:AE,'G2-8 Summary'!$K:$K,$A64,'G2-8 Summary'!$H:$H,$E64)</f>
        <v>217116.22809206671</v>
      </c>
      <c r="W64" s="170">
        <f t="shared" si="31"/>
        <v>395638.19214630011</v>
      </c>
      <c r="X64" s="152"/>
      <c r="Y64" s="152"/>
      <c r="Z64" s="160"/>
      <c r="AA64" s="147">
        <f t="shared" si="37"/>
        <v>518133.47523347184</v>
      </c>
      <c r="AB64" s="147">
        <f t="shared" si="32"/>
        <v>518135.26373426674</v>
      </c>
      <c r="AC64" s="147">
        <f t="shared" si="38"/>
        <v>1.7885007949080318</v>
      </c>
      <c r="AD64" s="147">
        <f t="shared" si="33"/>
        <v>0</v>
      </c>
      <c r="AE64" s="175"/>
      <c r="AF64" s="171">
        <v>1.0000146005686896</v>
      </c>
      <c r="AG64" s="172">
        <f t="shared" si="39"/>
        <v>0.30961892461248869</v>
      </c>
      <c r="AH64" s="173"/>
      <c r="AI64" s="287">
        <f t="shared" si="34"/>
        <v>1.0000146005686896</v>
      </c>
      <c r="AJ64" s="156"/>
      <c r="AK64" s="141"/>
      <c r="AL64" s="139"/>
      <c r="AM64" s="139"/>
      <c r="AN64" s="139"/>
      <c r="AO64" s="138"/>
      <c r="AP64" s="138"/>
      <c r="AQ64" s="169"/>
      <c r="AR64" s="138"/>
      <c r="AS64" s="138"/>
      <c r="AV64" s="135"/>
      <c r="AW64" s="135"/>
    </row>
    <row r="65" spans="1:49" s="167" customFormat="1" x14ac:dyDescent="0.25">
      <c r="A65" s="155" t="s">
        <v>257</v>
      </c>
      <c r="B65" s="167" t="s">
        <v>63</v>
      </c>
      <c r="C65" s="167" t="s">
        <v>20</v>
      </c>
      <c r="D65" s="167" t="s">
        <v>63</v>
      </c>
      <c r="E65" s="167" t="s">
        <v>20</v>
      </c>
      <c r="F65" s="168" t="s">
        <v>45</v>
      </c>
      <c r="G65" s="138">
        <f>SUMIFS('G2-8 Summary'!P:P,'G2-8 Summary'!K:K,A65,'G2-8 Summary'!H:H,E65)</f>
        <v>29</v>
      </c>
      <c r="H65" s="138">
        <f>SUMIFS('G2-8 Summary'!Q:Q,'G2-8 Summary'!K:K,A65,'G2-8 Summary'!H:H,E65)</f>
        <v>348</v>
      </c>
      <c r="I65" s="138">
        <f>SUMIFS('G2-8 Summary'!U:U,'G2-8 Summary'!K:K,A65,'G2-8 Summary'!H:H,E65)</f>
        <v>99722.64</v>
      </c>
      <c r="J65" s="169"/>
      <c r="K65" s="142">
        <v>0</v>
      </c>
      <c r="L65" s="153">
        <f t="shared" si="35"/>
        <v>0.66344000000000003</v>
      </c>
      <c r="M65" s="187">
        <f t="shared" si="36"/>
        <v>0.66344000000000003</v>
      </c>
      <c r="N65" s="143"/>
      <c r="O65" s="149">
        <f t="shared" si="28"/>
        <v>0</v>
      </c>
      <c r="P65" s="149">
        <f>I65*L65</f>
        <v>66159.988281600003</v>
      </c>
      <c r="Q65" s="149">
        <f t="shared" si="30"/>
        <v>66159.988281600003</v>
      </c>
      <c r="R65" s="166"/>
      <c r="S65" s="159"/>
      <c r="T65" s="170">
        <f>SUMIFS('G2-8 Summary'!AC:AC,'G2-8 Summary'!$K:$K,$A65,'G2-8 Summary'!$H:$H,$E65)</f>
        <v>0</v>
      </c>
      <c r="U65" s="170">
        <f>SUMIFS('G2-8 Summary'!AD:AD,'G2-8 Summary'!$K:$K,$A65,'G2-8 Summary'!$H:$H,$E65)</f>
        <v>24142.851144</v>
      </c>
      <c r="V65" s="170">
        <f>SUMIFS('G2-8 Summary'!AE:AE,'G2-8 Summary'!$K:$K,$A65,'G2-8 Summary'!$H:$H,$E65)</f>
        <v>113734.66814640003</v>
      </c>
      <c r="W65" s="170">
        <f t="shared" si="31"/>
        <v>137877.51929040003</v>
      </c>
      <c r="X65" s="152"/>
      <c r="Y65" s="152"/>
      <c r="Z65" s="160"/>
      <c r="AA65" s="147">
        <f t="shared" si="37"/>
        <v>180566.38525961147</v>
      </c>
      <c r="AB65" s="147">
        <f t="shared" si="32"/>
        <v>66159.988281600003</v>
      </c>
      <c r="AC65" s="147">
        <f t="shared" si="38"/>
        <v>-114406.39697801147</v>
      </c>
      <c r="AD65" s="147">
        <f t="shared" si="33"/>
        <v>0</v>
      </c>
      <c r="AE65" s="175"/>
      <c r="AF65" s="171">
        <v>-1.6800055326024577</v>
      </c>
      <c r="AG65" s="172">
        <f t="shared" si="39"/>
        <v>-0.52015391180448578</v>
      </c>
      <c r="AH65" s="173"/>
      <c r="AI65" s="287">
        <f t="shared" si="34"/>
        <v>-1.6800055326024577</v>
      </c>
      <c r="AJ65" s="156"/>
      <c r="AK65" s="141"/>
      <c r="AL65" s="139"/>
      <c r="AM65" s="139"/>
      <c r="AN65" s="139"/>
      <c r="AO65" s="138"/>
      <c r="AP65" s="138"/>
      <c r="AQ65" s="169"/>
      <c r="AR65" s="138"/>
      <c r="AS65" s="138"/>
      <c r="AV65" s="135"/>
      <c r="AW65" s="135"/>
    </row>
    <row r="66" spans="1:49" s="167" customFormat="1" ht="17.25" x14ac:dyDescent="0.4">
      <c r="A66" s="155" t="s">
        <v>257</v>
      </c>
      <c r="B66" s="167" t="s">
        <v>64</v>
      </c>
      <c r="C66" s="167" t="s">
        <v>21</v>
      </c>
      <c r="D66" s="167" t="s">
        <v>64</v>
      </c>
      <c r="E66" s="167" t="s">
        <v>21</v>
      </c>
      <c r="F66" s="168" t="s">
        <v>45</v>
      </c>
      <c r="G66" s="138">
        <f>SUMIFS('G2-8 Summary'!P:P,'G2-8 Summary'!K:K,A66,'G2-8 Summary'!H:H,E66)</f>
        <v>303</v>
      </c>
      <c r="H66" s="138">
        <f>SUMIFS('G2-8 Summary'!Q:Q,'G2-8 Summary'!K:K,A66,'G2-8 Summary'!H:H,E66)</f>
        <v>3636</v>
      </c>
      <c r="I66" s="138">
        <f>SUMIFS('G2-8 Summary'!U:U,'G2-8 Summary'!K:K,A66,'G2-8 Summary'!H:H,E66)</f>
        <v>62693.344449740995</v>
      </c>
      <c r="J66" s="169"/>
      <c r="K66" s="142">
        <v>65</v>
      </c>
      <c r="L66" s="153">
        <f t="shared" si="35"/>
        <v>0.18104999999999999</v>
      </c>
      <c r="M66" s="187">
        <f t="shared" si="36"/>
        <v>0.18105000000000029</v>
      </c>
      <c r="N66" s="143"/>
      <c r="O66" s="79">
        <f t="shared" si="28"/>
        <v>236340</v>
      </c>
      <c r="P66" s="79">
        <f t="shared" si="29"/>
        <v>11350.630012625606</v>
      </c>
      <c r="Q66" s="79">
        <f t="shared" si="30"/>
        <v>247690.6300126256</v>
      </c>
      <c r="R66" s="166"/>
      <c r="S66" s="159"/>
      <c r="T66" s="292">
        <f>SUMIFS('G2-8 Summary'!AC:AC,'G2-8 Summary'!$K:$K,$A66,'G2-8 Summary'!$H:$H,$E66)</f>
        <v>130205.16</v>
      </c>
      <c r="U66" s="292">
        <f>SUMIFS('G2-8 Summary'!AD:AD,'G2-8 Summary'!$K:$K,$A66,'G2-8 Summary'!$H:$H,$E66)</f>
        <v>24535.667283850635</v>
      </c>
      <c r="V66" s="292">
        <f>SUMIFS('G2-8 Summary'!AE:AE,'G2-8 Summary'!$K:$K,$A66,'G2-8 Summary'!$H:$H,$E66)</f>
        <v>14398.153486327519</v>
      </c>
      <c r="W66" s="292">
        <f t="shared" si="31"/>
        <v>169138.98077017817</v>
      </c>
      <c r="X66" s="152"/>
      <c r="Y66" s="152"/>
      <c r="Z66" s="75"/>
      <c r="AA66" s="147">
        <f t="shared" si="37"/>
        <v>221506.84550568694</v>
      </c>
      <c r="AB66" s="147">
        <f t="shared" si="32"/>
        <v>247690.63001262562</v>
      </c>
      <c r="AC66" s="147">
        <f t="shared" si="38"/>
        <v>26183.784506938682</v>
      </c>
      <c r="AD66" s="147">
        <f t="shared" si="33"/>
        <v>0</v>
      </c>
      <c r="AE66" s="175"/>
      <c r="AF66" s="171">
        <v>1.4999971764971423</v>
      </c>
      <c r="AG66" s="172">
        <f t="shared" si="39"/>
        <v>0.4644207319020176</v>
      </c>
      <c r="AH66" s="173"/>
      <c r="AI66" s="287">
        <f t="shared" si="34"/>
        <v>1.4999971764971423</v>
      </c>
      <c r="AJ66" s="156"/>
      <c r="AK66" s="141"/>
      <c r="AL66" s="139"/>
      <c r="AM66" s="139"/>
      <c r="AN66" s="139"/>
      <c r="AO66" s="138"/>
      <c r="AP66" s="138"/>
      <c r="AQ66" s="169"/>
      <c r="AR66" s="138"/>
      <c r="AS66" s="138"/>
      <c r="AV66" s="135"/>
      <c r="AW66" s="135"/>
    </row>
    <row r="67" spans="1:49" s="121" customFormat="1" x14ac:dyDescent="0.25">
      <c r="A67" s="21"/>
      <c r="G67" s="21">
        <f>SUM(G48:G66)</f>
        <v>93154</v>
      </c>
      <c r="H67" s="21">
        <f>SUM(H48:H66)</f>
        <v>1117848</v>
      </c>
      <c r="I67" s="21">
        <f>SUM(I48:I66)</f>
        <v>131855157.69044574</v>
      </c>
      <c r="J67" s="293"/>
      <c r="K67" s="294"/>
      <c r="M67" s="100"/>
      <c r="N67" s="21"/>
      <c r="O67" s="30">
        <f>SUM(O48:O66)</f>
        <v>35279736</v>
      </c>
      <c r="P67" s="30">
        <f>SUM(P48:P66)</f>
        <v>66125729.708820395</v>
      </c>
      <c r="Q67" s="30">
        <f>SUM(Q48:Q66)</f>
        <v>101405435.70882037</v>
      </c>
      <c r="R67" s="30"/>
      <c r="S67" s="30"/>
      <c r="T67" s="295">
        <f>SUM(T48:T66)</f>
        <v>20676596.16</v>
      </c>
      <c r="U67" s="295">
        <f>SUM(U48:U66)</f>
        <v>36984722.057927974</v>
      </c>
      <c r="V67" s="295">
        <f>SUM(V48:V66)</f>
        <v>19746174.536107704</v>
      </c>
      <c r="W67" s="295">
        <f>SUM(W48:W66)</f>
        <v>77407492.754035681</v>
      </c>
      <c r="X67" s="295"/>
      <c r="Y67" s="295"/>
      <c r="Z67" s="295"/>
      <c r="AA67" s="296">
        <f>SUM(AA48:AA66)</f>
        <v>101373967.49332853</v>
      </c>
      <c r="AB67" s="296">
        <f>SUM(AB48:AB66)</f>
        <v>101405435.70882037</v>
      </c>
      <c r="AC67" s="296">
        <f>SUM(AC48:AC66)</f>
        <v>31468.215491851588</v>
      </c>
      <c r="AD67" s="296">
        <f>SUM(AD48:AD66)</f>
        <v>0</v>
      </c>
      <c r="AE67" s="247"/>
      <c r="AF67" s="297"/>
      <c r="AG67" s="247"/>
      <c r="AH67" s="295"/>
      <c r="AI67" s="288"/>
      <c r="AJ67" s="267"/>
      <c r="AK67" s="141"/>
      <c r="AO67" s="294"/>
      <c r="AP67" s="294"/>
      <c r="AQ67" s="293"/>
      <c r="AR67" s="294"/>
      <c r="AS67" s="294"/>
      <c r="AV67" s="298"/>
      <c r="AW67" s="298"/>
    </row>
    <row r="68" spans="1:49" s="167" customFormat="1" x14ac:dyDescent="0.25">
      <c r="A68" s="21"/>
      <c r="G68" s="21"/>
      <c r="H68" s="21"/>
      <c r="I68" s="21"/>
      <c r="J68" s="169"/>
      <c r="K68" s="114"/>
      <c r="L68" s="299"/>
      <c r="M68" s="101"/>
      <c r="N68" s="21"/>
      <c r="O68" s="30"/>
      <c r="P68" s="30"/>
      <c r="Q68" s="30"/>
      <c r="R68" s="30"/>
      <c r="S68" s="30"/>
      <c r="T68" s="295"/>
      <c r="U68" s="295"/>
      <c r="V68" s="295"/>
      <c r="W68" s="249">
        <f>E94</f>
        <v>0</v>
      </c>
      <c r="X68" s="295"/>
      <c r="Y68" s="295"/>
      <c r="Z68" s="295"/>
      <c r="AA68" s="295"/>
      <c r="AB68" s="295"/>
      <c r="AC68" s="295"/>
      <c r="AD68" s="295"/>
      <c r="AE68" s="295"/>
      <c r="AF68" s="297"/>
      <c r="AG68" s="295"/>
      <c r="AH68" s="295"/>
      <c r="AI68" s="288"/>
      <c r="AJ68" s="267"/>
      <c r="AK68" s="141"/>
      <c r="AO68" s="114"/>
      <c r="AP68" s="114"/>
      <c r="AQ68" s="169"/>
      <c r="AR68" s="114"/>
      <c r="AS68" s="114"/>
      <c r="AV68" s="113"/>
      <c r="AW68" s="113"/>
    </row>
    <row r="69" spans="1:49" s="167" customFormat="1" x14ac:dyDescent="0.25">
      <c r="J69" s="169"/>
      <c r="M69" s="103"/>
      <c r="P69" s="114"/>
      <c r="Q69" s="157"/>
      <c r="R69" s="157"/>
      <c r="S69" s="114"/>
      <c r="T69" s="146"/>
      <c r="U69" s="90"/>
      <c r="V69" s="90"/>
      <c r="W69" s="296"/>
      <c r="X69" s="296"/>
      <c r="Y69" s="296"/>
      <c r="Z69" s="296"/>
      <c r="AA69" s="296"/>
      <c r="AB69" s="296"/>
      <c r="AC69" s="296"/>
      <c r="AD69" s="296"/>
      <c r="AE69" s="296"/>
      <c r="AF69" s="297"/>
      <c r="AG69" s="296"/>
      <c r="AH69" s="296"/>
      <c r="AI69" s="288"/>
      <c r="AJ69" s="300"/>
      <c r="AK69" s="141"/>
      <c r="AO69" s="114"/>
      <c r="AP69" s="114"/>
      <c r="AQ69" s="169"/>
      <c r="AR69" s="114"/>
      <c r="AV69" s="113"/>
      <c r="AW69" s="113"/>
    </row>
    <row r="70" spans="1:49" s="313" customFormat="1" ht="15.75" thickBot="1" x14ac:dyDescent="0.3">
      <c r="A70" s="301"/>
      <c r="B70" s="301"/>
      <c r="C70" s="301"/>
      <c r="D70" s="301"/>
      <c r="E70" s="301"/>
      <c r="F70" s="301"/>
      <c r="G70" s="301"/>
      <c r="H70" s="301"/>
      <c r="I70" s="301"/>
      <c r="J70" s="302"/>
      <c r="K70" s="303"/>
      <c r="L70" s="304"/>
      <c r="M70" s="102"/>
      <c r="N70" s="87"/>
      <c r="O70" s="87"/>
      <c r="P70" s="305"/>
      <c r="Q70" s="306"/>
      <c r="R70" s="307"/>
      <c r="S70" s="307"/>
      <c r="T70" s="308"/>
      <c r="U70" s="309"/>
      <c r="V70" s="309"/>
      <c r="W70" s="309"/>
      <c r="X70" s="310"/>
      <c r="Y70" s="310"/>
      <c r="Z70" s="310"/>
      <c r="AA70" s="310"/>
      <c r="AB70" s="310"/>
      <c r="AC70" s="310"/>
      <c r="AD70" s="310"/>
      <c r="AE70" s="310"/>
      <c r="AF70" s="311"/>
      <c r="AG70" s="310"/>
      <c r="AH70" s="310"/>
      <c r="AI70" s="289"/>
      <c r="AJ70" s="312"/>
      <c r="AK70" s="141"/>
      <c r="AQ70" s="302"/>
      <c r="AR70" s="303"/>
      <c r="AS70" s="87"/>
    </row>
    <row r="71" spans="1:49" s="167" customFormat="1" x14ac:dyDescent="0.25">
      <c r="A71" s="207"/>
      <c r="B71" s="207"/>
      <c r="C71" s="314"/>
      <c r="D71" s="207"/>
      <c r="E71" s="314"/>
      <c r="F71" s="315"/>
      <c r="G71" s="315"/>
      <c r="H71" s="315"/>
      <c r="I71" s="207"/>
      <c r="J71" s="207"/>
      <c r="K71" s="112"/>
      <c r="L71" s="112"/>
      <c r="M71" s="107"/>
      <c r="N71" s="207"/>
      <c r="O71" s="207"/>
      <c r="P71" s="207"/>
      <c r="Q71" s="207"/>
      <c r="R71" s="207"/>
      <c r="S71" s="207"/>
      <c r="T71" s="316"/>
      <c r="U71" s="317"/>
      <c r="V71" s="317"/>
      <c r="W71" s="317"/>
      <c r="X71" s="317"/>
      <c r="Y71" s="317"/>
      <c r="Z71" s="317"/>
      <c r="AA71" s="317"/>
      <c r="AB71" s="318"/>
      <c r="AC71" s="317"/>
      <c r="AD71" s="317"/>
      <c r="AE71" s="317"/>
      <c r="AF71" s="319"/>
      <c r="AG71" s="317"/>
      <c r="AH71" s="317"/>
      <c r="AI71" s="290"/>
      <c r="AJ71" s="240"/>
      <c r="AK71" s="141"/>
      <c r="AQ71" s="207"/>
      <c r="AR71" s="320"/>
      <c r="AS71" s="207"/>
    </row>
    <row r="72" spans="1:49" s="167" customFormat="1" x14ac:dyDescent="0.25">
      <c r="B72" s="167" t="s">
        <v>40</v>
      </c>
      <c r="C72" s="167" t="s">
        <v>8</v>
      </c>
      <c r="F72" s="168" t="s">
        <v>39</v>
      </c>
      <c r="G72" s="138">
        <f>SUMIF($C$8:$C$68,C72,G$8:G$68)</f>
        <v>28255</v>
      </c>
      <c r="H72" s="138">
        <f>SUMIF($C$8:$C$68,$C72,H$8:H$68)</f>
        <v>339060</v>
      </c>
      <c r="I72" s="138">
        <f>SUMIF($C$8:$C$68,$C72,I$8:I$68)</f>
        <v>1520128.126995777</v>
      </c>
      <c r="J72" s="169"/>
      <c r="M72" s="103"/>
      <c r="O72" s="138">
        <f>SUMIF($C$8:$C$68,$C72,O$8:O$68)</f>
        <v>5568690</v>
      </c>
      <c r="P72" s="138">
        <f>SUMIF($C$8:$C$68,$C72,P$8:P$68)</f>
        <v>988130.79123152525</v>
      </c>
      <c r="Q72" s="138">
        <f>SUMIF($C$8:$C$68,$C72,Q$8:Q$68)</f>
        <v>6556820.7912315251</v>
      </c>
      <c r="R72" s="86"/>
      <c r="T72" s="138">
        <f t="shared" ref="T72:W87" si="54">SUMIF($C$8:$C$68,$C72,T$8:T$68)</f>
        <v>4287270</v>
      </c>
      <c r="U72" s="138">
        <f t="shared" si="54"/>
        <v>741683.05063494295</v>
      </c>
      <c r="V72" s="138">
        <f t="shared" si="54"/>
        <v>428057.16883729724</v>
      </c>
      <c r="W72" s="138">
        <f t="shared" si="54"/>
        <v>5457010.2194722407</v>
      </c>
      <c r="X72" s="86"/>
      <c r="Y72" s="86"/>
      <c r="Z72" s="152"/>
      <c r="AA72" s="138"/>
      <c r="AB72" s="138"/>
      <c r="AC72" s="138"/>
      <c r="AD72" s="138"/>
      <c r="AE72" s="147"/>
      <c r="AF72" s="171"/>
      <c r="AG72" s="172"/>
      <c r="AH72" s="173"/>
      <c r="AI72" s="287">
        <f t="shared" ref="AI72:AI87" si="55">((Q72-W72)/W72)/$F$97</f>
        <v>0.65094150826943853</v>
      </c>
      <c r="AJ72" s="174"/>
      <c r="AK72" s="141"/>
      <c r="AQ72" s="169"/>
    </row>
    <row r="73" spans="1:49" s="167" customFormat="1" x14ac:dyDescent="0.25">
      <c r="A73" s="207"/>
      <c r="B73" s="167" t="s">
        <v>42</v>
      </c>
      <c r="C73" s="167" t="s">
        <v>9</v>
      </c>
      <c r="F73" s="168" t="s">
        <v>41</v>
      </c>
      <c r="G73" s="138">
        <f t="shared" ref="G73:G87" si="56">SUMIF($C$8:$C$68,C73,G$8:G$68)</f>
        <v>37588</v>
      </c>
      <c r="H73" s="138">
        <f t="shared" ref="H73:I87" si="57">SUMIF($C$8:$C$68,$C73,H$8:H$68)</f>
        <v>451056</v>
      </c>
      <c r="I73" s="138">
        <f t="shared" si="57"/>
        <v>5975748.9535996541</v>
      </c>
      <c r="J73" s="207"/>
      <c r="K73" s="207"/>
      <c r="L73" s="321"/>
      <c r="M73" s="107"/>
      <c r="N73" s="207"/>
      <c r="O73" s="138">
        <f t="shared" ref="O73:Q87" si="58">SUMIF($C$8:$C$68,$C73,O$8:O$68)</f>
        <v>8746620</v>
      </c>
      <c r="P73" s="138">
        <f t="shared" si="58"/>
        <v>3883415.6592777888</v>
      </c>
      <c r="Q73" s="138">
        <f t="shared" si="58"/>
        <v>12630035.659277789</v>
      </c>
      <c r="R73" s="86"/>
      <c r="S73" s="207"/>
      <c r="T73" s="138">
        <f t="shared" si="54"/>
        <v>5801880</v>
      </c>
      <c r="U73" s="138">
        <f t="shared" si="54"/>
        <v>2911577.8511502533</v>
      </c>
      <c r="V73" s="138">
        <f t="shared" si="54"/>
        <v>1615370.4331046874</v>
      </c>
      <c r="W73" s="138">
        <f t="shared" si="54"/>
        <v>10328828.284254942</v>
      </c>
      <c r="X73" s="86"/>
      <c r="Y73" s="86"/>
      <c r="Z73" s="152"/>
      <c r="AA73" s="138"/>
      <c r="AB73" s="138"/>
      <c r="AC73" s="138"/>
      <c r="AD73" s="138"/>
      <c r="AE73" s="147"/>
      <c r="AF73" s="171"/>
      <c r="AG73" s="172"/>
      <c r="AH73" s="173"/>
      <c r="AI73" s="287">
        <f t="shared" si="55"/>
        <v>0.71958738774804176</v>
      </c>
      <c r="AJ73" s="240"/>
      <c r="AK73" s="141"/>
      <c r="AL73" s="109"/>
      <c r="AQ73" s="207"/>
      <c r="AR73" s="207"/>
      <c r="AS73" s="207"/>
    </row>
    <row r="74" spans="1:49" s="167" customFormat="1" x14ac:dyDescent="0.25">
      <c r="B74" s="167" t="s">
        <v>268</v>
      </c>
      <c r="C74" s="167" t="s">
        <v>266</v>
      </c>
      <c r="F74" s="168" t="s">
        <v>43</v>
      </c>
      <c r="G74" s="138">
        <f t="shared" si="56"/>
        <v>19490</v>
      </c>
      <c r="H74" s="138">
        <f t="shared" si="57"/>
        <v>233880</v>
      </c>
      <c r="I74" s="138">
        <f t="shared" si="57"/>
        <v>12959344.91270558</v>
      </c>
      <c r="J74" s="169"/>
      <c r="M74" s="103"/>
      <c r="O74" s="138">
        <f t="shared" si="58"/>
        <v>6178500</v>
      </c>
      <c r="P74" s="138">
        <f t="shared" si="58"/>
        <v>8457836.2146490067</v>
      </c>
      <c r="Q74" s="138">
        <f t="shared" si="58"/>
        <v>14636336.214649007</v>
      </c>
      <c r="R74" s="86"/>
      <c r="T74" s="138">
        <f t="shared" si="54"/>
        <v>3150330</v>
      </c>
      <c r="U74" s="138">
        <f t="shared" si="54"/>
        <v>6225372.1781331925</v>
      </c>
      <c r="V74" s="138">
        <f t="shared" si="54"/>
        <v>3681014.9305256098</v>
      </c>
      <c r="W74" s="138">
        <f t="shared" si="54"/>
        <v>13056717.1086588</v>
      </c>
      <c r="X74" s="86"/>
      <c r="Y74" s="86"/>
      <c r="Z74" s="152"/>
      <c r="AA74" s="138"/>
      <c r="AB74" s="138"/>
      <c r="AC74" s="138"/>
      <c r="AD74" s="138"/>
      <c r="AE74" s="147"/>
      <c r="AF74" s="171"/>
      <c r="AG74" s="172"/>
      <c r="AH74" s="173"/>
      <c r="AI74" s="287">
        <f t="shared" si="55"/>
        <v>0.39074841620393719</v>
      </c>
      <c r="AJ74" s="174"/>
      <c r="AK74" s="141"/>
      <c r="AL74" s="109"/>
      <c r="AQ74" s="169"/>
    </row>
    <row r="75" spans="1:49" s="167" customFormat="1" x14ac:dyDescent="0.25">
      <c r="B75" s="167" t="s">
        <v>44</v>
      </c>
      <c r="C75" s="167" t="s">
        <v>10</v>
      </c>
      <c r="F75" s="168" t="s">
        <v>45</v>
      </c>
      <c r="G75" s="138">
        <f t="shared" si="56"/>
        <v>883</v>
      </c>
      <c r="H75" s="138">
        <f t="shared" si="57"/>
        <v>10596</v>
      </c>
      <c r="I75" s="138">
        <f t="shared" si="57"/>
        <v>96298.671290106227</v>
      </c>
      <c r="J75" s="169"/>
      <c r="K75" s="112"/>
      <c r="M75" s="103"/>
      <c r="O75" s="138">
        <f t="shared" si="58"/>
        <v>386754</v>
      </c>
      <c r="P75" s="138">
        <f t="shared" si="58"/>
        <v>62965.849209748856</v>
      </c>
      <c r="Q75" s="138">
        <f t="shared" si="58"/>
        <v>449719.84920974885</v>
      </c>
      <c r="R75" s="86"/>
      <c r="T75" s="138">
        <f t="shared" si="54"/>
        <v>225165</v>
      </c>
      <c r="U75" s="138">
        <f t="shared" si="54"/>
        <v>47983.70193043413</v>
      </c>
      <c r="V75" s="138">
        <f t="shared" si="54"/>
        <v>30470.825569615416</v>
      </c>
      <c r="W75" s="138">
        <f t="shared" si="54"/>
        <v>303619.52750004956</v>
      </c>
      <c r="X75" s="86"/>
      <c r="Y75" s="86"/>
      <c r="Z75" s="152"/>
      <c r="AA75" s="138"/>
      <c r="AB75" s="138"/>
      <c r="AC75" s="138"/>
      <c r="AD75" s="138"/>
      <c r="AE75" s="147"/>
      <c r="AF75" s="171"/>
      <c r="AG75" s="172"/>
      <c r="AH75" s="173"/>
      <c r="AI75" s="287">
        <f t="shared" si="55"/>
        <v>1.5541764186902796</v>
      </c>
      <c r="AJ75" s="174"/>
      <c r="AK75" s="141"/>
      <c r="AL75" s="109"/>
      <c r="AQ75" s="169"/>
    </row>
    <row r="76" spans="1:49" s="167" customFormat="1" x14ac:dyDescent="0.25">
      <c r="B76" s="167" t="s">
        <v>47</v>
      </c>
      <c r="C76" s="167" t="s">
        <v>11</v>
      </c>
      <c r="F76" s="168" t="s">
        <v>46</v>
      </c>
      <c r="G76" s="138">
        <f t="shared" si="56"/>
        <v>2148</v>
      </c>
      <c r="H76" s="138">
        <f t="shared" si="57"/>
        <v>25776</v>
      </c>
      <c r="I76" s="138">
        <f t="shared" si="57"/>
        <v>691996.13353850623</v>
      </c>
      <c r="J76" s="169"/>
      <c r="M76" s="103"/>
      <c r="O76" s="138">
        <f t="shared" si="58"/>
        <v>1026540</v>
      </c>
      <c r="P76" s="138">
        <f t="shared" si="58"/>
        <v>482235.66121024278</v>
      </c>
      <c r="Q76" s="138">
        <f t="shared" si="58"/>
        <v>1508775.6612102429</v>
      </c>
      <c r="R76" s="86"/>
      <c r="T76" s="138">
        <f t="shared" si="54"/>
        <v>830418</v>
      </c>
      <c r="U76" s="138">
        <f t="shared" si="54"/>
        <v>258188.96174158977</v>
      </c>
      <c r="V76" s="138">
        <f t="shared" si="54"/>
        <v>142385.5868148492</v>
      </c>
      <c r="W76" s="138">
        <f t="shared" si="54"/>
        <v>1230992.5485564389</v>
      </c>
      <c r="X76" s="86"/>
      <c r="Y76" s="86"/>
      <c r="Z76" s="152"/>
      <c r="AA76" s="138"/>
      <c r="AB76" s="138"/>
      <c r="AC76" s="138"/>
      <c r="AD76" s="138"/>
      <c r="AE76" s="147"/>
      <c r="AF76" s="171"/>
      <c r="AG76" s="172"/>
      <c r="AH76" s="173"/>
      <c r="AI76" s="287">
        <f t="shared" si="55"/>
        <v>0.72883506524080433</v>
      </c>
      <c r="AJ76" s="174"/>
      <c r="AK76" s="141"/>
      <c r="AL76" s="109"/>
      <c r="AQ76" s="169"/>
    </row>
    <row r="77" spans="1:49" s="167" customFormat="1" x14ac:dyDescent="0.25">
      <c r="B77" s="167" t="s">
        <v>49</v>
      </c>
      <c r="C77" s="167" t="s">
        <v>12</v>
      </c>
      <c r="F77" s="168" t="s">
        <v>48</v>
      </c>
      <c r="G77" s="138">
        <f t="shared" si="56"/>
        <v>2491</v>
      </c>
      <c r="H77" s="138">
        <f t="shared" si="57"/>
        <v>29892</v>
      </c>
      <c r="I77" s="138">
        <f t="shared" si="57"/>
        <v>7230025.7893528091</v>
      </c>
      <c r="J77" s="169"/>
      <c r="M77" s="103"/>
      <c r="O77" s="138">
        <f t="shared" si="58"/>
        <v>2087280</v>
      </c>
      <c r="P77" s="138">
        <f t="shared" si="58"/>
        <v>5040642.2928782562</v>
      </c>
      <c r="Q77" s="138">
        <f t="shared" si="58"/>
        <v>7127922.2928782562</v>
      </c>
      <c r="R77" s="86"/>
      <c r="T77" s="138">
        <f t="shared" si="54"/>
        <v>1481214</v>
      </c>
      <c r="U77" s="138">
        <f t="shared" si="54"/>
        <v>2584514.1034007836</v>
      </c>
      <c r="V77" s="138">
        <f t="shared" si="54"/>
        <v>1391228.4815904039</v>
      </c>
      <c r="W77" s="138">
        <f t="shared" si="54"/>
        <v>5456956.5849911878</v>
      </c>
      <c r="X77" s="86"/>
      <c r="Y77" s="86"/>
      <c r="Z77" s="152"/>
      <c r="AA77" s="138"/>
      <c r="AB77" s="138"/>
      <c r="AC77" s="138"/>
      <c r="AD77" s="138"/>
      <c r="AE77" s="147"/>
      <c r="AF77" s="171"/>
      <c r="AG77" s="172"/>
      <c r="AH77" s="173"/>
      <c r="AI77" s="287">
        <f t="shared" si="55"/>
        <v>0.98899906648776803</v>
      </c>
      <c r="AJ77" s="174"/>
      <c r="AK77" s="141"/>
      <c r="AL77" s="109"/>
      <c r="AQ77" s="169"/>
    </row>
    <row r="78" spans="1:49" s="167" customFormat="1" x14ac:dyDescent="0.25">
      <c r="B78" s="167" t="s">
        <v>51</v>
      </c>
      <c r="C78" s="167" t="s">
        <v>13</v>
      </c>
      <c r="F78" s="168" t="s">
        <v>50</v>
      </c>
      <c r="G78" s="138">
        <f t="shared" si="56"/>
        <v>1610</v>
      </c>
      <c r="H78" s="138">
        <f t="shared" si="57"/>
        <v>19320</v>
      </c>
      <c r="I78" s="138">
        <f t="shared" si="57"/>
        <v>11772607.560474377</v>
      </c>
      <c r="J78" s="169"/>
      <c r="M78" s="103"/>
      <c r="O78" s="138">
        <f t="shared" si="58"/>
        <v>2888640</v>
      </c>
      <c r="P78" s="138">
        <f t="shared" si="58"/>
        <v>7327839.0426416909</v>
      </c>
      <c r="Q78" s="138">
        <f t="shared" si="58"/>
        <v>10216479.042641692</v>
      </c>
      <c r="R78" s="86"/>
      <c r="T78" s="138">
        <f t="shared" si="54"/>
        <v>1501410</v>
      </c>
      <c r="U78" s="138">
        <f t="shared" si="54"/>
        <v>3957636.2332021371</v>
      </c>
      <c r="V78" s="138">
        <f t="shared" si="54"/>
        <v>1991750.9740712109</v>
      </c>
      <c r="W78" s="138">
        <f t="shared" si="54"/>
        <v>7450797.2072733482</v>
      </c>
      <c r="X78" s="86"/>
      <c r="Y78" s="86"/>
      <c r="Z78" s="152"/>
      <c r="AA78" s="138"/>
      <c r="AB78" s="138"/>
      <c r="AC78" s="138"/>
      <c r="AD78" s="138"/>
      <c r="AE78" s="147"/>
      <c r="AF78" s="171"/>
      <c r="AG78" s="172"/>
      <c r="AH78" s="173"/>
      <c r="AI78" s="287">
        <f t="shared" si="55"/>
        <v>1.1988871828041199</v>
      </c>
      <c r="AJ78" s="174"/>
      <c r="AK78" s="141"/>
      <c r="AL78" s="109"/>
      <c r="AQ78" s="169"/>
    </row>
    <row r="79" spans="1:49" s="167" customFormat="1" x14ac:dyDescent="0.25">
      <c r="B79" s="167" t="s">
        <v>53</v>
      </c>
      <c r="C79" s="167" t="s">
        <v>14</v>
      </c>
      <c r="F79" s="168" t="s">
        <v>52</v>
      </c>
      <c r="G79" s="138">
        <f t="shared" si="56"/>
        <v>1401</v>
      </c>
      <c r="H79" s="138">
        <f t="shared" si="57"/>
        <v>16812</v>
      </c>
      <c r="I79" s="138">
        <f t="shared" si="57"/>
        <v>24944789.35520361</v>
      </c>
      <c r="J79" s="169"/>
      <c r="M79" s="103"/>
      <c r="O79" s="138">
        <f t="shared" si="58"/>
        <v>4615620</v>
      </c>
      <c r="P79" s="138">
        <f t="shared" si="58"/>
        <v>14729485.166633798</v>
      </c>
      <c r="Q79" s="138">
        <f t="shared" si="58"/>
        <v>19345105.1666338</v>
      </c>
      <c r="R79" s="86"/>
      <c r="T79" s="138">
        <f t="shared" si="54"/>
        <v>1800894</v>
      </c>
      <c r="U79" s="138">
        <f t="shared" si="54"/>
        <v>8212034.4527965002</v>
      </c>
      <c r="V79" s="138">
        <f t="shared" si="54"/>
        <v>3882795.7324803043</v>
      </c>
      <c r="W79" s="138">
        <f t="shared" si="54"/>
        <v>13895724.185276806</v>
      </c>
      <c r="X79" s="86"/>
      <c r="Y79" s="86"/>
      <c r="Z79" s="152"/>
      <c r="AA79" s="138"/>
      <c r="AB79" s="138"/>
      <c r="AC79" s="138"/>
      <c r="AD79" s="138"/>
      <c r="AE79" s="147"/>
      <c r="AF79" s="171"/>
      <c r="AG79" s="172"/>
      <c r="AH79" s="173"/>
      <c r="AI79" s="287">
        <f t="shared" si="55"/>
        <v>1.2666155907576724</v>
      </c>
      <c r="AJ79" s="174"/>
      <c r="AK79" s="141"/>
      <c r="AL79" s="109"/>
      <c r="AQ79" s="169"/>
    </row>
    <row r="80" spans="1:49" s="167" customFormat="1" x14ac:dyDescent="0.25">
      <c r="B80" s="90" t="s">
        <v>55</v>
      </c>
      <c r="C80" s="167" t="s">
        <v>15</v>
      </c>
      <c r="D80" s="90"/>
      <c r="F80" s="91" t="s">
        <v>54</v>
      </c>
      <c r="G80" s="138">
        <f t="shared" si="56"/>
        <v>114</v>
      </c>
      <c r="H80" s="138">
        <f t="shared" si="57"/>
        <v>1368</v>
      </c>
      <c r="I80" s="138">
        <f t="shared" si="57"/>
        <v>12549602.950048061</v>
      </c>
      <c r="J80" s="169"/>
      <c r="M80" s="103"/>
      <c r="O80" s="138">
        <f t="shared" si="58"/>
        <v>1020600</v>
      </c>
      <c r="P80" s="138">
        <f t="shared" si="58"/>
        <v>6495742.8098815922</v>
      </c>
      <c r="Q80" s="138">
        <f t="shared" si="58"/>
        <v>7516342.8098815922</v>
      </c>
      <c r="R80" s="86"/>
      <c r="T80" s="138">
        <f t="shared" si="54"/>
        <v>467376</v>
      </c>
      <c r="U80" s="138">
        <f t="shared" si="54"/>
        <v>3192795.9465135322</v>
      </c>
      <c r="V80" s="138">
        <f t="shared" si="54"/>
        <v>1545673.1250201394</v>
      </c>
      <c r="W80" s="138">
        <f t="shared" si="54"/>
        <v>5205845.0715336706</v>
      </c>
      <c r="X80" s="86"/>
      <c r="Y80" s="86"/>
      <c r="Z80" s="152"/>
      <c r="AA80" s="138"/>
      <c r="AB80" s="138"/>
      <c r="AC80" s="138"/>
      <c r="AD80" s="138"/>
      <c r="AE80" s="147"/>
      <c r="AF80" s="171"/>
      <c r="AG80" s="172"/>
      <c r="AH80" s="173"/>
      <c r="AI80" s="287">
        <f t="shared" si="55"/>
        <v>1.4334849958976004</v>
      </c>
      <c r="AJ80" s="174"/>
      <c r="AK80" s="141"/>
      <c r="AL80" s="109"/>
      <c r="AQ80" s="169"/>
    </row>
    <row r="81" spans="2:43" s="167" customFormat="1" x14ac:dyDescent="0.25">
      <c r="B81" s="167" t="s">
        <v>57</v>
      </c>
      <c r="C81" s="167" t="s">
        <v>16</v>
      </c>
      <c r="F81" s="168" t="s">
        <v>56</v>
      </c>
      <c r="G81" s="138">
        <f t="shared" si="56"/>
        <v>34</v>
      </c>
      <c r="H81" s="138">
        <f t="shared" si="57"/>
        <v>408</v>
      </c>
      <c r="I81" s="138">
        <f t="shared" si="57"/>
        <v>11918155.033044502</v>
      </c>
      <c r="J81" s="169"/>
      <c r="M81" s="103"/>
      <c r="O81" s="138">
        <f t="shared" si="58"/>
        <v>1020000</v>
      </c>
      <c r="P81" s="138">
        <f t="shared" si="58"/>
        <v>5889833.0357802631</v>
      </c>
      <c r="Q81" s="138">
        <f t="shared" si="58"/>
        <v>6909833.0357802631</v>
      </c>
      <c r="R81" s="86"/>
      <c r="T81" s="138">
        <f t="shared" si="54"/>
        <v>277680</v>
      </c>
      <c r="U81" s="138">
        <f t="shared" si="54"/>
        <v>2639462.3104302376</v>
      </c>
      <c r="V81" s="138">
        <f t="shared" si="54"/>
        <v>1450185.1398561148</v>
      </c>
      <c r="W81" s="138">
        <f t="shared" si="54"/>
        <v>4367327.4502863521</v>
      </c>
      <c r="X81" s="86"/>
      <c r="Y81" s="86"/>
      <c r="Z81" s="152"/>
      <c r="AA81" s="138"/>
      <c r="AB81" s="138"/>
      <c r="AC81" s="138"/>
      <c r="AD81" s="138"/>
      <c r="AE81" s="147"/>
      <c r="AF81" s="171"/>
      <c r="AG81" s="172"/>
      <c r="AH81" s="173"/>
      <c r="AI81" s="287">
        <f t="shared" si="55"/>
        <v>1.8802907230246304</v>
      </c>
      <c r="AJ81" s="174"/>
      <c r="AK81" s="141"/>
      <c r="AL81" s="109"/>
      <c r="AQ81" s="169"/>
    </row>
    <row r="82" spans="2:43" s="167" customFormat="1" x14ac:dyDescent="0.25">
      <c r="B82" s="167" t="s">
        <v>59</v>
      </c>
      <c r="C82" s="167" t="s">
        <v>17</v>
      </c>
      <c r="F82" s="168" t="s">
        <v>58</v>
      </c>
      <c r="G82" s="138">
        <f t="shared" si="56"/>
        <v>12</v>
      </c>
      <c r="H82" s="138">
        <f t="shared" si="57"/>
        <v>144</v>
      </c>
      <c r="I82" s="138">
        <f t="shared" si="57"/>
        <v>9260734.8100861516</v>
      </c>
      <c r="J82" s="169"/>
      <c r="M82" s="103"/>
      <c r="O82" s="138">
        <f t="shared" si="58"/>
        <v>648000</v>
      </c>
      <c r="P82" s="138">
        <f t="shared" si="58"/>
        <v>3592887.2842691243</v>
      </c>
      <c r="Q82" s="138">
        <f t="shared" si="58"/>
        <v>4240887.2842691243</v>
      </c>
      <c r="R82" s="86"/>
      <c r="T82" s="138">
        <f t="shared" si="54"/>
        <v>378840</v>
      </c>
      <c r="U82" s="138">
        <f t="shared" si="54"/>
        <v>1375197.9766032081</v>
      </c>
      <c r="V82" s="138">
        <f t="shared" si="54"/>
        <v>937098.73460499104</v>
      </c>
      <c r="W82" s="138">
        <f t="shared" si="54"/>
        <v>2691136.7112081992</v>
      </c>
      <c r="X82" s="86"/>
      <c r="Y82" s="86"/>
      <c r="Z82" s="152"/>
      <c r="AA82" s="138"/>
      <c r="AB82" s="138"/>
      <c r="AC82" s="138"/>
      <c r="AD82" s="138"/>
      <c r="AE82" s="147"/>
      <c r="AF82" s="171"/>
      <c r="AG82" s="172"/>
      <c r="AH82" s="173"/>
      <c r="AI82" s="287">
        <f t="shared" si="55"/>
        <v>1.8599654966869541</v>
      </c>
      <c r="AJ82" s="174"/>
      <c r="AK82" s="141"/>
      <c r="AL82" s="109"/>
      <c r="AQ82" s="169"/>
    </row>
    <row r="83" spans="2:43" s="167" customFormat="1" x14ac:dyDescent="0.25">
      <c r="B83" s="167" t="s">
        <v>269</v>
      </c>
      <c r="C83" s="167" t="s">
        <v>267</v>
      </c>
      <c r="F83" s="168" t="s">
        <v>270</v>
      </c>
      <c r="G83" s="138">
        <f t="shared" si="56"/>
        <v>8</v>
      </c>
      <c r="H83" s="138">
        <f t="shared" si="57"/>
        <v>96</v>
      </c>
      <c r="I83" s="138">
        <f t="shared" si="57"/>
        <v>22737656.012273937</v>
      </c>
      <c r="J83" s="169"/>
      <c r="M83" s="103"/>
      <c r="O83" s="138">
        <f t="shared" si="58"/>
        <v>912000</v>
      </c>
      <c r="P83" s="138">
        <f t="shared" si="58"/>
        <v>5250524.002037948</v>
      </c>
      <c r="Q83" s="138">
        <f t="shared" si="58"/>
        <v>6162494.002037948</v>
      </c>
      <c r="R83" s="86"/>
      <c r="T83" s="138">
        <f t="shared" si="54"/>
        <v>429240</v>
      </c>
      <c r="U83" s="138">
        <f t="shared" si="54"/>
        <v>2574176.4703921387</v>
      </c>
      <c r="V83" s="138">
        <f t="shared" si="54"/>
        <v>1408496.4162528112</v>
      </c>
      <c r="W83" s="138">
        <f t="shared" si="54"/>
        <v>4411912.8866449501</v>
      </c>
      <c r="X83" s="86"/>
      <c r="Y83" s="86"/>
      <c r="Z83" s="152"/>
      <c r="AA83" s="138"/>
      <c r="AB83" s="138"/>
      <c r="AC83" s="138"/>
      <c r="AD83" s="138"/>
      <c r="AE83" s="147"/>
      <c r="AF83" s="171"/>
      <c r="AG83" s="172"/>
      <c r="AH83" s="173"/>
      <c r="AI83" s="287">
        <f t="shared" si="55"/>
        <v>1.2815458643761444</v>
      </c>
      <c r="AJ83" s="174"/>
      <c r="AK83" s="141"/>
      <c r="AL83" s="109"/>
      <c r="AQ83" s="169"/>
    </row>
    <row r="84" spans="2:43" s="167" customFormat="1" x14ac:dyDescent="0.25">
      <c r="B84" s="167" t="s">
        <v>61</v>
      </c>
      <c r="C84" s="167" t="s">
        <v>18</v>
      </c>
      <c r="F84" s="168" t="s">
        <v>254</v>
      </c>
      <c r="G84" s="138">
        <f t="shared" si="56"/>
        <v>17</v>
      </c>
      <c r="H84" s="138">
        <f t="shared" si="57"/>
        <v>204</v>
      </c>
      <c r="I84" s="138">
        <f t="shared" si="57"/>
        <v>9502458.6362488344</v>
      </c>
      <c r="J84" s="169"/>
      <c r="M84" s="103"/>
      <c r="O84" s="138">
        <f t="shared" si="58"/>
        <v>153000</v>
      </c>
      <c r="P84" s="138">
        <f t="shared" si="58"/>
        <v>3492153.5488214465</v>
      </c>
      <c r="Q84" s="138">
        <f t="shared" si="58"/>
        <v>3645153.5488214465</v>
      </c>
      <c r="R84" s="86"/>
      <c r="T84" s="138">
        <f t="shared" si="54"/>
        <v>57120</v>
      </c>
      <c r="U84" s="138">
        <f t="shared" si="54"/>
        <v>2193167.4532462312</v>
      </c>
      <c r="V84" s="138">
        <f t="shared" si="54"/>
        <v>906154.4555526888</v>
      </c>
      <c r="W84" s="138">
        <f t="shared" si="54"/>
        <v>3156441.90879892</v>
      </c>
      <c r="X84" s="86"/>
      <c r="Y84" s="86"/>
      <c r="Z84" s="152"/>
      <c r="AA84" s="138"/>
      <c r="AB84" s="138"/>
      <c r="AC84" s="138"/>
      <c r="AD84" s="138"/>
      <c r="AE84" s="147"/>
      <c r="AF84" s="171"/>
      <c r="AG84" s="172"/>
      <c r="AH84" s="173"/>
      <c r="AI84" s="287">
        <f t="shared" si="55"/>
        <v>0.50007336664031332</v>
      </c>
      <c r="AJ84" s="174"/>
      <c r="AK84" s="141"/>
      <c r="AL84" s="109"/>
      <c r="AQ84" s="169"/>
    </row>
    <row r="85" spans="2:43" s="167" customFormat="1" x14ac:dyDescent="0.25">
      <c r="B85" s="167" t="s">
        <v>62</v>
      </c>
      <c r="C85" s="167" t="s">
        <v>19</v>
      </c>
      <c r="F85" s="168" t="s">
        <v>45</v>
      </c>
      <c r="G85" s="138">
        <f t="shared" si="56"/>
        <v>3</v>
      </c>
      <c r="H85" s="138">
        <f t="shared" si="57"/>
        <v>36</v>
      </c>
      <c r="I85" s="138">
        <f t="shared" si="57"/>
        <v>1022277.8566666668</v>
      </c>
      <c r="J85" s="169"/>
      <c r="M85" s="103"/>
      <c r="O85" s="138">
        <f t="shared" si="58"/>
        <v>9000</v>
      </c>
      <c r="P85" s="138">
        <f t="shared" si="58"/>
        <v>509135.26373426674</v>
      </c>
      <c r="Q85" s="138">
        <f t="shared" si="58"/>
        <v>518135.26373426674</v>
      </c>
      <c r="R85" s="86"/>
      <c r="T85" s="138">
        <f t="shared" si="54"/>
        <v>3600</v>
      </c>
      <c r="U85" s="138">
        <f t="shared" si="54"/>
        <v>174921.96405423339</v>
      </c>
      <c r="V85" s="138">
        <f t="shared" si="54"/>
        <v>217116.22809206671</v>
      </c>
      <c r="W85" s="138">
        <f t="shared" si="54"/>
        <v>395638.19214630011</v>
      </c>
      <c r="X85" s="86"/>
      <c r="Y85" s="86"/>
      <c r="Z85" s="152"/>
      <c r="AA85" s="138"/>
      <c r="AB85" s="138"/>
      <c r="AC85" s="138"/>
      <c r="AD85" s="138"/>
      <c r="AE85" s="147"/>
      <c r="AF85" s="171"/>
      <c r="AG85" s="172"/>
      <c r="AH85" s="173"/>
      <c r="AI85" s="287">
        <f t="shared" si="55"/>
        <v>1.0000146005686896</v>
      </c>
      <c r="AJ85" s="174"/>
      <c r="AK85" s="141"/>
      <c r="AL85" s="109"/>
      <c r="AQ85" s="169"/>
    </row>
    <row r="86" spans="2:43" s="167" customFormat="1" x14ac:dyDescent="0.25">
      <c r="B86" s="167" t="s">
        <v>63</v>
      </c>
      <c r="C86" s="167" t="s">
        <v>20</v>
      </c>
      <c r="F86" s="168" t="s">
        <v>45</v>
      </c>
      <c r="G86" s="138">
        <f t="shared" si="56"/>
        <v>29</v>
      </c>
      <c r="H86" s="138">
        <f t="shared" si="57"/>
        <v>348</v>
      </c>
      <c r="I86" s="138">
        <f t="shared" si="57"/>
        <v>99722.64</v>
      </c>
      <c r="J86" s="169"/>
      <c r="M86" s="103"/>
      <c r="O86" s="138">
        <f t="shared" si="58"/>
        <v>0</v>
      </c>
      <c r="P86" s="138">
        <f t="shared" si="58"/>
        <v>66159.988281600003</v>
      </c>
      <c r="Q86" s="138">
        <f t="shared" si="58"/>
        <v>66159.988281600003</v>
      </c>
      <c r="R86" s="86"/>
      <c r="T86" s="138">
        <f t="shared" si="54"/>
        <v>0</v>
      </c>
      <c r="U86" s="138">
        <f t="shared" si="54"/>
        <v>24142.851144</v>
      </c>
      <c r="V86" s="138">
        <f t="shared" si="54"/>
        <v>113734.66814640003</v>
      </c>
      <c r="W86" s="138">
        <f t="shared" si="54"/>
        <v>137877.51929040003</v>
      </c>
      <c r="X86" s="86"/>
      <c r="Y86" s="86"/>
      <c r="Z86" s="152"/>
      <c r="AA86" s="138"/>
      <c r="AB86" s="138"/>
      <c r="AC86" s="138"/>
      <c r="AD86" s="138"/>
      <c r="AE86" s="147"/>
      <c r="AF86" s="171"/>
      <c r="AG86" s="172"/>
      <c r="AH86" s="173"/>
      <c r="AI86" s="287">
        <f t="shared" si="55"/>
        <v>-1.6800055326024577</v>
      </c>
      <c r="AJ86" s="174"/>
      <c r="AK86" s="141"/>
      <c r="AL86" s="109"/>
      <c r="AQ86" s="169"/>
    </row>
    <row r="87" spans="2:43" s="167" customFormat="1" x14ac:dyDescent="0.25">
      <c r="B87" s="167" t="s">
        <v>64</v>
      </c>
      <c r="C87" s="167" t="s">
        <v>21</v>
      </c>
      <c r="F87" s="168" t="s">
        <v>45</v>
      </c>
      <c r="G87" s="138">
        <f t="shared" si="56"/>
        <v>303</v>
      </c>
      <c r="H87" s="138">
        <f t="shared" si="57"/>
        <v>3636</v>
      </c>
      <c r="I87" s="138">
        <f t="shared" si="57"/>
        <v>62693.344449740995</v>
      </c>
      <c r="J87" s="169"/>
      <c r="M87" s="103"/>
      <c r="O87" s="138">
        <f t="shared" si="58"/>
        <v>236340</v>
      </c>
      <c r="P87" s="138">
        <f t="shared" si="58"/>
        <v>11350.630012625606</v>
      </c>
      <c r="Q87" s="138">
        <f t="shared" si="58"/>
        <v>247690.6300126256</v>
      </c>
      <c r="R87" s="86"/>
      <c r="T87" s="138">
        <f t="shared" si="54"/>
        <v>130205.16</v>
      </c>
      <c r="U87" s="138">
        <f t="shared" si="54"/>
        <v>24535.667283850635</v>
      </c>
      <c r="V87" s="138">
        <f t="shared" si="54"/>
        <v>14398.153486327519</v>
      </c>
      <c r="W87" s="138">
        <f t="shared" si="54"/>
        <v>169138.98077017817</v>
      </c>
      <c r="X87" s="86"/>
      <c r="Y87" s="86"/>
      <c r="Z87" s="152"/>
      <c r="AA87" s="138"/>
      <c r="AB87" s="138"/>
      <c r="AC87" s="138"/>
      <c r="AD87" s="138"/>
      <c r="AE87" s="147"/>
      <c r="AF87" s="171"/>
      <c r="AG87" s="172"/>
      <c r="AH87" s="173"/>
      <c r="AI87" s="287">
        <f t="shared" si="55"/>
        <v>1.4999971764971423</v>
      </c>
      <c r="AJ87" s="174"/>
      <c r="AK87" s="141"/>
      <c r="AL87" s="109"/>
      <c r="AQ87" s="169"/>
    </row>
    <row r="88" spans="2:43" s="167" customFormat="1" x14ac:dyDescent="0.25">
      <c r="G88" s="294">
        <f>SUM(G72:G87)</f>
        <v>94386</v>
      </c>
      <c r="H88" s="294">
        <f>SUM(H72:H87)</f>
        <v>1132632</v>
      </c>
      <c r="I88" s="294">
        <f>SUM(I72:I87)</f>
        <v>132344240.7859783</v>
      </c>
      <c r="J88" s="169"/>
      <c r="M88" s="103"/>
      <c r="O88" s="294">
        <f>SUM(O72:O87)</f>
        <v>35497584</v>
      </c>
      <c r="P88" s="294">
        <f>SUM(P72:P87)</f>
        <v>66280337.240550928</v>
      </c>
      <c r="Q88" s="294">
        <f>SUM(Q72:Q87)</f>
        <v>101777891.24055092</v>
      </c>
      <c r="R88" s="86"/>
      <c r="T88" s="294">
        <f>SUM(T72:T87)</f>
        <v>20822642.16</v>
      </c>
      <c r="U88" s="294">
        <f>SUM(U72:U87)</f>
        <v>37137391.172657259</v>
      </c>
      <c r="V88" s="294">
        <f>SUM(V72:V87)</f>
        <v>19755931.054005519</v>
      </c>
      <c r="W88" s="294">
        <f>SUM(W72:W87)</f>
        <v>77715964.386662781</v>
      </c>
      <c r="X88" s="86"/>
      <c r="Y88" s="86"/>
      <c r="Z88" s="90"/>
      <c r="AA88" s="118"/>
      <c r="AB88" s="118"/>
      <c r="AC88" s="118"/>
      <c r="AD88" s="118"/>
      <c r="AE88" s="147"/>
      <c r="AF88" s="171"/>
      <c r="AG88" s="90"/>
      <c r="AH88" s="90"/>
      <c r="AI88" s="287"/>
      <c r="AJ88" s="174"/>
      <c r="AK88" s="141"/>
      <c r="AQ88" s="169"/>
    </row>
    <row r="89" spans="2:43" s="167" customFormat="1" x14ac:dyDescent="0.25">
      <c r="J89" s="169"/>
      <c r="M89" s="103"/>
      <c r="Q89" s="138">
        <f>O88/Q88</f>
        <v>0.34877499982881205</v>
      </c>
      <c r="T89" s="90"/>
      <c r="U89" s="90"/>
      <c r="V89" s="90"/>
      <c r="W89" s="90"/>
      <c r="X89" s="90"/>
      <c r="Y89" s="90"/>
      <c r="Z89" s="90"/>
      <c r="AA89" s="90"/>
      <c r="AB89" s="118"/>
      <c r="AC89" s="90"/>
      <c r="AD89" s="90"/>
      <c r="AE89" s="90"/>
      <c r="AF89" s="171"/>
      <c r="AG89" s="90"/>
      <c r="AH89" s="90"/>
      <c r="AI89" s="287"/>
      <c r="AJ89" s="174"/>
      <c r="AQ89" s="169"/>
    </row>
    <row r="90" spans="2:43" s="167" customFormat="1" x14ac:dyDescent="0.25">
      <c r="J90" s="169"/>
      <c r="M90" s="103"/>
      <c r="Q90" s="138">
        <v>101777947.38473262</v>
      </c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171"/>
      <c r="AG90" s="90"/>
      <c r="AH90" s="90"/>
      <c r="AI90" s="287"/>
      <c r="AJ90" s="174"/>
      <c r="AQ90" s="169"/>
    </row>
    <row r="91" spans="2:43" s="167" customFormat="1" x14ac:dyDescent="0.25">
      <c r="J91" s="169"/>
      <c r="M91" s="103"/>
      <c r="Q91" s="114">
        <f>Q90-Q88</f>
        <v>56.144181698560715</v>
      </c>
      <c r="T91" s="118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171"/>
      <c r="AG91" s="90"/>
      <c r="AH91" s="90"/>
      <c r="AI91" s="287"/>
      <c r="AJ91" s="174"/>
      <c r="AQ91" s="169"/>
    </row>
    <row r="92" spans="2:43" s="167" customFormat="1" x14ac:dyDescent="0.25">
      <c r="G92" s="114"/>
      <c r="H92" s="114"/>
      <c r="I92" s="114"/>
      <c r="J92" s="169"/>
      <c r="M92" s="103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171"/>
      <c r="AG92" s="90"/>
      <c r="AH92" s="90"/>
      <c r="AI92" s="287"/>
      <c r="AJ92" s="174"/>
      <c r="AQ92" s="169"/>
    </row>
    <row r="93" spans="2:43" s="167" customFormat="1" x14ac:dyDescent="0.25">
      <c r="G93" s="114"/>
      <c r="H93" s="114"/>
      <c r="I93" s="114"/>
      <c r="J93" s="169"/>
      <c r="M93" s="103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171"/>
      <c r="AG93" s="90"/>
      <c r="AH93" s="90"/>
      <c r="AI93" s="287"/>
      <c r="AJ93" s="174"/>
      <c r="AQ93" s="169"/>
    </row>
    <row r="94" spans="2:43" s="167" customFormat="1" x14ac:dyDescent="0.25">
      <c r="C94" s="139"/>
      <c r="E94" s="139"/>
      <c r="G94" s="114"/>
      <c r="H94" s="114"/>
      <c r="I94" s="114"/>
      <c r="J94" s="169"/>
      <c r="M94" s="103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171"/>
      <c r="AG94" s="90"/>
      <c r="AH94" s="90"/>
      <c r="AI94" s="287"/>
      <c r="AJ94" s="174"/>
      <c r="AQ94" s="169"/>
    </row>
    <row r="95" spans="2:43" s="167" customFormat="1" x14ac:dyDescent="0.25">
      <c r="G95" s="114"/>
      <c r="H95" s="114"/>
      <c r="I95" s="114"/>
      <c r="J95" s="169"/>
      <c r="M95" s="103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171"/>
      <c r="AG95" s="90"/>
      <c r="AH95" s="90"/>
      <c r="AI95" s="287"/>
      <c r="AJ95" s="174"/>
      <c r="AQ95" s="169"/>
    </row>
    <row r="96" spans="2:43" s="167" customFormat="1" x14ac:dyDescent="0.25">
      <c r="E96" s="167" t="s">
        <v>22</v>
      </c>
      <c r="G96" s="114"/>
      <c r="H96" s="114"/>
      <c r="I96" s="114"/>
      <c r="J96" s="169"/>
      <c r="M96" s="103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171"/>
      <c r="AG96" s="90"/>
      <c r="AH96" s="90"/>
      <c r="AI96" s="287"/>
      <c r="AJ96" s="174"/>
      <c r="AQ96" s="169"/>
    </row>
    <row r="97" spans="1:43" s="167" customFormat="1" x14ac:dyDescent="0.25">
      <c r="A97" s="167" t="s">
        <v>23</v>
      </c>
      <c r="C97" s="135"/>
      <c r="E97" s="135">
        <v>24061982</v>
      </c>
      <c r="F97" s="139">
        <f>E97/$W$88</f>
        <v>0.30961440406611485</v>
      </c>
      <c r="G97" s="114"/>
      <c r="H97" s="114"/>
      <c r="I97" s="114"/>
      <c r="J97" s="169"/>
      <c r="M97" s="103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171"/>
      <c r="AG97" s="90"/>
      <c r="AH97" s="90"/>
      <c r="AI97" s="287"/>
      <c r="AJ97" s="174"/>
      <c r="AQ97" s="169"/>
    </row>
    <row r="98" spans="1:43" s="167" customFormat="1" x14ac:dyDescent="0.25">
      <c r="C98" s="135"/>
      <c r="D98" s="114"/>
      <c r="E98" s="135"/>
      <c r="F98" s="139"/>
      <c r="G98" s="114"/>
      <c r="H98" s="114"/>
      <c r="I98" s="114"/>
      <c r="J98" s="169"/>
      <c r="M98" s="103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171"/>
      <c r="AG98" s="90"/>
      <c r="AH98" s="90"/>
      <c r="AI98" s="287"/>
      <c r="AJ98" s="174"/>
      <c r="AQ98" s="169"/>
    </row>
    <row r="99" spans="1:43" s="167" customFormat="1" x14ac:dyDescent="0.25">
      <c r="C99" s="135"/>
      <c r="D99" s="114"/>
      <c r="E99" s="135"/>
      <c r="F99" s="139"/>
      <c r="G99" s="114"/>
      <c r="H99" s="114"/>
      <c r="I99" s="114"/>
      <c r="J99" s="169"/>
      <c r="M99" s="103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171"/>
      <c r="AG99" s="90"/>
      <c r="AH99" s="90"/>
      <c r="AI99" s="287"/>
      <c r="AJ99" s="174"/>
      <c r="AQ99" s="169"/>
    </row>
    <row r="100" spans="1:43" s="167" customFormat="1" x14ac:dyDescent="0.25">
      <c r="G100" s="114"/>
      <c r="H100" s="114"/>
      <c r="I100" s="114"/>
      <c r="J100" s="169"/>
      <c r="M100" s="103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171"/>
      <c r="AG100" s="90"/>
      <c r="AH100" s="90"/>
      <c r="AI100" s="287"/>
      <c r="AJ100" s="174"/>
      <c r="AQ100" s="169"/>
    </row>
    <row r="101" spans="1:43" s="167" customFormat="1" x14ac:dyDescent="0.25">
      <c r="G101" s="114"/>
      <c r="H101" s="114"/>
      <c r="I101" s="114"/>
      <c r="J101" s="169"/>
      <c r="M101" s="103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171"/>
      <c r="AG101" s="90"/>
      <c r="AH101" s="90"/>
      <c r="AI101" s="287"/>
      <c r="AJ101" s="174"/>
      <c r="AQ101" s="169"/>
    </row>
    <row r="102" spans="1:43" s="167" customFormat="1" x14ac:dyDescent="0.25">
      <c r="G102" s="114"/>
      <c r="H102" s="114"/>
      <c r="I102" s="114"/>
      <c r="J102" s="169"/>
      <c r="M102" s="103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171"/>
      <c r="AG102" s="90"/>
      <c r="AH102" s="90"/>
      <c r="AI102" s="287"/>
      <c r="AJ102" s="174"/>
      <c r="AQ102" s="169"/>
    </row>
    <row r="103" spans="1:43" s="167" customFormat="1" x14ac:dyDescent="0.25">
      <c r="G103" s="114"/>
      <c r="H103" s="114"/>
      <c r="I103" s="114"/>
      <c r="J103" s="169"/>
      <c r="M103" s="103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171"/>
      <c r="AG103" s="90"/>
      <c r="AH103" s="90"/>
      <c r="AI103" s="287"/>
      <c r="AJ103" s="174"/>
      <c r="AQ103" s="169"/>
    </row>
    <row r="104" spans="1:43" s="167" customFormat="1" x14ac:dyDescent="0.25">
      <c r="G104" s="114"/>
      <c r="H104" s="114"/>
      <c r="I104" s="114"/>
      <c r="J104" s="169"/>
      <c r="M104" s="103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171"/>
      <c r="AG104" s="90"/>
      <c r="AH104" s="90"/>
      <c r="AI104" s="287"/>
      <c r="AJ104" s="174"/>
      <c r="AQ104" s="169"/>
    </row>
    <row r="105" spans="1:43" x14ac:dyDescent="0.25">
      <c r="G105" s="133"/>
      <c r="H105" s="133"/>
      <c r="I105" s="133"/>
    </row>
    <row r="106" spans="1:43" x14ac:dyDescent="0.25">
      <c r="G106" s="133"/>
      <c r="H106" s="133"/>
      <c r="I106" s="133"/>
    </row>
    <row r="107" spans="1:43" x14ac:dyDescent="0.25">
      <c r="G107" s="133"/>
      <c r="H107" s="133"/>
      <c r="I107" s="133"/>
    </row>
    <row r="108" spans="1:43" x14ac:dyDescent="0.25">
      <c r="G108" s="133"/>
      <c r="H108" s="133"/>
      <c r="I108" s="133"/>
    </row>
    <row r="109" spans="1:43" x14ac:dyDescent="0.25">
      <c r="G109" s="133"/>
      <c r="H109" s="133"/>
      <c r="I109" s="133"/>
    </row>
    <row r="110" spans="1:43" x14ac:dyDescent="0.25">
      <c r="G110" s="133"/>
      <c r="H110" s="133"/>
      <c r="I110" s="133"/>
    </row>
  </sheetData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928B-2E00-4CF1-B491-A147B952CA72}">
  <sheetPr codeName="Sheet4"/>
  <dimension ref="A1:BC186"/>
  <sheetViews>
    <sheetView topLeftCell="V1" zoomScale="85" zoomScaleNormal="85" workbookViewId="0">
      <selection activeCell="AF38" sqref="AF38"/>
    </sheetView>
  </sheetViews>
  <sheetFormatPr defaultRowHeight="15" x14ac:dyDescent="0.25"/>
  <cols>
    <col min="1" max="1" width="11.7109375" bestFit="1" customWidth="1"/>
    <col min="2" max="2" width="12.140625" customWidth="1"/>
    <col min="3" max="3" width="7.28515625" customWidth="1"/>
    <col min="4" max="4" width="5.5703125" customWidth="1"/>
    <col min="5" max="5" width="29.28515625" customWidth="1"/>
    <col min="6" max="6" width="10" customWidth="1"/>
    <col min="7" max="7" width="22" customWidth="1"/>
    <col min="8" max="8" width="9.85546875" customWidth="1"/>
    <col min="9" max="10" width="21.140625" customWidth="1"/>
    <col min="11" max="11" width="16.42578125" style="33" hidden="1" customWidth="1"/>
    <col min="12" max="12" width="7.42578125" style="33" hidden="1" customWidth="1"/>
    <col min="13" max="13" width="10.42578125" style="33" hidden="1" customWidth="1"/>
    <col min="14" max="14" width="16.7109375" style="1" customWidth="1"/>
    <col min="15" max="15" width="16.5703125" style="13" customWidth="1"/>
    <col min="16" max="16" width="17.7109375" style="13" customWidth="1"/>
    <col min="17" max="17" width="14.42578125" style="13" customWidth="1"/>
    <col min="18" max="18" width="16.28515625" style="13" customWidth="1"/>
    <col min="19" max="19" width="17.42578125" style="16" bestFit="1" customWidth="1"/>
    <col min="20" max="21" width="13.5703125" style="16" customWidth="1"/>
    <col min="22" max="22" width="9.140625" customWidth="1"/>
    <col min="23" max="26" width="13.85546875" style="56" customWidth="1"/>
    <col min="27" max="27" width="9.140625" customWidth="1"/>
    <col min="28" max="28" width="10.7109375" customWidth="1"/>
    <col min="29" max="29" width="12.42578125" customWidth="1"/>
    <col min="30" max="33" width="11.7109375" customWidth="1"/>
    <col min="34" max="34" width="15.42578125" style="4" customWidth="1"/>
    <col min="36" max="36" width="10.7109375" customWidth="1"/>
    <col min="37" max="37" width="12.5703125" customWidth="1"/>
    <col min="38" max="38" width="11.7109375" customWidth="1"/>
    <col min="39" max="39" width="14.28515625" customWidth="1"/>
    <col min="40" max="40" width="11.7109375" customWidth="1"/>
    <col min="41" max="41" width="11.5703125" customWidth="1"/>
    <col min="42" max="42" width="12.5703125" style="4" bestFit="1" customWidth="1"/>
    <col min="43" max="43" width="12.7109375" bestFit="1" customWidth="1"/>
    <col min="44" max="44" width="13.140625" customWidth="1"/>
    <col min="45" max="45" width="13" customWidth="1"/>
    <col min="46" max="46" width="11.85546875" style="32" customWidth="1"/>
    <col min="47" max="47" width="11.85546875" customWidth="1"/>
    <col min="49" max="49" width="15.140625" style="1" customWidth="1"/>
    <col min="50" max="50" width="15.140625" customWidth="1"/>
    <col min="51" max="51" width="4.42578125" customWidth="1"/>
    <col min="52" max="52" width="15.140625" customWidth="1"/>
  </cols>
  <sheetData>
    <row r="1" spans="1:55" x14ac:dyDescent="0.25">
      <c r="A1" s="54" t="s">
        <v>0</v>
      </c>
      <c r="B1" s="54"/>
    </row>
    <row r="2" spans="1:55" x14ac:dyDescent="0.25">
      <c r="A2" s="54" t="s">
        <v>1</v>
      </c>
      <c r="B2" s="54"/>
    </row>
    <row r="3" spans="1:55" x14ac:dyDescent="0.25">
      <c r="A3" s="54" t="s">
        <v>2</v>
      </c>
      <c r="B3" s="54"/>
    </row>
    <row r="4" spans="1:55" x14ac:dyDescent="0.25">
      <c r="A4" s="54" t="s">
        <v>127</v>
      </c>
      <c r="B4" s="54"/>
    </row>
    <row r="5" spans="1:55" s="22" customFormat="1" ht="35.25" customHeight="1" x14ac:dyDescent="0.25"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46"/>
      <c r="U5" s="46"/>
      <c r="W5" s="57"/>
      <c r="X5" s="57"/>
      <c r="Y5" s="57"/>
      <c r="Z5" s="57"/>
      <c r="AB5" s="331" t="s">
        <v>128</v>
      </c>
      <c r="AC5" s="331"/>
      <c r="AD5" s="331"/>
      <c r="AE5" s="332"/>
      <c r="AF5" s="332"/>
      <c r="AG5" s="332"/>
      <c r="AH5" s="332"/>
      <c r="AJ5" s="333" t="s">
        <v>129</v>
      </c>
      <c r="AK5" s="333"/>
      <c r="AL5" s="333"/>
      <c r="AM5" s="333"/>
      <c r="AN5" s="333"/>
      <c r="AO5" s="333"/>
      <c r="AP5" s="333"/>
      <c r="AQ5" s="333"/>
      <c r="AR5" s="333"/>
      <c r="AT5" s="47"/>
      <c r="AW5" s="45"/>
    </row>
    <row r="6" spans="1:55" s="38" customFormat="1" ht="60.75" customHeight="1" x14ac:dyDescent="0.25">
      <c r="A6" s="48" t="s">
        <v>130</v>
      </c>
      <c r="B6" s="48" t="s">
        <v>131</v>
      </c>
      <c r="C6" s="48" t="s">
        <v>132</v>
      </c>
      <c r="D6" s="48" t="s">
        <v>130</v>
      </c>
      <c r="E6" s="48" t="s">
        <v>67</v>
      </c>
      <c r="F6" s="49" t="s">
        <v>133</v>
      </c>
      <c r="G6" s="48" t="s">
        <v>4</v>
      </c>
      <c r="H6" s="123" t="s">
        <v>275</v>
      </c>
      <c r="I6" s="123" t="s">
        <v>276</v>
      </c>
      <c r="J6" s="122" t="s">
        <v>191</v>
      </c>
      <c r="K6" s="50" t="s">
        <v>134</v>
      </c>
      <c r="L6" s="50" t="s">
        <v>66</v>
      </c>
      <c r="M6" s="50" t="s">
        <v>259</v>
      </c>
      <c r="N6" s="51" t="s">
        <v>280</v>
      </c>
      <c r="O6" s="52" t="s">
        <v>135</v>
      </c>
      <c r="P6" s="52" t="s">
        <v>136</v>
      </c>
      <c r="Q6" s="94" t="s">
        <v>137</v>
      </c>
      <c r="R6" s="94" t="s">
        <v>260</v>
      </c>
      <c r="S6" s="44" t="s">
        <v>138</v>
      </c>
      <c r="T6" s="44" t="s">
        <v>31</v>
      </c>
      <c r="U6" s="94" t="s">
        <v>137</v>
      </c>
      <c r="V6" s="43" t="s">
        <v>137</v>
      </c>
      <c r="W6" s="58" t="s">
        <v>139</v>
      </c>
      <c r="X6" s="58" t="s">
        <v>140</v>
      </c>
      <c r="Y6" s="58" t="s">
        <v>141</v>
      </c>
      <c r="Z6" s="58" t="s">
        <v>142</v>
      </c>
      <c r="AA6" s="38" t="s">
        <v>137</v>
      </c>
      <c r="AB6" s="39" t="s">
        <v>143</v>
      </c>
      <c r="AC6" s="39" t="s">
        <v>144</v>
      </c>
      <c r="AD6" s="40" t="s">
        <v>145</v>
      </c>
      <c r="AE6" s="82" t="s">
        <v>147</v>
      </c>
      <c r="AF6" s="82" t="s">
        <v>148</v>
      </c>
      <c r="AG6" s="82" t="s">
        <v>149</v>
      </c>
      <c r="AH6" s="82" t="s">
        <v>146</v>
      </c>
      <c r="AI6" s="38" t="s">
        <v>137</v>
      </c>
      <c r="AJ6" s="41" t="s">
        <v>143</v>
      </c>
      <c r="AK6" s="41" t="s">
        <v>144</v>
      </c>
      <c r="AL6" s="42" t="s">
        <v>145</v>
      </c>
      <c r="AM6" s="42" t="s">
        <v>147</v>
      </c>
      <c r="AN6" s="42" t="s">
        <v>148</v>
      </c>
      <c r="AO6" s="42" t="s">
        <v>149</v>
      </c>
      <c r="AP6" s="42" t="s">
        <v>146</v>
      </c>
      <c r="AQ6" s="42" t="s">
        <v>283</v>
      </c>
      <c r="AR6" s="42" t="s">
        <v>284</v>
      </c>
      <c r="AS6" s="38" t="s">
        <v>137</v>
      </c>
      <c r="AT6" s="59" t="s">
        <v>5</v>
      </c>
      <c r="AU6" s="59" t="s">
        <v>150</v>
      </c>
      <c r="AV6" s="38" t="s">
        <v>137</v>
      </c>
      <c r="AW6" s="124" t="s">
        <v>6</v>
      </c>
      <c r="AX6" s="60" t="s">
        <v>7</v>
      </c>
      <c r="AY6" s="38" t="s">
        <v>137</v>
      </c>
      <c r="AZ6" s="38" t="s">
        <v>137</v>
      </c>
      <c r="BA6" s="38" t="s">
        <v>137</v>
      </c>
    </row>
    <row r="7" spans="1:55" s="167" customFormat="1" x14ac:dyDescent="0.25">
      <c r="A7" s="167" t="s">
        <v>151</v>
      </c>
      <c r="B7" s="167" t="s">
        <v>152</v>
      </c>
      <c r="C7" s="167" t="s">
        <v>153</v>
      </c>
      <c r="D7" s="167" t="s">
        <v>154</v>
      </c>
      <c r="E7" s="167" t="s">
        <v>77</v>
      </c>
      <c r="F7" s="167" t="str">
        <f>INDEX('Rate Design (Consol)'!$B$48:$B$66,MATCH('Bill Impact Detail'!G7,'Rate Design (Consol)'!$C$48:$C$66,0))</f>
        <v>RES-2</v>
      </c>
      <c r="G7" s="167" t="s">
        <v>9</v>
      </c>
      <c r="H7" s="167" t="str">
        <f>INDEX('Rate Design (Consol)'!$D$48:$D$66,MATCH('Bill Impact Detail'!I7,'Rate Design (Consol)'!$E$48:$E$66,0))</f>
        <v>RES-2</v>
      </c>
      <c r="I7" s="167" t="str">
        <f>G7</f>
        <v>Residential - 2</v>
      </c>
      <c r="J7" s="167" t="str">
        <f>VLOOKUP(I7,'Rate Design (Consol)'!$E$48:$F$66,2,FALSE)</f>
        <v>&gt; 100 &lt; = 250</v>
      </c>
      <c r="K7" s="169" t="str">
        <f>CONCATENATE(A7,"-",E7,"-",H7)</f>
        <v>Indiantown-Indiantown - Transportation Service 1-RES-2</v>
      </c>
      <c r="L7" s="169">
        <v>2</v>
      </c>
      <c r="M7" s="169" t="str">
        <f>D7</f>
        <v>FI</v>
      </c>
      <c r="N7" s="138">
        <f>VLOOKUP(K7,'G2-8 Summary'!J:O,6,FALSE)</f>
        <v>144</v>
      </c>
      <c r="O7" s="63">
        <f>INDEX('G2-8 Summary'!S:S,MATCH('Bill Impact Detail'!K7,'G2-8 Summary'!J:J,0))</f>
        <v>9</v>
      </c>
      <c r="P7" s="63">
        <f>SUMIFS('Rate Design (Consol)'!K:K,'Rate Design (Consol)'!A:A,M7,'Rate Design (Consol)'!D:D,H7)</f>
        <v>12.5</v>
      </c>
      <c r="Q7" s="63"/>
      <c r="R7" s="142">
        <f>S7+W7</f>
        <v>0.37835000000000002</v>
      </c>
      <c r="S7" s="141">
        <f>INDEX('G2-8 Summary'!V:V,MATCH('Bill Impact Detail'!K7,'G2-8 Summary'!J:J,0))</f>
        <v>0.37835000000000002</v>
      </c>
      <c r="T7" s="141">
        <f>SUMIFS('Rate Design (Consol)'!L:L,'Rate Design (Consol)'!A:A,M7,'Rate Design (Consol)'!D:D,H7)</f>
        <v>0.37835000000000002</v>
      </c>
      <c r="U7" s="141"/>
      <c r="W7" s="64">
        <f>VLOOKUP($K7,'G2-8 Summary'!$J:$AA,15,FALSE)</f>
        <v>0</v>
      </c>
      <c r="X7" s="64"/>
      <c r="Y7" s="64"/>
      <c r="Z7" s="64"/>
      <c r="AB7" s="63">
        <f>O7*12</f>
        <v>108</v>
      </c>
      <c r="AC7" s="63">
        <f>N7*S7</f>
        <v>54.482400000000005</v>
      </c>
      <c r="AD7" s="63">
        <f>$N7*W7</f>
        <v>0</v>
      </c>
      <c r="AE7" s="63">
        <f t="shared" ref="AE7:AG7" si="0">$N7*X7</f>
        <v>0</v>
      </c>
      <c r="AF7" s="63">
        <f t="shared" si="0"/>
        <v>0</v>
      </c>
      <c r="AG7" s="63">
        <f t="shared" si="0"/>
        <v>0</v>
      </c>
      <c r="AH7" s="202">
        <f>SUM(AB7:AG7)</f>
        <v>162.48240000000001</v>
      </c>
      <c r="AI7" s="138"/>
      <c r="AJ7" s="63">
        <f>P7*12</f>
        <v>150</v>
      </c>
      <c r="AK7" s="63">
        <f>N7*T7</f>
        <v>54.482400000000005</v>
      </c>
      <c r="AL7" s="63"/>
      <c r="AM7" s="63">
        <f>$N7*X7</f>
        <v>0</v>
      </c>
      <c r="AN7" s="63">
        <f>$N7*Y7</f>
        <v>0</v>
      </c>
      <c r="AO7" s="63">
        <f>$N7*Z7</f>
        <v>0</v>
      </c>
      <c r="AP7" s="202">
        <f>SUM(AJ7:AO7)</f>
        <v>204.48240000000001</v>
      </c>
      <c r="AQ7" s="63">
        <f t="shared" ref="AQ7:AQ38" si="1">AP7-AH7</f>
        <v>42</v>
      </c>
      <c r="AR7" s="157">
        <f>IFERROR(AQ7/AH7,0)</f>
        <v>0.25848953486654552</v>
      </c>
      <c r="AT7" s="111">
        <f>VLOOKUP(K7,'G2-8 Summary'!J:P,7,FALSE)</f>
        <v>378</v>
      </c>
      <c r="AU7" s="157">
        <f t="shared" ref="AU7:AU38" si="2">AT7/SUMIFS(AT:AT,G:G,G7,M:M,M7)</f>
        <v>1</v>
      </c>
      <c r="AW7" s="138">
        <f t="shared" ref="AW7:AW38" si="3">ROUND(AQ7*AU7,2)</f>
        <v>42</v>
      </c>
      <c r="AX7" s="139">
        <f t="shared" ref="AX7:AX38" si="4">ROUND(AR7*AU7,4)</f>
        <v>0.25850000000000001</v>
      </c>
      <c r="BC7" s="114"/>
    </row>
    <row r="8" spans="1:55" s="167" customFormat="1" x14ac:dyDescent="0.25">
      <c r="A8" s="167" t="s">
        <v>151</v>
      </c>
      <c r="B8" s="167" t="s">
        <v>152</v>
      </c>
      <c r="C8" s="167" t="s">
        <v>153</v>
      </c>
      <c r="D8" s="167" t="s">
        <v>154</v>
      </c>
      <c r="E8" s="167" t="s">
        <v>77</v>
      </c>
      <c r="F8" s="167" t="str">
        <f>INDEX('Rate Design (Consol)'!$B$48:$B$66,MATCH('Bill Impact Detail'!G8,'Rate Design (Consol)'!$C$48:$C$66,0))</f>
        <v>RES-3</v>
      </c>
      <c r="G8" s="167" t="s">
        <v>266</v>
      </c>
      <c r="H8" s="167" t="str">
        <f>INDEX('Rate Design (Consol)'!$D$48:$D$66,MATCH('Bill Impact Detail'!I8,'Rate Design (Consol)'!$E$48:$E$66,0))</f>
        <v>RES-3</v>
      </c>
      <c r="I8" s="167" t="str">
        <f t="shared" ref="I8:I61" si="5">G8</f>
        <v>Residential - 3</v>
      </c>
      <c r="J8" s="167" t="str">
        <f>VLOOKUP(I8,'Rate Design (Consol)'!$E$48:$F$66,2,FALSE)</f>
        <v>n/a</v>
      </c>
      <c r="K8" s="169" t="str">
        <f t="shared" ref="K8:K71" si="6">CONCATENATE(A8,"-",E8,"-",H8)</f>
        <v>Indiantown-Indiantown - Transportation Service 1-RES-3</v>
      </c>
      <c r="L8" s="169">
        <v>3</v>
      </c>
      <c r="M8" s="169" t="str">
        <f t="shared" ref="M8:M26" si="7">D8</f>
        <v>FI</v>
      </c>
      <c r="N8" s="138">
        <f>VLOOKUP(K8,'G2-8 Summary'!J:O,6,FALSE)</f>
        <v>306</v>
      </c>
      <c r="O8" s="63">
        <f>INDEX('G2-8 Summary'!S:S,MATCH('Bill Impact Detail'!K8,'G2-8 Summary'!J:J,0))</f>
        <v>9</v>
      </c>
      <c r="P8" s="63">
        <f>SUMIFS('Rate Design (Consol)'!K:K,'Rate Design (Consol)'!A:A,M8,'Rate Design (Consol)'!D:D,H8)</f>
        <v>16.5</v>
      </c>
      <c r="Q8" s="63"/>
      <c r="R8" s="142">
        <f t="shared" ref="R8:R72" si="8">S8+W8</f>
        <v>0.37835000000000002</v>
      </c>
      <c r="S8" s="141">
        <f>INDEX('G2-8 Summary'!V:V,MATCH('Bill Impact Detail'!K8,'G2-8 Summary'!J:J,0))</f>
        <v>0.37835000000000002</v>
      </c>
      <c r="T8" s="141">
        <f>SUMIFS('Rate Design (Consol)'!L:L,'Rate Design (Consol)'!A:A,M8,'Rate Design (Consol)'!D:D,H8)</f>
        <v>0.25219999999999998</v>
      </c>
      <c r="U8" s="141"/>
      <c r="W8" s="64">
        <f>VLOOKUP($K8,'G2-8 Summary'!$J:$AA,15,FALSE)</f>
        <v>0</v>
      </c>
      <c r="X8" s="64"/>
      <c r="Y8" s="64"/>
      <c r="Z8" s="64"/>
      <c r="AB8" s="63">
        <f t="shared" ref="AB8:AB71" si="9">O8*12</f>
        <v>108</v>
      </c>
      <c r="AC8" s="63">
        <f t="shared" ref="AC8:AC71" si="10">N8*S8</f>
        <v>115.77510000000001</v>
      </c>
      <c r="AD8" s="63">
        <f t="shared" ref="AD8:AD71" si="11">$N8*W8</f>
        <v>0</v>
      </c>
      <c r="AE8" s="63">
        <f t="shared" ref="AE8:AE71" si="12">$N8*X8</f>
        <v>0</v>
      </c>
      <c r="AF8" s="63">
        <f t="shared" ref="AF8:AF71" si="13">$N8*Y8</f>
        <v>0</v>
      </c>
      <c r="AG8" s="63">
        <f t="shared" ref="AG8:AG71" si="14">$N8*Z8</f>
        <v>0</v>
      </c>
      <c r="AH8" s="202">
        <f t="shared" ref="AH8:AH71" si="15">SUM(AB8:AG8)</f>
        <v>223.77510000000001</v>
      </c>
      <c r="AI8" s="138"/>
      <c r="AJ8" s="63">
        <f t="shared" ref="AJ8:AJ71" si="16">P8*12</f>
        <v>198</v>
      </c>
      <c r="AK8" s="63">
        <f t="shared" ref="AK8:AK71" si="17">N8*T8</f>
        <v>77.173199999999994</v>
      </c>
      <c r="AL8" s="63"/>
      <c r="AM8" s="63">
        <f t="shared" ref="AM8:AM72" si="18">$N8*X8</f>
        <v>0</v>
      </c>
      <c r="AN8" s="63">
        <f t="shared" ref="AN8:AN72" si="19">$N8*Y8</f>
        <v>0</v>
      </c>
      <c r="AO8" s="63">
        <f t="shared" ref="AO8:AO72" si="20">$N8*Z8</f>
        <v>0</v>
      </c>
      <c r="AP8" s="202">
        <f t="shared" ref="AP8:AP37" si="21">SUM(AJ8:AO8)</f>
        <v>275.17320000000001</v>
      </c>
      <c r="AQ8" s="63">
        <f t="shared" si="1"/>
        <v>51.398099999999999</v>
      </c>
      <c r="AR8" s="157">
        <f t="shared" ref="AR8:AR72" si="22">IFERROR(AQ8/AH8,0)</f>
        <v>0.22968641283145444</v>
      </c>
      <c r="AT8" s="111">
        <f>VLOOKUP(K8,'G2-8 Summary'!J:P,7,FALSE)</f>
        <v>119</v>
      </c>
      <c r="AU8" s="157">
        <f t="shared" si="2"/>
        <v>1</v>
      </c>
      <c r="AW8" s="138">
        <f t="shared" si="3"/>
        <v>51.4</v>
      </c>
      <c r="AX8" s="139">
        <f t="shared" si="4"/>
        <v>0.22969999999999999</v>
      </c>
      <c r="BC8" s="109"/>
    </row>
    <row r="9" spans="1:55" s="90" customFormat="1" x14ac:dyDescent="0.25">
      <c r="A9" s="90" t="s">
        <v>151</v>
      </c>
      <c r="B9" s="167" t="s">
        <v>152</v>
      </c>
      <c r="C9" s="90" t="s">
        <v>153</v>
      </c>
      <c r="D9" s="90" t="s">
        <v>154</v>
      </c>
      <c r="E9" s="90" t="s">
        <v>77</v>
      </c>
      <c r="F9" s="167" t="str">
        <f>INDEX('Rate Design (Consol)'!$B$48:$B$66,MATCH('Bill Impact Detail'!G9,'Rate Design (Consol)'!$C$48:$C$66,0))</f>
        <v>RES-1</v>
      </c>
      <c r="G9" s="90" t="s">
        <v>8</v>
      </c>
      <c r="H9" s="167" t="str">
        <f>INDEX('Rate Design (Consol)'!$D$48:$D$66,MATCH('Bill Impact Detail'!I9,'Rate Design (Consol)'!$E$48:$E$66,0))</f>
        <v>RES-1</v>
      </c>
      <c r="I9" s="167" t="str">
        <f t="shared" si="5"/>
        <v>Residential - 1</v>
      </c>
      <c r="J9" s="167" t="str">
        <f>VLOOKUP(I9,'Rate Design (Consol)'!$E$48:$F$66,2,FALSE)</f>
        <v>&lt; = 100</v>
      </c>
      <c r="K9" s="169" t="str">
        <f t="shared" si="6"/>
        <v>Indiantown-Indiantown - Transportation Service 1-RES-1</v>
      </c>
      <c r="L9" s="169">
        <v>1</v>
      </c>
      <c r="M9" s="169" t="str">
        <f t="shared" si="7"/>
        <v>FI</v>
      </c>
      <c r="N9" s="138">
        <f>VLOOKUP(K9,'G2-8 Summary'!J:O,6,FALSE)</f>
        <v>53</v>
      </c>
      <c r="O9" s="63">
        <f>INDEX('G2-8 Summary'!S:S,MATCH('Bill Impact Detail'!K9,'G2-8 Summary'!J:J,0))</f>
        <v>9</v>
      </c>
      <c r="P9" s="63">
        <f>SUMIFS('Rate Design (Consol)'!K:K,'Rate Design (Consol)'!A:A,M9,'Rate Design (Consol)'!D:D,H9)</f>
        <v>11.5</v>
      </c>
      <c r="Q9" s="63"/>
      <c r="R9" s="142">
        <f t="shared" si="8"/>
        <v>0.37835000000000002</v>
      </c>
      <c r="S9" s="141">
        <f>INDEX('G2-8 Summary'!V:V,MATCH('Bill Impact Detail'!K9,'G2-8 Summary'!J:J,0))</f>
        <v>0.37835000000000002</v>
      </c>
      <c r="T9" s="141">
        <f>SUMIFS('Rate Design (Consol)'!L:L,'Rate Design (Consol)'!A:A,M9,'Rate Design (Consol)'!D:D,H9)</f>
        <v>0.37835000000000002</v>
      </c>
      <c r="U9" s="141"/>
      <c r="V9" s="167"/>
      <c r="W9" s="64">
        <f>VLOOKUP($K9,'G2-8 Summary'!$J:$AA,15,FALSE)</f>
        <v>0</v>
      </c>
      <c r="X9" s="64"/>
      <c r="Y9" s="64"/>
      <c r="Z9" s="64"/>
      <c r="AB9" s="63">
        <f t="shared" si="9"/>
        <v>108</v>
      </c>
      <c r="AC9" s="63">
        <f t="shared" si="10"/>
        <v>20.05255</v>
      </c>
      <c r="AD9" s="63">
        <f t="shared" si="11"/>
        <v>0</v>
      </c>
      <c r="AE9" s="63">
        <f t="shared" si="12"/>
        <v>0</v>
      </c>
      <c r="AF9" s="63">
        <f t="shared" si="13"/>
        <v>0</v>
      </c>
      <c r="AG9" s="63">
        <f t="shared" si="14"/>
        <v>0</v>
      </c>
      <c r="AH9" s="202">
        <f t="shared" si="15"/>
        <v>128.05255</v>
      </c>
      <c r="AI9" s="147"/>
      <c r="AJ9" s="63">
        <f t="shared" si="16"/>
        <v>138</v>
      </c>
      <c r="AK9" s="63">
        <f t="shared" si="17"/>
        <v>20.05255</v>
      </c>
      <c r="AL9" s="63"/>
      <c r="AM9" s="63">
        <f t="shared" si="18"/>
        <v>0</v>
      </c>
      <c r="AN9" s="63">
        <f t="shared" si="19"/>
        <v>0</v>
      </c>
      <c r="AO9" s="63">
        <f t="shared" si="20"/>
        <v>0</v>
      </c>
      <c r="AP9" s="37">
        <f t="shared" si="21"/>
        <v>158.05255</v>
      </c>
      <c r="AQ9" s="36">
        <f t="shared" si="1"/>
        <v>30</v>
      </c>
      <c r="AR9" s="157">
        <f t="shared" si="22"/>
        <v>0.23427881756357058</v>
      </c>
      <c r="AT9" s="111">
        <f>VLOOKUP(K9,'G2-8 Summary'!J:P,7,FALSE)</f>
        <v>181</v>
      </c>
      <c r="AU9" s="157">
        <f t="shared" si="2"/>
        <v>1</v>
      </c>
      <c r="AW9" s="138">
        <f t="shared" si="3"/>
        <v>30</v>
      </c>
      <c r="AX9" s="139">
        <f t="shared" si="4"/>
        <v>0.23430000000000001</v>
      </c>
      <c r="AY9" s="167"/>
      <c r="BC9" s="109"/>
    </row>
    <row r="10" spans="1:55" s="90" customFormat="1" x14ac:dyDescent="0.25">
      <c r="A10" s="90" t="s">
        <v>151</v>
      </c>
      <c r="B10" s="167" t="s">
        <v>155</v>
      </c>
      <c r="C10" s="90" t="s">
        <v>156</v>
      </c>
      <c r="D10" s="90" t="s">
        <v>154</v>
      </c>
      <c r="E10" s="90" t="s">
        <v>101</v>
      </c>
      <c r="F10" s="167" t="str">
        <f>INDEX('Rate Design (Consol)'!$B$48:$B$66,MATCH('Bill Impact Detail'!G10,'Rate Design (Consol)'!$C$48:$C$66,0))</f>
        <v>GS-2</v>
      </c>
      <c r="G10" s="90" t="s">
        <v>12</v>
      </c>
      <c r="H10" s="167" t="str">
        <f>INDEX('Rate Design (Consol)'!$D$48:$D$66,MATCH('Bill Impact Detail'!I10,'Rate Design (Consol)'!$E$48:$E$66,0))</f>
        <v>GS-2</v>
      </c>
      <c r="I10" s="167" t="str">
        <f t="shared" si="5"/>
        <v>General Service - 2</v>
      </c>
      <c r="J10" s="167" t="str">
        <f>VLOOKUP(I10,'Rate Design (Consol)'!$E$48:$F$66,2,FALSE)</f>
        <v>&gt; 1000 &lt; = 5,000</v>
      </c>
      <c r="K10" s="169" t="str">
        <f t="shared" si="6"/>
        <v>Indiantown-Indiantown - Transportation Service 2-GS-2</v>
      </c>
      <c r="L10" s="169">
        <v>6</v>
      </c>
      <c r="M10" s="169" t="str">
        <f t="shared" si="7"/>
        <v>FI</v>
      </c>
      <c r="N10" s="138">
        <f>VLOOKUP(K10,'G2-8 Summary'!J:O,6,FALSE)</f>
        <v>2445</v>
      </c>
      <c r="O10" s="63">
        <f>INDEX('G2-8 Summary'!S:S,MATCH('Bill Impact Detail'!K10,'G2-8 Summary'!J:J,0))</f>
        <v>25</v>
      </c>
      <c r="P10" s="63">
        <f>SUMIFS('Rate Design (Consol)'!K:K,'Rate Design (Consol)'!A:A,M10,'Rate Design (Consol)'!D:D,H10)</f>
        <v>35</v>
      </c>
      <c r="Q10" s="63"/>
      <c r="R10" s="142">
        <f t="shared" si="8"/>
        <v>5.7619999999999998E-2</v>
      </c>
      <c r="S10" s="141">
        <f>INDEX('G2-8 Summary'!V:V,MATCH('Bill Impact Detail'!K10,'G2-8 Summary'!J:J,0))</f>
        <v>5.7619999999999998E-2</v>
      </c>
      <c r="T10" s="141">
        <f>SUMIFS('Rate Design (Consol)'!L:L,'Rate Design (Consol)'!A:A,M10,'Rate Design (Consol)'!D:D,H10)</f>
        <v>5.7619999999999998E-2</v>
      </c>
      <c r="U10" s="141"/>
      <c r="V10" s="167"/>
      <c r="W10" s="64">
        <f>VLOOKUP($K10,'G2-8 Summary'!$J:$AA,15,FALSE)</f>
        <v>0</v>
      </c>
      <c r="X10" s="64"/>
      <c r="Y10" s="64"/>
      <c r="Z10" s="64"/>
      <c r="AB10" s="63">
        <f t="shared" si="9"/>
        <v>300</v>
      </c>
      <c r="AC10" s="63">
        <f t="shared" si="10"/>
        <v>140.8809</v>
      </c>
      <c r="AD10" s="63">
        <f t="shared" si="11"/>
        <v>0</v>
      </c>
      <c r="AE10" s="63">
        <f t="shared" si="12"/>
        <v>0</v>
      </c>
      <c r="AF10" s="63">
        <f t="shared" si="13"/>
        <v>0</v>
      </c>
      <c r="AG10" s="63">
        <f t="shared" si="14"/>
        <v>0</v>
      </c>
      <c r="AH10" s="202">
        <f t="shared" si="15"/>
        <v>440.8809</v>
      </c>
      <c r="AI10" s="147"/>
      <c r="AJ10" s="63">
        <f t="shared" si="16"/>
        <v>420</v>
      </c>
      <c r="AK10" s="63">
        <f t="shared" si="17"/>
        <v>140.8809</v>
      </c>
      <c r="AL10" s="63"/>
      <c r="AM10" s="63">
        <f t="shared" si="18"/>
        <v>0</v>
      </c>
      <c r="AN10" s="63">
        <f t="shared" si="19"/>
        <v>0</v>
      </c>
      <c r="AO10" s="63">
        <f t="shared" si="20"/>
        <v>0</v>
      </c>
      <c r="AP10" s="37">
        <f t="shared" si="21"/>
        <v>560.8809</v>
      </c>
      <c r="AQ10" s="36">
        <f t="shared" si="1"/>
        <v>120</v>
      </c>
      <c r="AR10" s="157">
        <f t="shared" si="22"/>
        <v>0.27218235128806895</v>
      </c>
      <c r="AT10" s="111">
        <f>VLOOKUP(K10,'G2-8 Summary'!J:P,7,FALSE)</f>
        <v>6</v>
      </c>
      <c r="AU10" s="157">
        <f t="shared" si="2"/>
        <v>1</v>
      </c>
      <c r="AW10" s="138">
        <f t="shared" si="3"/>
        <v>120</v>
      </c>
      <c r="AX10" s="139">
        <f t="shared" si="4"/>
        <v>0.2722</v>
      </c>
      <c r="AY10" s="167"/>
      <c r="BC10" s="109"/>
    </row>
    <row r="11" spans="1:55" s="90" customFormat="1" x14ac:dyDescent="0.25">
      <c r="A11" s="90" t="s">
        <v>151</v>
      </c>
      <c r="B11" s="167" t="s">
        <v>155</v>
      </c>
      <c r="C11" s="90" t="s">
        <v>156</v>
      </c>
      <c r="D11" s="90" t="s">
        <v>154</v>
      </c>
      <c r="E11" s="90" t="s">
        <v>101</v>
      </c>
      <c r="F11" s="167" t="str">
        <f>INDEX('Rate Design (Consol)'!$B$48:$B$66,MATCH('Bill Impact Detail'!G11,'Rate Design (Consol)'!$C$48:$C$66,0))</f>
        <v>GS-3</v>
      </c>
      <c r="G11" s="90" t="s">
        <v>13</v>
      </c>
      <c r="H11" s="167" t="str">
        <f>INDEX('Rate Design (Consol)'!$D$48:$D$66,MATCH('Bill Impact Detail'!I11,'Rate Design (Consol)'!$E$48:$E$66,0))</f>
        <v>GS-3</v>
      </c>
      <c r="I11" s="167" t="str">
        <f t="shared" si="5"/>
        <v>General Service - 3</v>
      </c>
      <c r="J11" s="167" t="str">
        <f>VLOOKUP(I11,'Rate Design (Consol)'!$E$48:$F$66,2,FALSE)</f>
        <v>&gt; 5,000 &lt; = 10,000</v>
      </c>
      <c r="K11" s="169" t="str">
        <f t="shared" si="6"/>
        <v>Indiantown-Indiantown - Transportation Service 2-GS-3</v>
      </c>
      <c r="L11" s="169">
        <v>7</v>
      </c>
      <c r="M11" s="169" t="str">
        <f t="shared" si="7"/>
        <v>FI</v>
      </c>
      <c r="N11" s="138">
        <f>VLOOKUP(K11,'G2-8 Summary'!J:O,6,FALSE)</f>
        <v>7470</v>
      </c>
      <c r="O11" s="63">
        <f>INDEX('G2-8 Summary'!S:S,MATCH('Bill Impact Detail'!K11,'G2-8 Summary'!J:J,0))</f>
        <v>25</v>
      </c>
      <c r="P11" s="63">
        <f>SUMIFS('Rate Design (Consol)'!K:K,'Rate Design (Consol)'!A:A,M11,'Rate Design (Consol)'!D:D,H11)</f>
        <v>45</v>
      </c>
      <c r="Q11" s="63"/>
      <c r="R11" s="142">
        <f t="shared" si="8"/>
        <v>5.7619999999999998E-2</v>
      </c>
      <c r="S11" s="141">
        <f>INDEX('G2-8 Summary'!V:V,MATCH('Bill Impact Detail'!K11,'G2-8 Summary'!J:J,0))</f>
        <v>5.7619999999999998E-2</v>
      </c>
      <c r="T11" s="141">
        <f>SUMIFS('Rate Design (Consol)'!L:L,'Rate Design (Consol)'!A:A,M11,'Rate Design (Consol)'!D:D,H11)</f>
        <v>5.7619999999999998E-2</v>
      </c>
      <c r="U11" s="141"/>
      <c r="V11" s="167"/>
      <c r="W11" s="64">
        <f>VLOOKUP($K11,'G2-8 Summary'!$J:$AA,15,FALSE)</f>
        <v>0</v>
      </c>
      <c r="X11" s="64"/>
      <c r="Y11" s="64"/>
      <c r="Z11" s="64"/>
      <c r="AB11" s="63">
        <f t="shared" si="9"/>
        <v>300</v>
      </c>
      <c r="AC11" s="63">
        <f t="shared" si="10"/>
        <v>430.42140000000001</v>
      </c>
      <c r="AD11" s="63">
        <f t="shared" si="11"/>
        <v>0</v>
      </c>
      <c r="AE11" s="63">
        <f t="shared" si="12"/>
        <v>0</v>
      </c>
      <c r="AF11" s="63">
        <f t="shared" si="13"/>
        <v>0</v>
      </c>
      <c r="AG11" s="63">
        <f t="shared" si="14"/>
        <v>0</v>
      </c>
      <c r="AH11" s="202">
        <f t="shared" si="15"/>
        <v>730.42139999999995</v>
      </c>
      <c r="AI11" s="147"/>
      <c r="AJ11" s="63">
        <f t="shared" si="16"/>
        <v>540</v>
      </c>
      <c r="AK11" s="63">
        <f t="shared" si="17"/>
        <v>430.42140000000001</v>
      </c>
      <c r="AL11" s="63"/>
      <c r="AM11" s="63">
        <f t="shared" si="18"/>
        <v>0</v>
      </c>
      <c r="AN11" s="63">
        <f t="shared" si="19"/>
        <v>0</v>
      </c>
      <c r="AO11" s="63">
        <f t="shared" si="20"/>
        <v>0</v>
      </c>
      <c r="AP11" s="37">
        <f t="shared" si="21"/>
        <v>970.42139999999995</v>
      </c>
      <c r="AQ11" s="36">
        <f t="shared" si="1"/>
        <v>240</v>
      </c>
      <c r="AR11" s="157">
        <f t="shared" si="22"/>
        <v>0.32857744857968291</v>
      </c>
      <c r="AT11" s="111">
        <f>VLOOKUP(K11,'G2-8 Summary'!J:P,7,FALSE)</f>
        <v>5</v>
      </c>
      <c r="AU11" s="157">
        <f t="shared" si="2"/>
        <v>0.83333333333333337</v>
      </c>
      <c r="AW11" s="138">
        <f t="shared" si="3"/>
        <v>200</v>
      </c>
      <c r="AX11" s="139">
        <f t="shared" si="4"/>
        <v>0.27379999999999999</v>
      </c>
      <c r="AY11" s="167"/>
      <c r="BC11" s="109"/>
    </row>
    <row r="12" spans="1:55" s="90" customFormat="1" x14ac:dyDescent="0.25">
      <c r="A12" s="90" t="s">
        <v>151</v>
      </c>
      <c r="B12" s="167" t="s">
        <v>155</v>
      </c>
      <c r="C12" s="90" t="s">
        <v>156</v>
      </c>
      <c r="D12" s="90" t="s">
        <v>154</v>
      </c>
      <c r="E12" s="90" t="s">
        <v>101</v>
      </c>
      <c r="F12" s="167" t="str">
        <f>INDEX('Rate Design (Consol)'!$B$48:$B$66,MATCH('Bill Impact Detail'!G12,'Rate Design (Consol)'!$C$48:$C$66,0))</f>
        <v>GS-4</v>
      </c>
      <c r="G12" s="90" t="s">
        <v>14</v>
      </c>
      <c r="H12" s="167" t="str">
        <f>INDEX('Rate Design (Consol)'!$D$48:$D$66,MATCH('Bill Impact Detail'!I12,'Rate Design (Consol)'!$E$48:$E$66,0))</f>
        <v>GS-4</v>
      </c>
      <c r="I12" s="167" t="str">
        <f t="shared" si="5"/>
        <v>General Service - 4</v>
      </c>
      <c r="J12" s="167" t="str">
        <f>VLOOKUP(I12,'Rate Design (Consol)'!$E$48:$F$66,2,FALSE)</f>
        <v>&gt; 10,000 &lt; = 50,000</v>
      </c>
      <c r="K12" s="169" t="str">
        <f t="shared" si="6"/>
        <v>Indiantown-Indiantown - Transportation Service 2-GS-4</v>
      </c>
      <c r="L12" s="169">
        <v>8</v>
      </c>
      <c r="M12" s="169" t="str">
        <f t="shared" si="7"/>
        <v>FI</v>
      </c>
      <c r="N12" s="138">
        <f>VLOOKUP(K12,'G2-8 Summary'!J:O,6,FALSE)</f>
        <v>12486</v>
      </c>
      <c r="O12" s="63">
        <f>INDEX('G2-8 Summary'!S:S,MATCH('Bill Impact Detail'!K12,'G2-8 Summary'!J:J,0))</f>
        <v>25</v>
      </c>
      <c r="P12" s="63">
        <f>SUMIFS('Rate Design (Consol)'!K:K,'Rate Design (Consol)'!A:A,M12,'Rate Design (Consol)'!D:D,H12)</f>
        <v>55</v>
      </c>
      <c r="Q12" s="63"/>
      <c r="R12" s="142">
        <f t="shared" si="8"/>
        <v>5.7619999999999998E-2</v>
      </c>
      <c r="S12" s="141">
        <f>INDEX('G2-8 Summary'!V:V,MATCH('Bill Impact Detail'!K12,'G2-8 Summary'!J:J,0))</f>
        <v>5.7619999999999998E-2</v>
      </c>
      <c r="T12" s="141">
        <f>SUMIFS('Rate Design (Consol)'!L:L,'Rate Design (Consol)'!A:A,M12,'Rate Design (Consol)'!D:D,H12)</f>
        <v>4.9619999999999997E-2</v>
      </c>
      <c r="U12" s="141"/>
      <c r="V12" s="167"/>
      <c r="W12" s="64">
        <f>VLOOKUP($K12,'G2-8 Summary'!$J:$AA,15,FALSE)</f>
        <v>0</v>
      </c>
      <c r="X12" s="64"/>
      <c r="Y12" s="64"/>
      <c r="Z12" s="64"/>
      <c r="AB12" s="63">
        <f t="shared" si="9"/>
        <v>300</v>
      </c>
      <c r="AC12" s="63">
        <f t="shared" si="10"/>
        <v>719.44331999999997</v>
      </c>
      <c r="AD12" s="63">
        <f t="shared" si="11"/>
        <v>0</v>
      </c>
      <c r="AE12" s="63">
        <f t="shared" si="12"/>
        <v>0</v>
      </c>
      <c r="AF12" s="63">
        <f t="shared" si="13"/>
        <v>0</v>
      </c>
      <c r="AG12" s="63">
        <f t="shared" si="14"/>
        <v>0</v>
      </c>
      <c r="AH12" s="202">
        <f t="shared" si="15"/>
        <v>1019.44332</v>
      </c>
      <c r="AI12" s="147"/>
      <c r="AJ12" s="63">
        <f t="shared" si="16"/>
        <v>660</v>
      </c>
      <c r="AK12" s="63">
        <f t="shared" si="17"/>
        <v>619.55531999999994</v>
      </c>
      <c r="AL12" s="63"/>
      <c r="AM12" s="63">
        <f t="shared" si="18"/>
        <v>0</v>
      </c>
      <c r="AN12" s="63">
        <f t="shared" si="19"/>
        <v>0</v>
      </c>
      <c r="AO12" s="63">
        <f t="shared" si="20"/>
        <v>0</v>
      </c>
      <c r="AP12" s="37">
        <f t="shared" si="21"/>
        <v>1279.5553199999999</v>
      </c>
      <c r="AQ12" s="36">
        <f t="shared" si="1"/>
        <v>260.11199999999997</v>
      </c>
      <c r="AR12" s="157">
        <f t="shared" si="22"/>
        <v>0.25515101712569954</v>
      </c>
      <c r="AT12" s="111">
        <f>VLOOKUP(K12,'G2-8 Summary'!J:P,7,FALSE)</f>
        <v>2</v>
      </c>
      <c r="AU12" s="157">
        <f t="shared" si="2"/>
        <v>1</v>
      </c>
      <c r="AW12" s="138">
        <f t="shared" si="3"/>
        <v>260.11</v>
      </c>
      <c r="AX12" s="139">
        <f t="shared" si="4"/>
        <v>0.25519999999999998</v>
      </c>
      <c r="AY12" s="167"/>
      <c r="BC12" s="109"/>
    </row>
    <row r="13" spans="1:55" s="90" customFormat="1" x14ac:dyDescent="0.25">
      <c r="A13" s="90" t="s">
        <v>151</v>
      </c>
      <c r="B13" s="167" t="s">
        <v>155</v>
      </c>
      <c r="C13" s="90" t="s">
        <v>156</v>
      </c>
      <c r="D13" s="90" t="s">
        <v>154</v>
      </c>
      <c r="E13" s="90" t="s">
        <v>101</v>
      </c>
      <c r="F13" s="167" t="str">
        <f>INDEX('Rate Design (Consol)'!$B$48:$B$66,MATCH('Bill Impact Detail'!G13,'Rate Design (Consol)'!$C$48:$C$66,0))</f>
        <v>GS-1</v>
      </c>
      <c r="G13" s="90" t="s">
        <v>11</v>
      </c>
      <c r="H13" s="167" t="str">
        <f>INDEX('Rate Design (Consol)'!$D$48:$D$66,MATCH('Bill Impact Detail'!I13,'Rate Design (Consol)'!$E$48:$E$66,0))</f>
        <v>GS-1</v>
      </c>
      <c r="I13" s="167" t="str">
        <f t="shared" si="5"/>
        <v>General Service - 1</v>
      </c>
      <c r="J13" s="167" t="str">
        <f>VLOOKUP(I13,'Rate Design (Consol)'!$E$48:$F$66,2,FALSE)</f>
        <v>&lt; = 1000</v>
      </c>
      <c r="K13" s="169" t="str">
        <f t="shared" si="6"/>
        <v>Indiantown-Indiantown - Transportation Service 2-GS-1</v>
      </c>
      <c r="L13" s="169">
        <v>5</v>
      </c>
      <c r="M13" s="169" t="str">
        <f t="shared" si="7"/>
        <v>FI</v>
      </c>
      <c r="N13" s="138">
        <f>VLOOKUP(K13,'G2-8 Summary'!J:O,6,FALSE)</f>
        <v>441</v>
      </c>
      <c r="O13" s="63">
        <f>INDEX('G2-8 Summary'!S:S,MATCH('Bill Impact Detail'!K13,'G2-8 Summary'!J:J,0))</f>
        <v>25</v>
      </c>
      <c r="P13" s="63">
        <f>SUMIFS('Rate Design (Consol)'!K:K,'Rate Design (Consol)'!A:A,M13,'Rate Design (Consol)'!D:D,H13)</f>
        <v>25</v>
      </c>
      <c r="Q13" s="63"/>
      <c r="R13" s="142">
        <f t="shared" si="8"/>
        <v>5.7619999999999998E-2</v>
      </c>
      <c r="S13" s="141">
        <f>INDEX('G2-8 Summary'!V:V,MATCH('Bill Impact Detail'!K13,'G2-8 Summary'!J:J,0))</f>
        <v>5.7619999999999998E-2</v>
      </c>
      <c r="T13" s="141">
        <f>SUMIFS('Rate Design (Consol)'!L:L,'Rate Design (Consol)'!A:A,M13,'Rate Design (Consol)'!D:D,H13)</f>
        <v>5.7619999999999998E-2</v>
      </c>
      <c r="U13" s="141"/>
      <c r="V13" s="167"/>
      <c r="W13" s="64">
        <f>VLOOKUP($K13,'G2-8 Summary'!$J:$AA,15,FALSE)</f>
        <v>0</v>
      </c>
      <c r="X13" s="64"/>
      <c r="Y13" s="64"/>
      <c r="Z13" s="64"/>
      <c r="AB13" s="63">
        <f t="shared" si="9"/>
        <v>300</v>
      </c>
      <c r="AC13" s="63">
        <f t="shared" si="10"/>
        <v>25.410419999999998</v>
      </c>
      <c r="AD13" s="63">
        <f t="shared" si="11"/>
        <v>0</v>
      </c>
      <c r="AE13" s="63">
        <f t="shared" si="12"/>
        <v>0</v>
      </c>
      <c r="AF13" s="63">
        <f t="shared" si="13"/>
        <v>0</v>
      </c>
      <c r="AG13" s="63">
        <f t="shared" si="14"/>
        <v>0</v>
      </c>
      <c r="AH13" s="202">
        <f t="shared" si="15"/>
        <v>325.41041999999999</v>
      </c>
      <c r="AI13" s="147"/>
      <c r="AJ13" s="63">
        <f t="shared" si="16"/>
        <v>300</v>
      </c>
      <c r="AK13" s="63">
        <f t="shared" si="17"/>
        <v>25.410419999999998</v>
      </c>
      <c r="AL13" s="63"/>
      <c r="AM13" s="63">
        <f t="shared" si="18"/>
        <v>0</v>
      </c>
      <c r="AN13" s="63">
        <f t="shared" si="19"/>
        <v>0</v>
      </c>
      <c r="AO13" s="63">
        <f t="shared" si="20"/>
        <v>0</v>
      </c>
      <c r="AP13" s="37">
        <f t="shared" si="21"/>
        <v>325.41041999999999</v>
      </c>
      <c r="AQ13" s="36">
        <f t="shared" si="1"/>
        <v>0</v>
      </c>
      <c r="AR13" s="157">
        <f t="shared" si="22"/>
        <v>0</v>
      </c>
      <c r="AT13" s="111">
        <f>VLOOKUP(K13,'G2-8 Summary'!J:P,7,FALSE)</f>
        <v>9</v>
      </c>
      <c r="AU13" s="157">
        <f t="shared" si="2"/>
        <v>1</v>
      </c>
      <c r="AW13" s="138">
        <f t="shared" si="3"/>
        <v>0</v>
      </c>
      <c r="AX13" s="139">
        <f t="shared" si="4"/>
        <v>0</v>
      </c>
      <c r="AY13" s="167"/>
      <c r="BC13" s="109"/>
    </row>
    <row r="14" spans="1:55" s="90" customFormat="1" x14ac:dyDescent="0.25">
      <c r="A14" s="90" t="s">
        <v>151</v>
      </c>
      <c r="B14" s="167" t="s">
        <v>155</v>
      </c>
      <c r="C14" s="90" t="s">
        <v>157</v>
      </c>
      <c r="D14" s="90" t="s">
        <v>154</v>
      </c>
      <c r="E14" s="90" t="s">
        <v>112</v>
      </c>
      <c r="F14" s="167" t="str">
        <f>INDEX('Rate Design (Consol)'!$B$48:$B$66,MATCH('Bill Impact Detail'!G14,'Rate Design (Consol)'!$C$48:$C$66,0))</f>
        <v>GS-3</v>
      </c>
      <c r="G14" s="90" t="s">
        <v>13</v>
      </c>
      <c r="H14" s="167" t="str">
        <f>INDEX('Rate Design (Consol)'!$D$48:$D$66,MATCH('Bill Impact Detail'!I14,'Rate Design (Consol)'!$E$48:$E$66,0))</f>
        <v>GS-3</v>
      </c>
      <c r="I14" s="167" t="str">
        <f t="shared" si="5"/>
        <v>General Service - 3</v>
      </c>
      <c r="J14" s="167" t="str">
        <f>VLOOKUP(I14,'Rate Design (Consol)'!$E$48:$F$66,2,FALSE)</f>
        <v>&gt; 5,000 &lt; = 10,000</v>
      </c>
      <c r="K14" s="169" t="str">
        <f t="shared" si="6"/>
        <v>Indiantown-Indiantown - Transportation Service 3-GS-3</v>
      </c>
      <c r="L14" s="169">
        <v>7</v>
      </c>
      <c r="M14" s="169" t="str">
        <f t="shared" si="7"/>
        <v>FI</v>
      </c>
      <c r="N14" s="138">
        <f>VLOOKUP(K14,'G2-8 Summary'!J:O,6,FALSE)</f>
        <v>7986</v>
      </c>
      <c r="O14" s="63">
        <f>INDEX('G2-8 Summary'!S:S,MATCH('Bill Impact Detail'!K14,'G2-8 Summary'!J:J,0))</f>
        <v>60</v>
      </c>
      <c r="P14" s="63">
        <f>SUMIFS('Rate Design (Consol)'!K:K,'Rate Design (Consol)'!A:A,M14,'Rate Design (Consol)'!D:D,H14)</f>
        <v>45</v>
      </c>
      <c r="Q14" s="63"/>
      <c r="R14" s="142">
        <f t="shared" si="8"/>
        <v>4.7849999999999997E-2</v>
      </c>
      <c r="S14" s="141">
        <f>INDEX('G2-8 Summary'!V:V,MATCH('Bill Impact Detail'!K14,'G2-8 Summary'!J:J,0))</f>
        <v>4.7849999999999997E-2</v>
      </c>
      <c r="T14" s="141">
        <f>SUMIFS('Rate Design (Consol)'!L:L,'Rate Design (Consol)'!A:A,M14,'Rate Design (Consol)'!D:D,H14)</f>
        <v>5.7619999999999998E-2</v>
      </c>
      <c r="U14" s="141"/>
      <c r="V14" s="167"/>
      <c r="W14" s="64">
        <f>VLOOKUP($K14,'G2-8 Summary'!$J:$AA,15,FALSE)</f>
        <v>0</v>
      </c>
      <c r="X14" s="64"/>
      <c r="Y14" s="64"/>
      <c r="Z14" s="64"/>
      <c r="AB14" s="63">
        <f t="shared" si="9"/>
        <v>720</v>
      </c>
      <c r="AC14" s="63">
        <f t="shared" si="10"/>
        <v>382.13009999999997</v>
      </c>
      <c r="AD14" s="63">
        <f t="shared" si="11"/>
        <v>0</v>
      </c>
      <c r="AE14" s="63">
        <f t="shared" si="12"/>
        <v>0</v>
      </c>
      <c r="AF14" s="63">
        <f t="shared" si="13"/>
        <v>0</v>
      </c>
      <c r="AG14" s="63">
        <f t="shared" si="14"/>
        <v>0</v>
      </c>
      <c r="AH14" s="202">
        <f t="shared" si="15"/>
        <v>1102.1300999999999</v>
      </c>
      <c r="AI14" s="147"/>
      <c r="AJ14" s="63">
        <f t="shared" si="16"/>
        <v>540</v>
      </c>
      <c r="AK14" s="63">
        <f t="shared" si="17"/>
        <v>460.15332000000001</v>
      </c>
      <c r="AL14" s="63"/>
      <c r="AM14" s="63">
        <f t="shared" si="18"/>
        <v>0</v>
      </c>
      <c r="AN14" s="63">
        <f t="shared" si="19"/>
        <v>0</v>
      </c>
      <c r="AO14" s="63">
        <f t="shared" si="20"/>
        <v>0</v>
      </c>
      <c r="AP14" s="37">
        <f t="shared" si="21"/>
        <v>1000.15332</v>
      </c>
      <c r="AQ14" s="36">
        <f t="shared" si="1"/>
        <v>-101.97677999999985</v>
      </c>
      <c r="AR14" s="157">
        <f t="shared" si="22"/>
        <v>-9.2526989327303424E-2</v>
      </c>
      <c r="AT14" s="111">
        <f>VLOOKUP(K14,'G2-8 Summary'!J:P,7,FALSE)</f>
        <v>1</v>
      </c>
      <c r="AU14" s="157">
        <f t="shared" si="2"/>
        <v>0.16666666666666666</v>
      </c>
      <c r="AW14" s="138">
        <f t="shared" si="3"/>
        <v>-17</v>
      </c>
      <c r="AX14" s="139">
        <f t="shared" si="4"/>
        <v>-1.54E-2</v>
      </c>
      <c r="AY14" s="167"/>
      <c r="BC14" s="109"/>
    </row>
    <row r="15" spans="1:55" s="90" customFormat="1" x14ac:dyDescent="0.25">
      <c r="A15" s="90" t="s">
        <v>158</v>
      </c>
      <c r="B15" s="167" t="s">
        <v>155</v>
      </c>
      <c r="C15" s="90" t="s">
        <v>47</v>
      </c>
      <c r="D15" s="90" t="s">
        <v>159</v>
      </c>
      <c r="E15" s="90" t="s">
        <v>98</v>
      </c>
      <c r="F15" s="167" t="str">
        <f>INDEX('Rate Design (Consol)'!$B$48:$B$66,MATCH('Bill Impact Detail'!G15,'Rate Design (Consol)'!$C$48:$C$66,0))</f>
        <v>GS-2</v>
      </c>
      <c r="G15" s="90" t="s">
        <v>12</v>
      </c>
      <c r="H15" s="167" t="str">
        <f>INDEX('Rate Design (Consol)'!$D$48:$D$66,MATCH('Bill Impact Detail'!I15,'Rate Design (Consol)'!$E$48:$E$66,0))</f>
        <v>GS-2</v>
      </c>
      <c r="I15" s="167" t="str">
        <f t="shared" si="5"/>
        <v>General Service - 2</v>
      </c>
      <c r="J15" s="167" t="str">
        <f>VLOOKUP(I15,'Rate Design (Consol)'!$E$48:$F$66,2,FALSE)</f>
        <v>&gt; 1000 &lt; = 5,000</v>
      </c>
      <c r="K15" s="169" t="str">
        <f t="shared" si="6"/>
        <v>Ft. Meade -Ft. Meade - General Service-1-GS-2</v>
      </c>
      <c r="L15" s="169">
        <v>6</v>
      </c>
      <c r="M15" s="169" t="str">
        <f t="shared" si="7"/>
        <v>FT</v>
      </c>
      <c r="N15" s="138">
        <f>VLOOKUP(K15,'G2-8 Summary'!J:O,6,FALSE)</f>
        <v>2601</v>
      </c>
      <c r="O15" s="63">
        <f>INDEX('G2-8 Summary'!S:S,MATCH('Bill Impact Detail'!K15,'G2-8 Summary'!J:J,0))</f>
        <v>17.5</v>
      </c>
      <c r="P15" s="63">
        <f>SUMIFS('Rate Design (Consol)'!K:K,'Rate Design (Consol)'!A:A,M15,'Rate Design (Consol)'!D:D,H15)</f>
        <v>50</v>
      </c>
      <c r="Q15" s="63"/>
      <c r="R15" s="142">
        <f t="shared" si="8"/>
        <v>0.57156000000000007</v>
      </c>
      <c r="S15" s="141">
        <f>INDEX('G2-8 Summary'!V:V,MATCH('Bill Impact Detail'!K15,'G2-8 Summary'!J:J,0))</f>
        <v>0.55700000000000005</v>
      </c>
      <c r="T15" s="141">
        <f>SUMIFS('Rate Design (Consol)'!L:L,'Rate Design (Consol)'!A:A,M15,'Rate Design (Consol)'!D:D,H15)</f>
        <v>0.55700000000000005</v>
      </c>
      <c r="U15" s="141"/>
      <c r="V15" s="167"/>
      <c r="W15" s="64">
        <f>VLOOKUP($K15,'G2-8 Summary'!$J:$AA,15,FALSE)</f>
        <v>1.4560000000000002E-2</v>
      </c>
      <c r="X15" s="64"/>
      <c r="Y15" s="64"/>
      <c r="Z15" s="64"/>
      <c r="AB15" s="63">
        <f t="shared" si="9"/>
        <v>210</v>
      </c>
      <c r="AC15" s="63">
        <f t="shared" si="10"/>
        <v>1448.7570000000001</v>
      </c>
      <c r="AD15" s="63">
        <f t="shared" si="11"/>
        <v>37.870560000000005</v>
      </c>
      <c r="AE15" s="63">
        <f t="shared" si="12"/>
        <v>0</v>
      </c>
      <c r="AF15" s="63">
        <f t="shared" si="13"/>
        <v>0</v>
      </c>
      <c r="AG15" s="63">
        <f t="shared" si="14"/>
        <v>0</v>
      </c>
      <c r="AH15" s="202">
        <f t="shared" si="15"/>
        <v>1696.6275600000001</v>
      </c>
      <c r="AI15" s="147"/>
      <c r="AJ15" s="63">
        <f t="shared" si="16"/>
        <v>600</v>
      </c>
      <c r="AK15" s="63">
        <f t="shared" si="17"/>
        <v>1448.7570000000001</v>
      </c>
      <c r="AL15" s="63"/>
      <c r="AM15" s="63">
        <f t="shared" si="18"/>
        <v>0</v>
      </c>
      <c r="AN15" s="63">
        <f t="shared" si="19"/>
        <v>0</v>
      </c>
      <c r="AO15" s="63">
        <f t="shared" si="20"/>
        <v>0</v>
      </c>
      <c r="AP15" s="37">
        <f t="shared" si="21"/>
        <v>2048.7570000000001</v>
      </c>
      <c r="AQ15" s="36">
        <f t="shared" si="1"/>
        <v>352.12943999999993</v>
      </c>
      <c r="AR15" s="157">
        <f t="shared" si="22"/>
        <v>0.20754669339451254</v>
      </c>
      <c r="AT15" s="111">
        <f>VLOOKUP(K15,'G2-8 Summary'!J:P,7,FALSE)</f>
        <v>6</v>
      </c>
      <c r="AU15" s="157">
        <f t="shared" si="2"/>
        <v>0.54545454545454541</v>
      </c>
      <c r="AW15" s="138">
        <f t="shared" si="3"/>
        <v>192.07</v>
      </c>
      <c r="AX15" s="139">
        <f t="shared" si="4"/>
        <v>0.1132</v>
      </c>
      <c r="AY15" s="167"/>
      <c r="BC15" s="109"/>
    </row>
    <row r="16" spans="1:55" s="90" customFormat="1" x14ac:dyDescent="0.25">
      <c r="A16" s="90" t="s">
        <v>158</v>
      </c>
      <c r="B16" s="167" t="s">
        <v>155</v>
      </c>
      <c r="C16" s="90" t="s">
        <v>47</v>
      </c>
      <c r="D16" s="90" t="s">
        <v>159</v>
      </c>
      <c r="E16" s="90" t="s">
        <v>98</v>
      </c>
      <c r="F16" s="167" t="str">
        <f>INDEX('Rate Design (Consol)'!$B$48:$B$66,MATCH('Bill Impact Detail'!G16,'Rate Design (Consol)'!$C$48:$C$66,0))</f>
        <v>GS-4</v>
      </c>
      <c r="G16" s="90" t="s">
        <v>14</v>
      </c>
      <c r="H16" s="167" t="str">
        <f>INDEX('Rate Design (Consol)'!$D$48:$D$66,MATCH('Bill Impact Detail'!I16,'Rate Design (Consol)'!$E$48:$E$66,0))</f>
        <v>GS-4</v>
      </c>
      <c r="I16" s="167" t="str">
        <f t="shared" si="5"/>
        <v>General Service - 4</v>
      </c>
      <c r="J16" s="167" t="str">
        <f>VLOOKUP(I16,'Rate Design (Consol)'!$E$48:$F$66,2,FALSE)</f>
        <v>&gt; 10,000 &lt; = 50,000</v>
      </c>
      <c r="K16" s="169" t="str">
        <f t="shared" si="6"/>
        <v>Ft. Meade -Ft. Meade - General Service-1-GS-4</v>
      </c>
      <c r="L16" s="169">
        <v>8</v>
      </c>
      <c r="M16" s="169" t="str">
        <f t="shared" si="7"/>
        <v>FT</v>
      </c>
      <c r="N16" s="138">
        <f>VLOOKUP(K16,'G2-8 Summary'!J:O,6,FALSE)</f>
        <v>22741</v>
      </c>
      <c r="O16" s="63">
        <f>INDEX('G2-8 Summary'!S:S,MATCH('Bill Impact Detail'!K16,'G2-8 Summary'!J:J,0))</f>
        <v>17.5</v>
      </c>
      <c r="P16" s="63">
        <f>SUMIFS('Rate Design (Consol)'!K:K,'Rate Design (Consol)'!A:A,M16,'Rate Design (Consol)'!D:D,H16)</f>
        <v>225</v>
      </c>
      <c r="Q16" s="63"/>
      <c r="R16" s="142">
        <f t="shared" si="8"/>
        <v>0.57156000000000007</v>
      </c>
      <c r="S16" s="141">
        <f>INDEX('G2-8 Summary'!V:V,MATCH('Bill Impact Detail'!K16,'G2-8 Summary'!J:J,0))</f>
        <v>0.55700000000000005</v>
      </c>
      <c r="T16" s="141">
        <f>SUMIFS('Rate Design (Consol)'!L:L,'Rate Design (Consol)'!A:A,M16,'Rate Design (Consol)'!D:D,H16)</f>
        <v>0.31365999999999999</v>
      </c>
      <c r="U16" s="141"/>
      <c r="V16" s="167"/>
      <c r="W16" s="64">
        <f>VLOOKUP($K16,'G2-8 Summary'!$J:$AA,15,FALSE)</f>
        <v>1.4560000000000002E-2</v>
      </c>
      <c r="X16" s="64"/>
      <c r="Y16" s="64"/>
      <c r="Z16" s="64"/>
      <c r="AB16" s="63">
        <f t="shared" si="9"/>
        <v>210</v>
      </c>
      <c r="AC16" s="63">
        <f t="shared" si="10"/>
        <v>12666.737000000001</v>
      </c>
      <c r="AD16" s="63">
        <f t="shared" si="11"/>
        <v>331.10896000000002</v>
      </c>
      <c r="AE16" s="63">
        <f t="shared" si="12"/>
        <v>0</v>
      </c>
      <c r="AF16" s="63">
        <f t="shared" si="13"/>
        <v>0</v>
      </c>
      <c r="AG16" s="63">
        <f t="shared" si="14"/>
        <v>0</v>
      </c>
      <c r="AH16" s="202">
        <f t="shared" si="15"/>
        <v>13207.845960000001</v>
      </c>
      <c r="AI16" s="147"/>
      <c r="AJ16" s="63">
        <f t="shared" si="16"/>
        <v>2700</v>
      </c>
      <c r="AK16" s="63">
        <f t="shared" si="17"/>
        <v>7132.9420600000003</v>
      </c>
      <c r="AL16" s="63"/>
      <c r="AM16" s="63">
        <f t="shared" si="18"/>
        <v>0</v>
      </c>
      <c r="AN16" s="63">
        <f t="shared" si="19"/>
        <v>0</v>
      </c>
      <c r="AO16" s="63">
        <f t="shared" si="20"/>
        <v>0</v>
      </c>
      <c r="AP16" s="37">
        <f t="shared" si="21"/>
        <v>9832.9420600000012</v>
      </c>
      <c r="AQ16" s="36">
        <f t="shared" si="1"/>
        <v>-3374.9038999999993</v>
      </c>
      <c r="AR16" s="157">
        <f t="shared" si="22"/>
        <v>-0.25552265753408282</v>
      </c>
      <c r="AT16" s="111">
        <f>VLOOKUP(K16,'G2-8 Summary'!J:P,7,FALSE)</f>
        <v>1</v>
      </c>
      <c r="AU16" s="157">
        <f t="shared" si="2"/>
        <v>0.25</v>
      </c>
      <c r="AW16" s="138">
        <f t="shared" si="3"/>
        <v>-843.73</v>
      </c>
      <c r="AX16" s="139">
        <f t="shared" si="4"/>
        <v>-6.3899999999999998E-2</v>
      </c>
      <c r="AY16" s="167"/>
      <c r="BC16" s="109"/>
    </row>
    <row r="17" spans="1:55" s="90" customFormat="1" x14ac:dyDescent="0.25">
      <c r="A17" s="90" t="s">
        <v>158</v>
      </c>
      <c r="B17" s="167" t="s">
        <v>155</v>
      </c>
      <c r="C17" s="90" t="s">
        <v>47</v>
      </c>
      <c r="D17" s="90" t="s">
        <v>159</v>
      </c>
      <c r="E17" s="90" t="s">
        <v>98</v>
      </c>
      <c r="F17" s="167" t="str">
        <f>INDEX('Rate Design (Consol)'!$B$48:$B$66,MATCH('Bill Impact Detail'!G17,'Rate Design (Consol)'!$C$48:$C$66,0))</f>
        <v>GS-1</v>
      </c>
      <c r="G17" s="90" t="s">
        <v>11</v>
      </c>
      <c r="H17" s="167" t="str">
        <f>INDEX('Rate Design (Consol)'!$D$48:$D$66,MATCH('Bill Impact Detail'!I17,'Rate Design (Consol)'!$E$48:$E$66,0))</f>
        <v>GS-1</v>
      </c>
      <c r="I17" s="167" t="str">
        <f t="shared" si="5"/>
        <v>General Service - 1</v>
      </c>
      <c r="J17" s="167" t="str">
        <f>VLOOKUP(I17,'Rate Design (Consol)'!$E$48:$F$66,2,FALSE)</f>
        <v>&lt; = 1000</v>
      </c>
      <c r="K17" s="169" t="str">
        <f t="shared" si="6"/>
        <v>Ft. Meade -Ft. Meade - General Service-1-GS-1</v>
      </c>
      <c r="L17" s="169">
        <v>5</v>
      </c>
      <c r="M17" s="169" t="str">
        <f t="shared" si="7"/>
        <v>FT</v>
      </c>
      <c r="N17" s="138">
        <f>VLOOKUP(K17,'G2-8 Summary'!J:O,6,FALSE)</f>
        <v>209</v>
      </c>
      <c r="O17" s="63">
        <f>INDEX('G2-8 Summary'!S:S,MATCH('Bill Impact Detail'!K17,'G2-8 Summary'!J:J,0))</f>
        <v>17.5</v>
      </c>
      <c r="P17" s="63">
        <f>SUMIFS('Rate Design (Consol)'!K:K,'Rate Design (Consol)'!A:A,M17,'Rate Design (Consol)'!D:D,H17)</f>
        <v>25</v>
      </c>
      <c r="Q17" s="63"/>
      <c r="R17" s="278">
        <f t="shared" si="8"/>
        <v>0.57156000000000007</v>
      </c>
      <c r="S17" s="141">
        <f>INDEX('G2-8 Summary'!V:V,MATCH('Bill Impact Detail'!K17,'G2-8 Summary'!J:J,0))</f>
        <v>0.55700000000000005</v>
      </c>
      <c r="T17" s="141">
        <f>SUMIFS('Rate Design (Consol)'!L:L,'Rate Design (Consol)'!A:A,M17,'Rate Design (Consol)'!D:D,H17)</f>
        <v>0.55700000000000005</v>
      </c>
      <c r="U17" s="141"/>
      <c r="V17" s="167"/>
      <c r="W17" s="64">
        <f>VLOOKUP($K17,'G2-8 Summary'!$J:$AA,15,FALSE)</f>
        <v>1.4560000000000002E-2</v>
      </c>
      <c r="X17" s="64"/>
      <c r="Y17" s="64"/>
      <c r="Z17" s="64"/>
      <c r="AB17" s="63">
        <f t="shared" si="9"/>
        <v>210</v>
      </c>
      <c r="AC17" s="63">
        <f t="shared" si="10"/>
        <v>116.41300000000001</v>
      </c>
      <c r="AD17" s="63">
        <f t="shared" si="11"/>
        <v>3.0430400000000004</v>
      </c>
      <c r="AE17" s="63">
        <f t="shared" si="12"/>
        <v>0</v>
      </c>
      <c r="AF17" s="63">
        <f t="shared" si="13"/>
        <v>0</v>
      </c>
      <c r="AG17" s="63">
        <f t="shared" si="14"/>
        <v>0</v>
      </c>
      <c r="AH17" s="202">
        <f t="shared" si="15"/>
        <v>329.45604000000003</v>
      </c>
      <c r="AI17" s="147"/>
      <c r="AJ17" s="63">
        <f t="shared" si="16"/>
        <v>300</v>
      </c>
      <c r="AK17" s="63">
        <f t="shared" si="17"/>
        <v>116.41300000000001</v>
      </c>
      <c r="AL17" s="63"/>
      <c r="AM17" s="63">
        <f t="shared" si="18"/>
        <v>0</v>
      </c>
      <c r="AN17" s="63">
        <f t="shared" si="19"/>
        <v>0</v>
      </c>
      <c r="AO17" s="63">
        <f t="shared" si="20"/>
        <v>0</v>
      </c>
      <c r="AP17" s="37">
        <f t="shared" si="21"/>
        <v>416.41300000000001</v>
      </c>
      <c r="AQ17" s="36">
        <f t="shared" si="1"/>
        <v>86.956959999999981</v>
      </c>
      <c r="AR17" s="157">
        <f t="shared" si="22"/>
        <v>0.2639410101572276</v>
      </c>
      <c r="AT17" s="111">
        <f>VLOOKUP(K17,'G2-8 Summary'!J:P,7,FALSE)</f>
        <v>15</v>
      </c>
      <c r="AU17" s="157">
        <f t="shared" si="2"/>
        <v>0.9375</v>
      </c>
      <c r="AW17" s="138">
        <f t="shared" si="3"/>
        <v>81.52</v>
      </c>
      <c r="AX17" s="139">
        <f t="shared" si="4"/>
        <v>0.24740000000000001</v>
      </c>
      <c r="AY17" s="167"/>
      <c r="BC17" s="109"/>
    </row>
    <row r="18" spans="1:55" s="90" customFormat="1" x14ac:dyDescent="0.25">
      <c r="A18" s="90" t="s">
        <v>158</v>
      </c>
      <c r="B18" s="167" t="s">
        <v>155</v>
      </c>
      <c r="C18" s="90" t="s">
        <v>160</v>
      </c>
      <c r="D18" s="90" t="s">
        <v>159</v>
      </c>
      <c r="E18" s="90" t="s">
        <v>106</v>
      </c>
      <c r="F18" s="167" t="str">
        <f>INDEX('Rate Design (Consol)'!$B$48:$B$66,MATCH('Bill Impact Detail'!G18,'Rate Design (Consol)'!$C$48:$C$66,0))</f>
        <v>GS-2</v>
      </c>
      <c r="G18" s="90" t="s">
        <v>12</v>
      </c>
      <c r="H18" s="167" t="str">
        <f>INDEX('Rate Design (Consol)'!$D$48:$D$66,MATCH('Bill Impact Detail'!I18,'Rate Design (Consol)'!$E$48:$E$66,0))</f>
        <v>GS-2</v>
      </c>
      <c r="I18" s="167" t="str">
        <f t="shared" si="5"/>
        <v>General Service - 2</v>
      </c>
      <c r="J18" s="167" t="str">
        <f>VLOOKUP(I18,'Rate Design (Consol)'!$E$48:$F$66,2,FALSE)</f>
        <v>&gt; 1000 &lt; = 5,000</v>
      </c>
      <c r="K18" s="169" t="str">
        <f t="shared" si="6"/>
        <v>Ft. Meade -Ft. Meade - General Transportation Service-1-GS-2</v>
      </c>
      <c r="L18" s="169">
        <v>6</v>
      </c>
      <c r="M18" s="169" t="str">
        <f t="shared" si="7"/>
        <v>FT</v>
      </c>
      <c r="N18" s="138">
        <f>VLOOKUP(K18,'G2-8 Summary'!J:O,6,FALSE)</f>
        <v>2343</v>
      </c>
      <c r="O18" s="63">
        <f>INDEX('G2-8 Summary'!S:S,MATCH('Bill Impact Detail'!K18,'G2-8 Summary'!J:J,0))</f>
        <v>17.5</v>
      </c>
      <c r="P18" s="63">
        <f>SUMIFS('Rate Design (Consol)'!K:K,'Rate Design (Consol)'!A:A,M18,'Rate Design (Consol)'!D:D,H18)</f>
        <v>50</v>
      </c>
      <c r="Q18" s="63"/>
      <c r="R18" s="142">
        <f t="shared" si="8"/>
        <v>0.57156000000000007</v>
      </c>
      <c r="S18" s="141">
        <f>INDEX('G2-8 Summary'!V:V,MATCH('Bill Impact Detail'!K18,'G2-8 Summary'!J:J,0))</f>
        <v>0.55700000000000005</v>
      </c>
      <c r="T18" s="141">
        <f>SUMIFS('Rate Design (Consol)'!L:L,'Rate Design (Consol)'!A:A,M18,'Rate Design (Consol)'!D:D,H18)</f>
        <v>0.55700000000000005</v>
      </c>
      <c r="U18" s="141"/>
      <c r="V18" s="167"/>
      <c r="W18" s="64">
        <f>VLOOKUP($K18,'G2-8 Summary'!$J:$AA,15,FALSE)</f>
        <v>1.4560000000000003E-2</v>
      </c>
      <c r="X18" s="64"/>
      <c r="Y18" s="64"/>
      <c r="Z18" s="64"/>
      <c r="AB18" s="63">
        <f t="shared" si="9"/>
        <v>210</v>
      </c>
      <c r="AC18" s="63">
        <f t="shared" si="10"/>
        <v>1305.0510000000002</v>
      </c>
      <c r="AD18" s="63">
        <f t="shared" si="11"/>
        <v>34.114080000000008</v>
      </c>
      <c r="AE18" s="63">
        <f t="shared" si="12"/>
        <v>0</v>
      </c>
      <c r="AF18" s="63">
        <f t="shared" si="13"/>
        <v>0</v>
      </c>
      <c r="AG18" s="63">
        <f t="shared" si="14"/>
        <v>0</v>
      </c>
      <c r="AH18" s="202">
        <f t="shared" si="15"/>
        <v>1549.1650800000002</v>
      </c>
      <c r="AI18" s="147"/>
      <c r="AJ18" s="63">
        <f t="shared" si="16"/>
        <v>600</v>
      </c>
      <c r="AK18" s="63">
        <f t="shared" si="17"/>
        <v>1305.0510000000002</v>
      </c>
      <c r="AL18" s="63"/>
      <c r="AM18" s="63">
        <f t="shared" si="18"/>
        <v>0</v>
      </c>
      <c r="AN18" s="63">
        <f t="shared" si="19"/>
        <v>0</v>
      </c>
      <c r="AO18" s="63">
        <f t="shared" si="20"/>
        <v>0</v>
      </c>
      <c r="AP18" s="37">
        <f t="shared" si="21"/>
        <v>1905.0510000000002</v>
      </c>
      <c r="AQ18" s="36">
        <f t="shared" si="1"/>
        <v>355.88591999999994</v>
      </c>
      <c r="AR18" s="157">
        <f t="shared" si="22"/>
        <v>0.22972756395980723</v>
      </c>
      <c r="AT18" s="111">
        <f>VLOOKUP(K18,'G2-8 Summary'!J:P,7,FALSE)</f>
        <v>5</v>
      </c>
      <c r="AU18" s="157">
        <f t="shared" si="2"/>
        <v>0.45454545454545453</v>
      </c>
      <c r="AW18" s="138">
        <f t="shared" si="3"/>
        <v>161.77000000000001</v>
      </c>
      <c r="AX18" s="139">
        <f t="shared" si="4"/>
        <v>0.10440000000000001</v>
      </c>
      <c r="AY18" s="167"/>
      <c r="BC18" s="109"/>
    </row>
    <row r="19" spans="1:55" s="90" customFormat="1" x14ac:dyDescent="0.25">
      <c r="A19" s="90" t="s">
        <v>158</v>
      </c>
      <c r="B19" s="167" t="s">
        <v>155</v>
      </c>
      <c r="C19" s="90" t="s">
        <v>160</v>
      </c>
      <c r="D19" s="90" t="s">
        <v>159</v>
      </c>
      <c r="E19" s="90" t="s">
        <v>106</v>
      </c>
      <c r="F19" s="167" t="str">
        <f>INDEX('Rate Design (Consol)'!$B$48:$B$66,MATCH('Bill Impact Detail'!G19,'Rate Design (Consol)'!$C$48:$C$66,0))</f>
        <v>GS-3</v>
      </c>
      <c r="G19" s="90" t="s">
        <v>13</v>
      </c>
      <c r="H19" s="167" t="str">
        <f>INDEX('Rate Design (Consol)'!$D$48:$D$66,MATCH('Bill Impact Detail'!I19,'Rate Design (Consol)'!$E$48:$E$66,0))</f>
        <v>GS-3</v>
      </c>
      <c r="I19" s="167" t="str">
        <f t="shared" si="5"/>
        <v>General Service - 3</v>
      </c>
      <c r="J19" s="167" t="str">
        <f>VLOOKUP(I19,'Rate Design (Consol)'!$E$48:$F$66,2,FALSE)</f>
        <v>&gt; 5,000 &lt; = 10,000</v>
      </c>
      <c r="K19" s="169" t="str">
        <f t="shared" si="6"/>
        <v>Ft. Meade -Ft. Meade - General Transportation Service-1-GS-3</v>
      </c>
      <c r="L19" s="169">
        <v>7</v>
      </c>
      <c r="M19" s="169" t="str">
        <f t="shared" si="7"/>
        <v>FT</v>
      </c>
      <c r="N19" s="138">
        <f>VLOOKUP(K19,'G2-8 Summary'!J:O,6,FALSE)</f>
        <v>6824</v>
      </c>
      <c r="O19" s="63">
        <f>INDEX('G2-8 Summary'!S:S,MATCH('Bill Impact Detail'!K19,'G2-8 Summary'!J:J,0))</f>
        <v>17.5</v>
      </c>
      <c r="P19" s="63">
        <f>SUMIFS('Rate Design (Consol)'!K:K,'Rate Design (Consol)'!A:A,M19,'Rate Design (Consol)'!D:D,H19)</f>
        <v>100</v>
      </c>
      <c r="Q19" s="63"/>
      <c r="R19" s="142">
        <f t="shared" si="8"/>
        <v>0.57156000000000007</v>
      </c>
      <c r="S19" s="141">
        <f>INDEX('G2-8 Summary'!V:V,MATCH('Bill Impact Detail'!K19,'G2-8 Summary'!J:J,0))</f>
        <v>0.55700000000000005</v>
      </c>
      <c r="T19" s="141">
        <f>SUMIFS('Rate Design (Consol)'!L:L,'Rate Design (Consol)'!A:A,M19,'Rate Design (Consol)'!D:D,H19)</f>
        <v>0.55700000000000005</v>
      </c>
      <c r="U19" s="141"/>
      <c r="V19" s="167"/>
      <c r="W19" s="64">
        <f>VLOOKUP($K19,'G2-8 Summary'!$J:$AA,15,FALSE)</f>
        <v>1.4560000000000003E-2</v>
      </c>
      <c r="X19" s="64"/>
      <c r="Y19" s="64"/>
      <c r="Z19" s="64"/>
      <c r="AB19" s="63">
        <f t="shared" si="9"/>
        <v>210</v>
      </c>
      <c r="AC19" s="63">
        <f t="shared" si="10"/>
        <v>3800.9680000000003</v>
      </c>
      <c r="AD19" s="63">
        <f t="shared" si="11"/>
        <v>99.357440000000025</v>
      </c>
      <c r="AE19" s="63">
        <f t="shared" si="12"/>
        <v>0</v>
      </c>
      <c r="AF19" s="63">
        <f t="shared" si="13"/>
        <v>0</v>
      </c>
      <c r="AG19" s="63">
        <f t="shared" si="14"/>
        <v>0</v>
      </c>
      <c r="AH19" s="202">
        <f t="shared" si="15"/>
        <v>4110.3254400000005</v>
      </c>
      <c r="AI19" s="147"/>
      <c r="AJ19" s="63">
        <f t="shared" si="16"/>
        <v>1200</v>
      </c>
      <c r="AK19" s="63">
        <f t="shared" si="17"/>
        <v>3800.9680000000003</v>
      </c>
      <c r="AL19" s="63"/>
      <c r="AM19" s="63">
        <f t="shared" si="18"/>
        <v>0</v>
      </c>
      <c r="AN19" s="63">
        <f t="shared" si="19"/>
        <v>0</v>
      </c>
      <c r="AO19" s="63">
        <f t="shared" si="20"/>
        <v>0</v>
      </c>
      <c r="AP19" s="37">
        <f t="shared" si="21"/>
        <v>5000.9680000000008</v>
      </c>
      <c r="AQ19" s="36">
        <f t="shared" si="1"/>
        <v>890.64256000000023</v>
      </c>
      <c r="AR19" s="157">
        <f t="shared" si="22"/>
        <v>0.21668419520572077</v>
      </c>
      <c r="AT19" s="111">
        <f>VLOOKUP(K19,'G2-8 Summary'!J:P,7,FALSE)</f>
        <v>3</v>
      </c>
      <c r="AU19" s="157">
        <f t="shared" si="2"/>
        <v>1</v>
      </c>
      <c r="AW19" s="138">
        <f t="shared" si="3"/>
        <v>890.64</v>
      </c>
      <c r="AX19" s="139">
        <f t="shared" si="4"/>
        <v>0.2167</v>
      </c>
      <c r="AY19" s="167"/>
      <c r="BC19" s="109"/>
    </row>
    <row r="20" spans="1:55" s="90" customFormat="1" x14ac:dyDescent="0.25">
      <c r="A20" s="90" t="s">
        <v>158</v>
      </c>
      <c r="B20" s="167" t="s">
        <v>155</v>
      </c>
      <c r="C20" s="90" t="s">
        <v>160</v>
      </c>
      <c r="D20" s="90" t="s">
        <v>159</v>
      </c>
      <c r="E20" s="90" t="s">
        <v>106</v>
      </c>
      <c r="F20" s="167" t="str">
        <f>INDEX('Rate Design (Consol)'!$B$48:$B$66,MATCH('Bill Impact Detail'!G20,'Rate Design (Consol)'!$C$48:$C$66,0))</f>
        <v>GS-1</v>
      </c>
      <c r="G20" s="90" t="s">
        <v>11</v>
      </c>
      <c r="H20" s="167" t="str">
        <f>INDEX('Rate Design (Consol)'!$D$48:$D$66,MATCH('Bill Impact Detail'!I20,'Rate Design (Consol)'!$E$48:$E$66,0))</f>
        <v>GS-1</v>
      </c>
      <c r="I20" s="167" t="str">
        <f t="shared" si="5"/>
        <v>General Service - 1</v>
      </c>
      <c r="J20" s="167" t="str">
        <f>VLOOKUP(I20,'Rate Design (Consol)'!$E$48:$F$66,2,FALSE)</f>
        <v>&lt; = 1000</v>
      </c>
      <c r="K20" s="169" t="str">
        <f t="shared" si="6"/>
        <v>Ft. Meade -Ft. Meade - General Transportation Service-1-GS-1</v>
      </c>
      <c r="L20" s="169">
        <v>5</v>
      </c>
      <c r="M20" s="169" t="str">
        <f t="shared" si="7"/>
        <v>FT</v>
      </c>
      <c r="N20" s="138">
        <f>VLOOKUP(K20,'G2-8 Summary'!J:O,6,FALSE)</f>
        <v>100</v>
      </c>
      <c r="O20" s="63">
        <f>INDEX('G2-8 Summary'!S:S,MATCH('Bill Impact Detail'!K20,'G2-8 Summary'!J:J,0))</f>
        <v>17.5</v>
      </c>
      <c r="P20" s="63">
        <f>SUMIFS('Rate Design (Consol)'!K:K,'Rate Design (Consol)'!A:A,M20,'Rate Design (Consol)'!D:D,H20)</f>
        <v>25</v>
      </c>
      <c r="Q20" s="63"/>
      <c r="R20" s="278">
        <f t="shared" si="8"/>
        <v>0.57156000000000007</v>
      </c>
      <c r="S20" s="141">
        <f>INDEX('G2-8 Summary'!V:V,MATCH('Bill Impact Detail'!K20,'G2-8 Summary'!J:J,0))</f>
        <v>0.55700000000000005</v>
      </c>
      <c r="T20" s="141">
        <f>SUMIFS('Rate Design (Consol)'!L:L,'Rate Design (Consol)'!A:A,M20,'Rate Design (Consol)'!D:D,H20)</f>
        <v>0.55700000000000005</v>
      </c>
      <c r="U20" s="141"/>
      <c r="V20" s="167"/>
      <c r="W20" s="64">
        <f>VLOOKUP($K20,'G2-8 Summary'!$J:$AA,15,FALSE)</f>
        <v>1.4560000000000003E-2</v>
      </c>
      <c r="X20" s="64"/>
      <c r="Y20" s="64"/>
      <c r="Z20" s="64"/>
      <c r="AB20" s="63">
        <f t="shared" si="9"/>
        <v>210</v>
      </c>
      <c r="AC20" s="63">
        <f t="shared" si="10"/>
        <v>55.7</v>
      </c>
      <c r="AD20" s="63">
        <f t="shared" si="11"/>
        <v>1.4560000000000004</v>
      </c>
      <c r="AE20" s="63">
        <f t="shared" si="12"/>
        <v>0</v>
      </c>
      <c r="AF20" s="63">
        <f t="shared" si="13"/>
        <v>0</v>
      </c>
      <c r="AG20" s="63">
        <f t="shared" si="14"/>
        <v>0</v>
      </c>
      <c r="AH20" s="202">
        <f t="shared" si="15"/>
        <v>267.15600000000001</v>
      </c>
      <c r="AI20" s="147"/>
      <c r="AJ20" s="63">
        <f t="shared" si="16"/>
        <v>300</v>
      </c>
      <c r="AK20" s="63">
        <f t="shared" si="17"/>
        <v>55.7</v>
      </c>
      <c r="AL20" s="63"/>
      <c r="AM20" s="63">
        <f t="shared" si="18"/>
        <v>0</v>
      </c>
      <c r="AN20" s="63">
        <f t="shared" si="19"/>
        <v>0</v>
      </c>
      <c r="AO20" s="63">
        <f t="shared" si="20"/>
        <v>0</v>
      </c>
      <c r="AP20" s="37">
        <f t="shared" si="21"/>
        <v>355.7</v>
      </c>
      <c r="AQ20" s="36">
        <f t="shared" si="1"/>
        <v>88.543999999999983</v>
      </c>
      <c r="AR20" s="157">
        <f t="shared" si="22"/>
        <v>0.33143182260551879</v>
      </c>
      <c r="AT20" s="111">
        <f>VLOOKUP(K20,'G2-8 Summary'!J:P,7,FALSE)</f>
        <v>1</v>
      </c>
      <c r="AU20" s="157">
        <f t="shared" si="2"/>
        <v>6.25E-2</v>
      </c>
      <c r="AW20" s="138">
        <f t="shared" si="3"/>
        <v>5.53</v>
      </c>
      <c r="AX20" s="139">
        <f t="shared" si="4"/>
        <v>2.07E-2</v>
      </c>
      <c r="AY20" s="167"/>
      <c r="BC20" s="109"/>
    </row>
    <row r="21" spans="1:55" s="90" customFormat="1" x14ac:dyDescent="0.25">
      <c r="A21" s="90" t="s">
        <v>158</v>
      </c>
      <c r="B21" s="167" t="s">
        <v>155</v>
      </c>
      <c r="C21" s="90" t="s">
        <v>161</v>
      </c>
      <c r="D21" s="90" t="s">
        <v>159</v>
      </c>
      <c r="E21" s="90" t="s">
        <v>114</v>
      </c>
      <c r="F21" s="167" t="str">
        <f>INDEX('Rate Design (Consol)'!$B$48:$B$66,MATCH('Bill Impact Detail'!G21,'Rate Design (Consol)'!$C$48:$C$66,0))</f>
        <v>GS-4</v>
      </c>
      <c r="G21" s="90" t="s">
        <v>14</v>
      </c>
      <c r="H21" s="167" t="str">
        <f>INDEX('Rate Design (Consol)'!$D$48:$D$66,MATCH('Bill Impact Detail'!I21,'Rate Design (Consol)'!$E$48:$E$66,0))</f>
        <v>GS-4</v>
      </c>
      <c r="I21" s="167" t="str">
        <f t="shared" si="5"/>
        <v>General Service - 4</v>
      </c>
      <c r="J21" s="167" t="str">
        <f>VLOOKUP(I21,'Rate Design (Consol)'!$E$48:$F$66,2,FALSE)</f>
        <v>&gt; 10,000 &lt; = 50,000</v>
      </c>
      <c r="K21" s="169" t="str">
        <f t="shared" si="6"/>
        <v>Ft. Meade -Ft. Meade - Large Volume Service-GS-4</v>
      </c>
      <c r="L21" s="169">
        <v>8</v>
      </c>
      <c r="M21" s="169" t="str">
        <f t="shared" si="7"/>
        <v>FT</v>
      </c>
      <c r="N21" s="138">
        <f>VLOOKUP(K21,'G2-8 Summary'!J:O,6,FALSE)</f>
        <v>13663</v>
      </c>
      <c r="O21" s="63">
        <f>INDEX('G2-8 Summary'!S:S,MATCH('Bill Impact Detail'!K21,'G2-8 Summary'!J:J,0))</f>
        <v>175</v>
      </c>
      <c r="P21" s="63">
        <f>SUMIFS('Rate Design (Consol)'!K:K,'Rate Design (Consol)'!A:A,M21,'Rate Design (Consol)'!D:D,H21)</f>
        <v>225</v>
      </c>
      <c r="Q21" s="63"/>
      <c r="R21" s="142">
        <f t="shared" si="8"/>
        <v>0.218</v>
      </c>
      <c r="S21" s="141">
        <f>INDEX('G2-8 Summary'!V:V,MATCH('Bill Impact Detail'!K21,'G2-8 Summary'!J:J,0))</f>
        <v>0.218</v>
      </c>
      <c r="T21" s="141">
        <f>SUMIFS('Rate Design (Consol)'!L:L,'Rate Design (Consol)'!A:A,M21,'Rate Design (Consol)'!D:D,H21)</f>
        <v>0.31365999999999999</v>
      </c>
      <c r="U21" s="141"/>
      <c r="V21" s="167"/>
      <c r="W21" s="64">
        <f>VLOOKUP($K21,'G2-8 Summary'!$J:$AA,15,FALSE)</f>
        <v>0</v>
      </c>
      <c r="X21" s="64"/>
      <c r="Y21" s="64"/>
      <c r="Z21" s="64"/>
      <c r="AB21" s="63">
        <f t="shared" si="9"/>
        <v>2100</v>
      </c>
      <c r="AC21" s="63">
        <f t="shared" si="10"/>
        <v>2978.5340000000001</v>
      </c>
      <c r="AD21" s="63">
        <f t="shared" si="11"/>
        <v>0</v>
      </c>
      <c r="AE21" s="63">
        <f t="shared" si="12"/>
        <v>0</v>
      </c>
      <c r="AF21" s="63">
        <f t="shared" si="13"/>
        <v>0</v>
      </c>
      <c r="AG21" s="63">
        <f t="shared" si="14"/>
        <v>0</v>
      </c>
      <c r="AH21" s="202">
        <f t="shared" si="15"/>
        <v>5078.5339999999997</v>
      </c>
      <c r="AI21" s="147"/>
      <c r="AJ21" s="63">
        <f t="shared" si="16"/>
        <v>2700</v>
      </c>
      <c r="AK21" s="63">
        <f t="shared" si="17"/>
        <v>4285.53658</v>
      </c>
      <c r="AL21" s="63"/>
      <c r="AM21" s="63">
        <f t="shared" si="18"/>
        <v>0</v>
      </c>
      <c r="AN21" s="63">
        <f t="shared" si="19"/>
        <v>0</v>
      </c>
      <c r="AO21" s="63">
        <f t="shared" si="20"/>
        <v>0</v>
      </c>
      <c r="AP21" s="37">
        <f t="shared" si="21"/>
        <v>6985.53658</v>
      </c>
      <c r="AQ21" s="36">
        <f t="shared" si="1"/>
        <v>1907.0025800000003</v>
      </c>
      <c r="AR21" s="157">
        <f t="shared" si="22"/>
        <v>0.37550257219898509</v>
      </c>
      <c r="AT21" s="111">
        <f>VLOOKUP(K21,'G2-8 Summary'!J:P,7,FALSE)</f>
        <v>2</v>
      </c>
      <c r="AU21" s="157">
        <f t="shared" si="2"/>
        <v>0.5</v>
      </c>
      <c r="AW21" s="138">
        <f t="shared" si="3"/>
        <v>953.5</v>
      </c>
      <c r="AX21" s="139">
        <f t="shared" si="4"/>
        <v>0.18779999999999999</v>
      </c>
      <c r="AY21" s="167"/>
      <c r="BC21" s="109"/>
    </row>
    <row r="22" spans="1:55" s="90" customFormat="1" x14ac:dyDescent="0.25">
      <c r="A22" s="90" t="s">
        <v>158</v>
      </c>
      <c r="B22" s="167" t="s">
        <v>155</v>
      </c>
      <c r="C22" s="90" t="s">
        <v>162</v>
      </c>
      <c r="D22" s="90" t="s">
        <v>159</v>
      </c>
      <c r="E22" s="90" t="s">
        <v>116</v>
      </c>
      <c r="F22" s="167" t="str">
        <f>INDEX('Rate Design (Consol)'!$B$48:$B$66,MATCH('Bill Impact Detail'!G22,'Rate Design (Consol)'!$C$48:$C$66,0))</f>
        <v>GS-4</v>
      </c>
      <c r="G22" s="90" t="s">
        <v>14</v>
      </c>
      <c r="H22" s="167" t="str">
        <f>INDEX('Rate Design (Consol)'!$D$48:$D$66,MATCH('Bill Impact Detail'!I22,'Rate Design (Consol)'!$E$48:$E$66,0))</f>
        <v>GS-4</v>
      </c>
      <c r="I22" s="167" t="str">
        <f t="shared" si="5"/>
        <v>General Service - 4</v>
      </c>
      <c r="J22" s="167" t="str">
        <f>VLOOKUP(I22,'Rate Design (Consol)'!$E$48:$F$66,2,FALSE)</f>
        <v>&gt; 10,000 &lt; = 50,000</v>
      </c>
      <c r="K22" s="169" t="str">
        <f t="shared" si="6"/>
        <v>Ft. Meade -Ft. Meade - Large Volume Transportation Service-GS-4</v>
      </c>
      <c r="L22" s="169">
        <v>8</v>
      </c>
      <c r="M22" s="169" t="str">
        <f t="shared" si="7"/>
        <v>FT</v>
      </c>
      <c r="N22" s="138">
        <f>VLOOKUP(K22,'G2-8 Summary'!J:O,6,FALSE)</f>
        <v>22010</v>
      </c>
      <c r="O22" s="63">
        <f>INDEX('G2-8 Summary'!S:S,MATCH('Bill Impact Detail'!K22,'G2-8 Summary'!J:J,0))</f>
        <v>175</v>
      </c>
      <c r="P22" s="63">
        <f>SUMIFS('Rate Design (Consol)'!K:K,'Rate Design (Consol)'!A:A,M22,'Rate Design (Consol)'!D:D,H22)</f>
        <v>225</v>
      </c>
      <c r="Q22" s="63"/>
      <c r="R22" s="142">
        <f t="shared" si="8"/>
        <v>0.218</v>
      </c>
      <c r="S22" s="141">
        <f>INDEX('G2-8 Summary'!V:V,MATCH('Bill Impact Detail'!K22,'G2-8 Summary'!J:J,0))</f>
        <v>0.218</v>
      </c>
      <c r="T22" s="141">
        <f>SUMIFS('Rate Design (Consol)'!L:L,'Rate Design (Consol)'!A:A,M22,'Rate Design (Consol)'!D:D,H22)</f>
        <v>0.31365999999999999</v>
      </c>
      <c r="U22" s="141"/>
      <c r="V22" s="167"/>
      <c r="W22" s="64">
        <f>VLOOKUP($K22,'G2-8 Summary'!$J:$AA,15,FALSE)</f>
        <v>0</v>
      </c>
      <c r="X22" s="64"/>
      <c r="Y22" s="64"/>
      <c r="Z22" s="64"/>
      <c r="AB22" s="63">
        <f t="shared" si="9"/>
        <v>2100</v>
      </c>
      <c r="AC22" s="63">
        <f t="shared" si="10"/>
        <v>4798.18</v>
      </c>
      <c r="AD22" s="63">
        <f t="shared" si="11"/>
        <v>0</v>
      </c>
      <c r="AE22" s="63">
        <f t="shared" si="12"/>
        <v>0</v>
      </c>
      <c r="AF22" s="63">
        <f t="shared" si="13"/>
        <v>0</v>
      </c>
      <c r="AG22" s="63">
        <f t="shared" si="14"/>
        <v>0</v>
      </c>
      <c r="AH22" s="202">
        <f t="shared" si="15"/>
        <v>6898.18</v>
      </c>
      <c r="AI22" s="147"/>
      <c r="AJ22" s="63">
        <f t="shared" si="16"/>
        <v>2700</v>
      </c>
      <c r="AK22" s="63">
        <f t="shared" si="17"/>
        <v>6903.6566000000003</v>
      </c>
      <c r="AL22" s="63"/>
      <c r="AM22" s="63">
        <f t="shared" si="18"/>
        <v>0</v>
      </c>
      <c r="AN22" s="63">
        <f t="shared" si="19"/>
        <v>0</v>
      </c>
      <c r="AO22" s="63">
        <f t="shared" si="20"/>
        <v>0</v>
      </c>
      <c r="AP22" s="37">
        <f t="shared" si="21"/>
        <v>9603.6566000000003</v>
      </c>
      <c r="AQ22" s="36">
        <f t="shared" si="1"/>
        <v>2705.4766</v>
      </c>
      <c r="AR22" s="157">
        <f t="shared" si="22"/>
        <v>0.39220150822390831</v>
      </c>
      <c r="AT22" s="111">
        <f>VLOOKUP(K22,'G2-8 Summary'!J:P,7,FALSE)</f>
        <v>1</v>
      </c>
      <c r="AU22" s="157">
        <f t="shared" si="2"/>
        <v>0.25</v>
      </c>
      <c r="AW22" s="138">
        <f t="shared" si="3"/>
        <v>676.37</v>
      </c>
      <c r="AX22" s="139">
        <f t="shared" si="4"/>
        <v>9.8100000000000007E-2</v>
      </c>
      <c r="AY22" s="167"/>
      <c r="BC22" s="109"/>
    </row>
    <row r="23" spans="1:55" s="90" customFormat="1" x14ac:dyDescent="0.25">
      <c r="A23" s="90" t="s">
        <v>158</v>
      </c>
      <c r="B23" s="167" t="s">
        <v>155</v>
      </c>
      <c r="C23" s="90" t="s">
        <v>162</v>
      </c>
      <c r="D23" s="90" t="s">
        <v>159</v>
      </c>
      <c r="E23" s="90" t="s">
        <v>116</v>
      </c>
      <c r="F23" s="167" t="str">
        <f>INDEX('Rate Design (Consol)'!$B$48:$B$66,MATCH('Bill Impact Detail'!G23,'Rate Design (Consol)'!$C$48:$C$66,0))</f>
        <v>GS-5</v>
      </c>
      <c r="G23" s="90" t="s">
        <v>15</v>
      </c>
      <c r="H23" s="167" t="str">
        <f>INDEX('Rate Design (Consol)'!$D$48:$D$66,MATCH('Bill Impact Detail'!I23,'Rate Design (Consol)'!$E$48:$E$66,0))</f>
        <v>GS-5</v>
      </c>
      <c r="I23" s="167" t="str">
        <f t="shared" si="5"/>
        <v>General Service - 5</v>
      </c>
      <c r="J23" s="167" t="str">
        <f>VLOOKUP(I23,'Rate Design (Consol)'!$E$48:$F$66,2,FALSE)</f>
        <v>&gt; 50,000 &lt; = 250,000</v>
      </c>
      <c r="K23" s="169" t="str">
        <f t="shared" si="6"/>
        <v>Ft. Meade -Ft. Meade - Large Volume Transportation Service-GS-5</v>
      </c>
      <c r="L23" s="169">
        <v>9</v>
      </c>
      <c r="M23" s="169" t="str">
        <f t="shared" si="7"/>
        <v>FT</v>
      </c>
      <c r="N23" s="138">
        <f>VLOOKUP(K23,'G2-8 Summary'!J:O,6,FALSE)</f>
        <v>119829</v>
      </c>
      <c r="O23" s="63">
        <f>INDEX('G2-8 Summary'!S:S,MATCH('Bill Impact Detail'!K23,'G2-8 Summary'!J:J,0))</f>
        <v>175</v>
      </c>
      <c r="P23" s="63">
        <f>SUMIFS('Rate Design (Consol)'!K:K,'Rate Design (Consol)'!A:A,M23,'Rate Design (Consol)'!D:D,H23)</f>
        <v>300</v>
      </c>
      <c r="Q23" s="63"/>
      <c r="R23" s="142">
        <f t="shared" si="8"/>
        <v>0.218</v>
      </c>
      <c r="S23" s="141">
        <f>INDEX('G2-8 Summary'!V:V,MATCH('Bill Impact Detail'!K23,'G2-8 Summary'!J:J,0))</f>
        <v>0.218</v>
      </c>
      <c r="T23" s="141">
        <f>SUMIFS('Rate Design (Consol)'!L:L,'Rate Design (Consol)'!A:A,M23,'Rate Design (Consol)'!D:D,H23)</f>
        <v>0.26922000000000001</v>
      </c>
      <c r="U23" s="141"/>
      <c r="V23" s="167"/>
      <c r="W23" s="64">
        <f>VLOOKUP($K23,'G2-8 Summary'!$J:$AA,15,FALSE)</f>
        <v>0</v>
      </c>
      <c r="X23" s="64"/>
      <c r="Y23" s="64"/>
      <c r="Z23" s="64"/>
      <c r="AB23" s="63">
        <f t="shared" si="9"/>
        <v>2100</v>
      </c>
      <c r="AC23" s="63">
        <f t="shared" si="10"/>
        <v>26122.722000000002</v>
      </c>
      <c r="AD23" s="63">
        <f t="shared" si="11"/>
        <v>0</v>
      </c>
      <c r="AE23" s="63">
        <f t="shared" si="12"/>
        <v>0</v>
      </c>
      <c r="AF23" s="63">
        <f t="shared" si="13"/>
        <v>0</v>
      </c>
      <c r="AG23" s="63">
        <f t="shared" si="14"/>
        <v>0</v>
      </c>
      <c r="AH23" s="202">
        <f t="shared" si="15"/>
        <v>28222.722000000002</v>
      </c>
      <c r="AI23" s="147"/>
      <c r="AJ23" s="63">
        <f t="shared" si="16"/>
        <v>3600</v>
      </c>
      <c r="AK23" s="63">
        <f t="shared" si="17"/>
        <v>32260.363380000003</v>
      </c>
      <c r="AL23" s="63"/>
      <c r="AM23" s="63">
        <f t="shared" si="18"/>
        <v>0</v>
      </c>
      <c r="AN23" s="63">
        <f t="shared" si="19"/>
        <v>0</v>
      </c>
      <c r="AO23" s="63">
        <f t="shared" si="20"/>
        <v>0</v>
      </c>
      <c r="AP23" s="37">
        <f t="shared" si="21"/>
        <v>35860.363380000003</v>
      </c>
      <c r="AQ23" s="36">
        <f t="shared" si="1"/>
        <v>7637.6413800000009</v>
      </c>
      <c r="AR23" s="157">
        <f t="shared" si="22"/>
        <v>0.27062029594452303</v>
      </c>
      <c r="AT23" s="111">
        <f>VLOOKUP(K23,'G2-8 Summary'!J:P,7,FALSE)</f>
        <v>1</v>
      </c>
      <c r="AU23" s="157">
        <f t="shared" si="2"/>
        <v>1</v>
      </c>
      <c r="AW23" s="138">
        <f t="shared" si="3"/>
        <v>7637.64</v>
      </c>
      <c r="AX23" s="139">
        <f t="shared" si="4"/>
        <v>0.27060000000000001</v>
      </c>
      <c r="AY23" s="167"/>
      <c r="BC23" s="109"/>
    </row>
    <row r="24" spans="1:55" s="90" customFormat="1" x14ac:dyDescent="0.25">
      <c r="A24" s="90" t="s">
        <v>158</v>
      </c>
      <c r="B24" s="167" t="s">
        <v>152</v>
      </c>
      <c r="C24" s="90" t="s">
        <v>163</v>
      </c>
      <c r="D24" s="90" t="s">
        <v>159</v>
      </c>
      <c r="E24" s="90" t="s">
        <v>76</v>
      </c>
      <c r="F24" s="167" t="str">
        <f>INDEX('Rate Design (Consol)'!$B$48:$B$66,MATCH('Bill Impact Detail'!G24,'Rate Design (Consol)'!$C$48:$C$66,0))</f>
        <v>RES-2</v>
      </c>
      <c r="G24" s="90" t="s">
        <v>9</v>
      </c>
      <c r="H24" s="167" t="str">
        <f>INDEX('Rate Design (Consol)'!$D$48:$D$66,MATCH('Bill Impact Detail'!I24,'Rate Design (Consol)'!$E$48:$E$66,0))</f>
        <v>RES-2</v>
      </c>
      <c r="I24" s="167" t="str">
        <f t="shared" si="5"/>
        <v>Residential - 2</v>
      </c>
      <c r="J24" s="167" t="str">
        <f>VLOOKUP(I24,'Rate Design (Consol)'!$E$48:$F$66,2,FALSE)</f>
        <v>&gt; 100 &lt; = 250</v>
      </c>
      <c r="K24" s="169" t="str">
        <f t="shared" si="6"/>
        <v>Ft. Meade -Ft. Meade - Residential Service-RES-2</v>
      </c>
      <c r="L24" s="169">
        <v>2</v>
      </c>
      <c r="M24" s="169" t="str">
        <f t="shared" si="7"/>
        <v>FT</v>
      </c>
      <c r="N24" s="138">
        <f>VLOOKUP(K24,'G2-8 Summary'!J:O,6,FALSE)</f>
        <v>147</v>
      </c>
      <c r="O24" s="63">
        <f>INDEX('G2-8 Summary'!S:S,MATCH('Bill Impact Detail'!K24,'G2-8 Summary'!J:J,0))</f>
        <v>8.5</v>
      </c>
      <c r="P24" s="63">
        <f>SUMIFS('Rate Design (Consol)'!K:K,'Rate Design (Consol)'!A:A,M24,'Rate Design (Consol)'!D:D,H24)</f>
        <v>12.5</v>
      </c>
      <c r="Q24" s="63"/>
      <c r="R24" s="142">
        <f t="shared" si="8"/>
        <v>0.70945000000000014</v>
      </c>
      <c r="S24" s="141">
        <f>INDEX('G2-8 Summary'!V:V,MATCH('Bill Impact Detail'!K24,'G2-8 Summary'!J:J,0))</f>
        <v>0.55700000000000005</v>
      </c>
      <c r="T24" s="141">
        <f>SUMIFS('Rate Design (Consol)'!L:L,'Rate Design (Consol)'!A:A,M24,'Rate Design (Consol)'!D:D,H24)</f>
        <v>0.58026</v>
      </c>
      <c r="U24" s="141"/>
      <c r="V24" s="167"/>
      <c r="W24" s="64">
        <f>VLOOKUP($K24,'G2-8 Summary'!$J:$AA,15,FALSE)</f>
        <v>0.15245000000000003</v>
      </c>
      <c r="X24" s="64"/>
      <c r="Y24" s="64"/>
      <c r="Z24" s="64"/>
      <c r="AB24" s="63">
        <f t="shared" si="9"/>
        <v>102</v>
      </c>
      <c r="AC24" s="63">
        <f t="shared" si="10"/>
        <v>81.879000000000005</v>
      </c>
      <c r="AD24" s="63">
        <f t="shared" si="11"/>
        <v>22.410150000000005</v>
      </c>
      <c r="AE24" s="63">
        <f t="shared" si="12"/>
        <v>0</v>
      </c>
      <c r="AF24" s="63">
        <f t="shared" si="13"/>
        <v>0</v>
      </c>
      <c r="AG24" s="63">
        <f t="shared" si="14"/>
        <v>0</v>
      </c>
      <c r="AH24" s="202">
        <f t="shared" si="15"/>
        <v>206.28915000000003</v>
      </c>
      <c r="AI24" s="147"/>
      <c r="AJ24" s="63">
        <f t="shared" si="16"/>
        <v>150</v>
      </c>
      <c r="AK24" s="63">
        <f t="shared" si="17"/>
        <v>85.298220000000001</v>
      </c>
      <c r="AL24" s="63"/>
      <c r="AM24" s="63">
        <f t="shared" si="18"/>
        <v>0</v>
      </c>
      <c r="AN24" s="63">
        <f t="shared" si="19"/>
        <v>0</v>
      </c>
      <c r="AO24" s="63">
        <f t="shared" si="20"/>
        <v>0</v>
      </c>
      <c r="AP24" s="37">
        <f t="shared" si="21"/>
        <v>235.29822000000001</v>
      </c>
      <c r="AQ24" s="36">
        <f t="shared" si="1"/>
        <v>29.00906999999998</v>
      </c>
      <c r="AR24" s="157">
        <f t="shared" si="22"/>
        <v>0.14062334349625258</v>
      </c>
      <c r="AT24" s="111">
        <f>VLOOKUP(K24,'G2-8 Summary'!J:P,7,FALSE)</f>
        <v>205</v>
      </c>
      <c r="AU24" s="157">
        <f t="shared" si="2"/>
        <v>1</v>
      </c>
      <c r="AW24" s="138">
        <f t="shared" si="3"/>
        <v>29.01</v>
      </c>
      <c r="AX24" s="139">
        <f t="shared" si="4"/>
        <v>0.1406</v>
      </c>
      <c r="AY24" s="167"/>
      <c r="BC24" s="109"/>
    </row>
    <row r="25" spans="1:55" s="90" customFormat="1" x14ac:dyDescent="0.25">
      <c r="A25" s="90" t="s">
        <v>158</v>
      </c>
      <c r="B25" s="167" t="s">
        <v>152</v>
      </c>
      <c r="C25" s="90" t="s">
        <v>163</v>
      </c>
      <c r="D25" s="90" t="s">
        <v>159</v>
      </c>
      <c r="E25" s="90" t="s">
        <v>76</v>
      </c>
      <c r="F25" s="167" t="str">
        <f>INDEX('Rate Design (Consol)'!$B$48:$B$66,MATCH('Bill Impact Detail'!G25,'Rate Design (Consol)'!$C$48:$C$66,0))</f>
        <v>RES-3</v>
      </c>
      <c r="G25" s="90" t="s">
        <v>266</v>
      </c>
      <c r="H25" s="167" t="str">
        <f>INDEX('Rate Design (Consol)'!$D$48:$D$66,MATCH('Bill Impact Detail'!I25,'Rate Design (Consol)'!$E$48:$E$66,0))</f>
        <v>RES-3</v>
      </c>
      <c r="I25" s="167" t="str">
        <f t="shared" si="5"/>
        <v>Residential - 3</v>
      </c>
      <c r="J25" s="167" t="str">
        <f>VLOOKUP(I25,'Rate Design (Consol)'!$E$48:$F$66,2,FALSE)</f>
        <v>n/a</v>
      </c>
      <c r="K25" s="169" t="str">
        <f t="shared" si="6"/>
        <v>Ft. Meade -Ft. Meade - Residential Service-RES-3</v>
      </c>
      <c r="L25" s="169">
        <v>3</v>
      </c>
      <c r="M25" s="169" t="str">
        <f t="shared" si="7"/>
        <v>FT</v>
      </c>
      <c r="N25" s="138">
        <f>VLOOKUP(K25,'G2-8 Summary'!J:O,6,FALSE)</f>
        <v>373</v>
      </c>
      <c r="O25" s="63">
        <f>INDEX('G2-8 Summary'!S:S,MATCH('Bill Impact Detail'!K25,'G2-8 Summary'!J:J,0))</f>
        <v>8.5</v>
      </c>
      <c r="P25" s="63">
        <f>SUMIFS('Rate Design (Consol)'!K:K,'Rate Design (Consol)'!A:A,M25,'Rate Design (Consol)'!D:D,H25)</f>
        <v>16.5</v>
      </c>
      <c r="Q25" s="63"/>
      <c r="R25" s="142">
        <f t="shared" si="8"/>
        <v>0.70945000000000014</v>
      </c>
      <c r="S25" s="141">
        <f>INDEX('G2-8 Summary'!V:V,MATCH('Bill Impact Detail'!K25,'G2-8 Summary'!J:J,0))</f>
        <v>0.55700000000000005</v>
      </c>
      <c r="T25" s="141">
        <f>SUMIFS('Rate Design (Consol)'!L:L,'Rate Design (Consol)'!A:A,M25,'Rate Design (Consol)'!D:D,H25)</f>
        <v>0.58026</v>
      </c>
      <c r="U25" s="141"/>
      <c r="V25" s="167"/>
      <c r="W25" s="64">
        <f>VLOOKUP($K25,'G2-8 Summary'!$J:$AA,15,FALSE)</f>
        <v>0.15245000000000003</v>
      </c>
      <c r="X25" s="64"/>
      <c r="Y25" s="64"/>
      <c r="Z25" s="64"/>
      <c r="AB25" s="63">
        <f t="shared" si="9"/>
        <v>102</v>
      </c>
      <c r="AC25" s="63">
        <f t="shared" si="10"/>
        <v>207.76100000000002</v>
      </c>
      <c r="AD25" s="63">
        <f t="shared" si="11"/>
        <v>56.863850000000014</v>
      </c>
      <c r="AE25" s="63">
        <f t="shared" si="12"/>
        <v>0</v>
      </c>
      <c r="AF25" s="63">
        <f t="shared" si="13"/>
        <v>0</v>
      </c>
      <c r="AG25" s="63">
        <f t="shared" si="14"/>
        <v>0</v>
      </c>
      <c r="AH25" s="202">
        <f t="shared" si="15"/>
        <v>366.62485000000004</v>
      </c>
      <c r="AI25" s="147"/>
      <c r="AJ25" s="63">
        <f t="shared" si="16"/>
        <v>198</v>
      </c>
      <c r="AK25" s="63">
        <f t="shared" si="17"/>
        <v>216.43698000000001</v>
      </c>
      <c r="AL25" s="63"/>
      <c r="AM25" s="63">
        <f t="shared" si="18"/>
        <v>0</v>
      </c>
      <c r="AN25" s="63">
        <f t="shared" si="19"/>
        <v>0</v>
      </c>
      <c r="AO25" s="63">
        <f t="shared" si="20"/>
        <v>0</v>
      </c>
      <c r="AP25" s="37">
        <f t="shared" si="21"/>
        <v>414.43698000000001</v>
      </c>
      <c r="AQ25" s="36">
        <f t="shared" si="1"/>
        <v>47.812129999999968</v>
      </c>
      <c r="AR25" s="157">
        <f t="shared" si="22"/>
        <v>0.1304115910309952</v>
      </c>
      <c r="AT25" s="111">
        <f>VLOOKUP(K25,'G2-8 Summary'!J:P,7,FALSE)</f>
        <v>42</v>
      </c>
      <c r="AU25" s="157">
        <f t="shared" si="2"/>
        <v>1</v>
      </c>
      <c r="AW25" s="138">
        <f t="shared" si="3"/>
        <v>47.81</v>
      </c>
      <c r="AX25" s="139">
        <f t="shared" si="4"/>
        <v>0.13039999999999999</v>
      </c>
      <c r="AY25" s="167"/>
      <c r="BC25" s="109"/>
    </row>
    <row r="26" spans="1:55" s="90" customFormat="1" x14ac:dyDescent="0.25">
      <c r="A26" s="90" t="s">
        <v>158</v>
      </c>
      <c r="B26" s="167" t="s">
        <v>152</v>
      </c>
      <c r="C26" s="90" t="s">
        <v>163</v>
      </c>
      <c r="D26" s="90" t="s">
        <v>159</v>
      </c>
      <c r="E26" s="90" t="s">
        <v>76</v>
      </c>
      <c r="F26" s="167" t="str">
        <f>INDEX('Rate Design (Consol)'!$B$48:$B$66,MATCH('Bill Impact Detail'!G26,'Rate Design (Consol)'!$C$48:$C$66,0))</f>
        <v>RES-1</v>
      </c>
      <c r="G26" s="90" t="s">
        <v>8</v>
      </c>
      <c r="H26" s="167" t="str">
        <f>INDEX('Rate Design (Consol)'!$D$48:$D$66,MATCH('Bill Impact Detail'!I26,'Rate Design (Consol)'!$E$48:$E$66,0))</f>
        <v>RES-1</v>
      </c>
      <c r="I26" s="167" t="str">
        <f t="shared" si="5"/>
        <v>Residential - 1</v>
      </c>
      <c r="J26" s="167" t="str">
        <f>VLOOKUP(I26,'Rate Design (Consol)'!$E$48:$F$66,2,FALSE)</f>
        <v>&lt; = 100</v>
      </c>
      <c r="K26" s="169" t="str">
        <f t="shared" si="6"/>
        <v>Ft. Meade -Ft. Meade - Residential Service-RES-1</v>
      </c>
      <c r="L26" s="169">
        <v>1</v>
      </c>
      <c r="M26" s="169" t="str">
        <f t="shared" si="7"/>
        <v>FT</v>
      </c>
      <c r="N26" s="138">
        <f>VLOOKUP(K26,'G2-8 Summary'!J:O,6,FALSE)</f>
        <v>45</v>
      </c>
      <c r="O26" s="63">
        <f>INDEX('G2-8 Summary'!S:S,MATCH('Bill Impact Detail'!K26,'G2-8 Summary'!J:J,0))</f>
        <v>8.5</v>
      </c>
      <c r="P26" s="63">
        <f>SUMIFS('Rate Design (Consol)'!K:K,'Rate Design (Consol)'!A:A,M26,'Rate Design (Consol)'!D:D,H26)</f>
        <v>11.5</v>
      </c>
      <c r="Q26" s="63"/>
      <c r="R26" s="142">
        <f t="shared" si="8"/>
        <v>0.70945000000000014</v>
      </c>
      <c r="S26" s="141">
        <f>INDEX('G2-8 Summary'!V:V,MATCH('Bill Impact Detail'!K26,'G2-8 Summary'!J:J,0))</f>
        <v>0.55700000000000005</v>
      </c>
      <c r="T26" s="141">
        <f>SUMIFS('Rate Design (Consol)'!L:L,'Rate Design (Consol)'!A:A,M26,'Rate Design (Consol)'!D:D,H26)</f>
        <v>0.58026</v>
      </c>
      <c r="U26" s="141"/>
      <c r="V26" s="167"/>
      <c r="W26" s="64">
        <f>VLOOKUP($K26,'G2-8 Summary'!$J:$AA,15,FALSE)</f>
        <v>0.15245000000000003</v>
      </c>
      <c r="X26" s="64"/>
      <c r="Y26" s="64"/>
      <c r="Z26" s="64"/>
      <c r="AB26" s="63">
        <f t="shared" si="9"/>
        <v>102</v>
      </c>
      <c r="AC26" s="63">
        <f t="shared" si="10"/>
        <v>25.065000000000001</v>
      </c>
      <c r="AD26" s="63">
        <f t="shared" si="11"/>
        <v>6.8602500000000015</v>
      </c>
      <c r="AE26" s="63">
        <f t="shared" si="12"/>
        <v>0</v>
      </c>
      <c r="AF26" s="63">
        <f t="shared" si="13"/>
        <v>0</v>
      </c>
      <c r="AG26" s="63">
        <f t="shared" si="14"/>
        <v>0</v>
      </c>
      <c r="AH26" s="202">
        <f t="shared" si="15"/>
        <v>133.92525000000001</v>
      </c>
      <c r="AI26" s="147"/>
      <c r="AJ26" s="63">
        <f t="shared" si="16"/>
        <v>138</v>
      </c>
      <c r="AK26" s="63">
        <f t="shared" si="17"/>
        <v>26.111699999999999</v>
      </c>
      <c r="AL26" s="63"/>
      <c r="AM26" s="63">
        <f t="shared" si="18"/>
        <v>0</v>
      </c>
      <c r="AN26" s="63">
        <f t="shared" si="19"/>
        <v>0</v>
      </c>
      <c r="AO26" s="63">
        <f t="shared" si="20"/>
        <v>0</v>
      </c>
      <c r="AP26" s="37">
        <f t="shared" si="21"/>
        <v>164.11169999999998</v>
      </c>
      <c r="AQ26" s="36">
        <f t="shared" si="1"/>
        <v>30.186449999999979</v>
      </c>
      <c r="AR26" s="157">
        <f t="shared" si="22"/>
        <v>0.22539774986419647</v>
      </c>
      <c r="AT26" s="111">
        <f>VLOOKUP(K26,'G2-8 Summary'!J:P,7,FALSE)</f>
        <v>249</v>
      </c>
      <c r="AU26" s="157">
        <f t="shared" si="2"/>
        <v>1</v>
      </c>
      <c r="AW26" s="138">
        <f t="shared" si="3"/>
        <v>30.19</v>
      </c>
      <c r="AX26" s="139">
        <f t="shared" si="4"/>
        <v>0.22539999999999999</v>
      </c>
      <c r="AY26" s="167"/>
      <c r="BC26" s="109"/>
    </row>
    <row r="27" spans="1:55" s="90" customFormat="1" x14ac:dyDescent="0.25">
      <c r="A27" s="90" t="s">
        <v>164</v>
      </c>
      <c r="B27" s="167" t="s">
        <v>155</v>
      </c>
      <c r="C27" s="90" t="s">
        <v>165</v>
      </c>
      <c r="D27" s="90" t="s">
        <v>166</v>
      </c>
      <c r="E27" s="90" t="s">
        <v>125</v>
      </c>
      <c r="F27" s="167" t="str">
        <f>INDEX('Rate Design (Consol)'!$B$48:$B$66,MATCH('Bill Impact Detail'!G27,'Rate Design (Consol)'!$C$48:$C$66,0))</f>
        <v>COM-SG</v>
      </c>
      <c r="G27" s="90" t="s">
        <v>21</v>
      </c>
      <c r="H27" s="167" t="str">
        <f>INDEX('Rate Design (Consol)'!$D$48:$D$66,MATCH('Bill Impact Detail'!I27,'Rate Design (Consol)'!$E$48:$E$66,0))</f>
        <v>COM-SG</v>
      </c>
      <c r="I27" s="167" t="str">
        <f t="shared" si="5"/>
        <v>Commercial Standby Generator</v>
      </c>
      <c r="J27" s="167" t="str">
        <f>VLOOKUP(I27,'Rate Design (Consol)'!$E$48:$F$66,2,FALSE)</f>
        <v>n/a</v>
      </c>
      <c r="K27" s="169" t="str">
        <f t="shared" si="6"/>
        <v>FPUC-FPUC - Commercial Standby Generator Service-COM-SG</v>
      </c>
      <c r="L27" s="169">
        <v>16</v>
      </c>
      <c r="M27" s="169" t="s">
        <v>257</v>
      </c>
      <c r="N27" s="138">
        <f>VLOOKUP(K27,'G2-8 Summary'!J:O,6,FALSE)</f>
        <v>207</v>
      </c>
      <c r="O27" s="63">
        <f>INDEX('G2-8 Summary'!S:S,MATCH('Bill Impact Detail'!K27,'G2-8 Summary'!J:J,0))</f>
        <v>35.81</v>
      </c>
      <c r="P27" s="63">
        <f>SUMIFS('Rate Design (Consol)'!K:K,'Rate Design (Consol)'!A:A,M27,'Rate Design (Consol)'!D:D,H27)</f>
        <v>65</v>
      </c>
      <c r="Q27" s="63"/>
      <c r="R27" s="142">
        <f t="shared" si="8"/>
        <v>0.62102000000000002</v>
      </c>
      <c r="S27" s="141">
        <f>INDEX('G2-8 Summary'!V:V,MATCH('Bill Impact Detail'!K27,'G2-8 Summary'!J:J,0))</f>
        <v>0.39135999999999999</v>
      </c>
      <c r="T27" s="141">
        <f>SUMIFS('Rate Design (Consol)'!L:L,'Rate Design (Consol)'!A:A,M27,'Rate Design (Consol)'!D:D,H27)</f>
        <v>0.18104999999999999</v>
      </c>
      <c r="U27" s="141"/>
      <c r="V27" s="167"/>
      <c r="W27" s="64">
        <f>VLOOKUP($K27,'G2-8 Summary'!$J:$AA,15,FALSE)</f>
        <v>0.22966000000000003</v>
      </c>
      <c r="X27" s="64"/>
      <c r="Y27" s="64"/>
      <c r="Z27" s="64"/>
      <c r="AB27" s="63">
        <f t="shared" si="9"/>
        <v>429.72</v>
      </c>
      <c r="AC27" s="63">
        <f t="shared" si="10"/>
        <v>81.01151999999999</v>
      </c>
      <c r="AD27" s="63">
        <f t="shared" si="11"/>
        <v>47.539620000000006</v>
      </c>
      <c r="AE27" s="63">
        <f t="shared" si="12"/>
        <v>0</v>
      </c>
      <c r="AF27" s="63">
        <f t="shared" si="13"/>
        <v>0</v>
      </c>
      <c r="AG27" s="63">
        <f t="shared" si="14"/>
        <v>0</v>
      </c>
      <c r="AH27" s="202">
        <f t="shared" si="15"/>
        <v>558.27114000000006</v>
      </c>
      <c r="AI27" s="147"/>
      <c r="AJ27" s="63">
        <f t="shared" si="16"/>
        <v>780</v>
      </c>
      <c r="AK27" s="63">
        <f t="shared" si="17"/>
        <v>37.477349999999994</v>
      </c>
      <c r="AL27" s="63"/>
      <c r="AM27" s="63">
        <f t="shared" si="18"/>
        <v>0</v>
      </c>
      <c r="AN27" s="63">
        <f t="shared" si="19"/>
        <v>0</v>
      </c>
      <c r="AO27" s="63">
        <f t="shared" si="20"/>
        <v>0</v>
      </c>
      <c r="AP27" s="37">
        <f t="shared" si="21"/>
        <v>817.47735</v>
      </c>
      <c r="AQ27" s="36">
        <f t="shared" si="1"/>
        <v>259.20620999999994</v>
      </c>
      <c r="AR27" s="157">
        <f t="shared" si="22"/>
        <v>0.46430164740380436</v>
      </c>
      <c r="AT27" s="111">
        <f>VLOOKUP(K27,'G2-8 Summary'!J:P,7,FALSE)</f>
        <v>303</v>
      </c>
      <c r="AU27" s="157">
        <f t="shared" si="2"/>
        <v>1</v>
      </c>
      <c r="AW27" s="138">
        <f t="shared" si="3"/>
        <v>259.20999999999998</v>
      </c>
      <c r="AX27" s="139">
        <f t="shared" si="4"/>
        <v>0.46429999999999999</v>
      </c>
      <c r="AY27" s="167"/>
      <c r="BC27" s="109"/>
    </row>
    <row r="28" spans="1:55" s="90" customFormat="1" x14ac:dyDescent="0.25">
      <c r="A28" s="90" t="s">
        <v>164</v>
      </c>
      <c r="B28" s="167" t="s">
        <v>155</v>
      </c>
      <c r="C28" s="90" t="s">
        <v>167</v>
      </c>
      <c r="D28" s="90" t="s">
        <v>166</v>
      </c>
      <c r="E28" s="90" t="s">
        <v>124</v>
      </c>
      <c r="F28" s="167" t="str">
        <f>INDEX('Rate Design (Consol)'!$B$48:$B$66,MATCH('Bill Impact Detail'!G28,'Rate Design (Consol)'!$C$48:$C$66,0))</f>
        <v>COM - OL</v>
      </c>
      <c r="G28" s="90" t="s">
        <v>20</v>
      </c>
      <c r="H28" s="167" t="str">
        <f>INDEX('Rate Design (Consol)'!$D$48:$D$66,MATCH('Bill Impact Detail'!I28,'Rate Design (Consol)'!$E$48:$E$66,0))</f>
        <v>COM - OL</v>
      </c>
      <c r="I28" s="167" t="str">
        <f t="shared" si="5"/>
        <v>Commercial - Outdoor Lighting</v>
      </c>
      <c r="J28" s="167" t="str">
        <f>VLOOKUP(I28,'Rate Design (Consol)'!$E$48:$F$66,2,FALSE)</f>
        <v>n/a</v>
      </c>
      <c r="K28" s="169" t="str">
        <f t="shared" si="6"/>
        <v>FPUC-FPUC - Gas Lighting Service-COM - OL</v>
      </c>
      <c r="L28" s="169">
        <v>15</v>
      </c>
      <c r="M28" s="169" t="s">
        <v>257</v>
      </c>
      <c r="N28" s="138">
        <f>VLOOKUP(K28,'G2-8 Summary'!J:O,6,FALSE)</f>
        <v>3439</v>
      </c>
      <c r="O28" s="63">
        <f>INDEX('G2-8 Summary'!S:S,MATCH('Bill Impact Detail'!K28,'G2-8 Summary'!J:J,0))</f>
        <v>0</v>
      </c>
      <c r="P28" s="63">
        <f>SUMIFS('Rate Design (Consol)'!K:K,'Rate Design (Consol)'!A:A,M28,'Rate Design (Consol)'!D:D,H28)</f>
        <v>0</v>
      </c>
      <c r="Q28" s="63"/>
      <c r="R28" s="142">
        <f t="shared" si="8"/>
        <v>1.3826100000000003</v>
      </c>
      <c r="S28" s="141">
        <f>INDEX('G2-8 Summary'!V:V,MATCH('Bill Impact Detail'!K28,'G2-8 Summary'!J:J,0))</f>
        <v>0.24210000000000001</v>
      </c>
      <c r="T28" s="141">
        <f>SUMIFS('Rate Design (Consol)'!L:L,'Rate Design (Consol)'!A:A,M28,'Rate Design (Consol)'!D:D,H28)</f>
        <v>0.66344000000000003</v>
      </c>
      <c r="U28" s="141"/>
      <c r="V28" s="167"/>
      <c r="W28" s="64">
        <f>VLOOKUP($K28,'G2-8 Summary'!$J:$AA,15,FALSE)</f>
        <v>1.1405100000000004</v>
      </c>
      <c r="X28" s="64"/>
      <c r="Y28" s="64"/>
      <c r="Z28" s="64"/>
      <c r="AB28" s="63">
        <f t="shared" si="9"/>
        <v>0</v>
      </c>
      <c r="AC28" s="63">
        <f t="shared" si="10"/>
        <v>832.58190000000002</v>
      </c>
      <c r="AD28" s="63">
        <f t="shared" si="11"/>
        <v>3922.2138900000014</v>
      </c>
      <c r="AE28" s="63">
        <f t="shared" si="12"/>
        <v>0</v>
      </c>
      <c r="AF28" s="63">
        <f t="shared" si="13"/>
        <v>0</v>
      </c>
      <c r="AG28" s="63">
        <f t="shared" si="14"/>
        <v>0</v>
      </c>
      <c r="AH28" s="202">
        <f t="shared" si="15"/>
        <v>4754.795790000001</v>
      </c>
      <c r="AI28" s="147"/>
      <c r="AJ28" s="63">
        <f t="shared" si="16"/>
        <v>0</v>
      </c>
      <c r="AK28" s="63">
        <f t="shared" si="17"/>
        <v>2281.5701600000002</v>
      </c>
      <c r="AL28" s="63"/>
      <c r="AM28" s="63">
        <f t="shared" si="18"/>
        <v>0</v>
      </c>
      <c r="AN28" s="63">
        <f t="shared" si="19"/>
        <v>0</v>
      </c>
      <c r="AO28" s="63">
        <f t="shared" si="20"/>
        <v>0</v>
      </c>
      <c r="AP28" s="37">
        <f t="shared" si="21"/>
        <v>2281.5701600000002</v>
      </c>
      <c r="AQ28" s="36">
        <f t="shared" si="1"/>
        <v>-2473.2256300000008</v>
      </c>
      <c r="AR28" s="157">
        <f t="shared" si="22"/>
        <v>-0.52015391180448578</v>
      </c>
      <c r="AT28" s="111">
        <f>VLOOKUP(K28,'G2-8 Summary'!J:P,7,FALSE)</f>
        <v>29</v>
      </c>
      <c r="AU28" s="157">
        <f t="shared" si="2"/>
        <v>1</v>
      </c>
      <c r="AW28" s="138">
        <f t="shared" si="3"/>
        <v>-2473.23</v>
      </c>
      <c r="AX28" s="139">
        <f t="shared" si="4"/>
        <v>-0.5202</v>
      </c>
      <c r="AY28" s="167"/>
      <c r="BC28" s="109"/>
    </row>
    <row r="29" spans="1:55" s="90" customFormat="1" x14ac:dyDescent="0.25">
      <c r="A29" s="90" t="s">
        <v>164</v>
      </c>
      <c r="B29" s="167" t="s">
        <v>155</v>
      </c>
      <c r="C29" s="90" t="s">
        <v>47</v>
      </c>
      <c r="D29" s="90" t="s">
        <v>166</v>
      </c>
      <c r="E29" s="90" t="s">
        <v>88</v>
      </c>
      <c r="F29" s="167" t="str">
        <f>INDEX('Rate Design (Consol)'!$B$48:$B$66,MATCH('Bill Impact Detail'!G29,'Rate Design (Consol)'!$C$48:$C$66,0))</f>
        <v>GS-2</v>
      </c>
      <c r="G29" s="90" t="s">
        <v>12</v>
      </c>
      <c r="H29" s="167" t="str">
        <f>INDEX('Rate Design (Consol)'!$D$48:$D$66,MATCH('Bill Impact Detail'!I29,'Rate Design (Consol)'!$E$48:$E$66,0))</f>
        <v>GS-2</v>
      </c>
      <c r="I29" s="167" t="str">
        <f t="shared" si="5"/>
        <v>General Service - 2</v>
      </c>
      <c r="J29" s="167" t="str">
        <f>VLOOKUP(I29,'Rate Design (Consol)'!$E$48:$F$66,2,FALSE)</f>
        <v>&gt; 1000 &lt; = 5,000</v>
      </c>
      <c r="K29" s="169" t="str">
        <f t="shared" si="6"/>
        <v>FPUC-FPUC - General Service-1-GS-2</v>
      </c>
      <c r="L29" s="169">
        <v>6</v>
      </c>
      <c r="M29" s="169" t="s">
        <v>257</v>
      </c>
      <c r="N29" s="138">
        <f>VLOOKUP(K29,'G2-8 Summary'!J:O,6,FALSE)</f>
        <v>2353</v>
      </c>
      <c r="O29" s="63">
        <f>INDEX('G2-8 Summary'!S:S,MATCH('Bill Impact Detail'!K29,'G2-8 Summary'!J:J,0))</f>
        <v>20</v>
      </c>
      <c r="P29" s="63">
        <f>SUMIFS('Rate Design (Consol)'!K:K,'Rate Design (Consol)'!A:A,M29,'Rate Design (Consol)'!D:D,H29)</f>
        <v>70</v>
      </c>
      <c r="Q29" s="63"/>
      <c r="R29" s="142">
        <f t="shared" si="8"/>
        <v>0.62102000000000002</v>
      </c>
      <c r="S29" s="141">
        <f>INDEX('G2-8 Summary'!V:V,MATCH('Bill Impact Detail'!K29,'G2-8 Summary'!J:J,0))</f>
        <v>0.39135999999999999</v>
      </c>
      <c r="T29" s="141">
        <f>SUMIFS('Rate Design (Consol)'!L:L,'Rate Design (Consol)'!A:A,M29,'Rate Design (Consol)'!D:D,H29)</f>
        <v>0.69901999999999997</v>
      </c>
      <c r="U29" s="141"/>
      <c r="V29" s="167"/>
      <c r="W29" s="64">
        <f>VLOOKUP($K29,'G2-8 Summary'!$J:$AA,15,FALSE)</f>
        <v>0.22966</v>
      </c>
      <c r="X29" s="64"/>
      <c r="Y29" s="64"/>
      <c r="Z29" s="64"/>
      <c r="AB29" s="63">
        <f t="shared" si="9"/>
        <v>240</v>
      </c>
      <c r="AC29" s="63">
        <f t="shared" si="10"/>
        <v>920.87007999999992</v>
      </c>
      <c r="AD29" s="63">
        <f t="shared" si="11"/>
        <v>540.38998000000004</v>
      </c>
      <c r="AE29" s="63">
        <f t="shared" si="12"/>
        <v>0</v>
      </c>
      <c r="AF29" s="63">
        <f t="shared" si="13"/>
        <v>0</v>
      </c>
      <c r="AG29" s="63">
        <f t="shared" si="14"/>
        <v>0</v>
      </c>
      <c r="AH29" s="202">
        <f t="shared" si="15"/>
        <v>1701.2600600000001</v>
      </c>
      <c r="AI29" s="147"/>
      <c r="AJ29" s="63">
        <f t="shared" si="16"/>
        <v>840</v>
      </c>
      <c r="AK29" s="63">
        <f t="shared" si="17"/>
        <v>1644.7940599999999</v>
      </c>
      <c r="AL29" s="63"/>
      <c r="AM29" s="63">
        <f t="shared" si="18"/>
        <v>0</v>
      </c>
      <c r="AN29" s="63">
        <f t="shared" si="19"/>
        <v>0</v>
      </c>
      <c r="AO29" s="63">
        <f t="shared" si="20"/>
        <v>0</v>
      </c>
      <c r="AP29" s="37">
        <f t="shared" si="21"/>
        <v>2484.7940600000002</v>
      </c>
      <c r="AQ29" s="36">
        <f t="shared" si="1"/>
        <v>783.53400000000011</v>
      </c>
      <c r="AR29" s="157">
        <f t="shared" si="22"/>
        <v>0.46056097972464016</v>
      </c>
      <c r="AT29" s="111">
        <f>VLOOKUP(K29,'G2-8 Summary'!J:P,7,FALSE)</f>
        <v>127</v>
      </c>
      <c r="AU29" s="157">
        <f t="shared" si="2"/>
        <v>5.1333872271624899E-2</v>
      </c>
      <c r="AW29" s="138">
        <f t="shared" si="3"/>
        <v>40.22</v>
      </c>
      <c r="AX29" s="139">
        <f t="shared" si="4"/>
        <v>2.3599999999999999E-2</v>
      </c>
      <c r="AY29" s="167"/>
      <c r="BC29" s="109"/>
    </row>
    <row r="30" spans="1:55" s="90" customFormat="1" x14ac:dyDescent="0.25">
      <c r="A30" s="90" t="s">
        <v>164</v>
      </c>
      <c r="B30" s="167" t="s">
        <v>155</v>
      </c>
      <c r="C30" s="90" t="s">
        <v>47</v>
      </c>
      <c r="D30" s="90" t="s">
        <v>166</v>
      </c>
      <c r="E30" s="90" t="s">
        <v>88</v>
      </c>
      <c r="F30" s="167" t="str">
        <f>INDEX('Rate Design (Consol)'!$B$48:$B$66,MATCH('Bill Impact Detail'!G30,'Rate Design (Consol)'!$C$48:$C$66,0))</f>
        <v>GS-3</v>
      </c>
      <c r="G30" s="90" t="s">
        <v>13</v>
      </c>
      <c r="H30" s="167" t="str">
        <f>INDEX('Rate Design (Consol)'!$D$48:$D$66,MATCH('Bill Impact Detail'!I30,'Rate Design (Consol)'!$E$48:$E$66,0))</f>
        <v>GS-3</v>
      </c>
      <c r="I30" s="167" t="str">
        <f t="shared" si="5"/>
        <v>General Service - 3</v>
      </c>
      <c r="J30" s="167" t="str">
        <f>VLOOKUP(I30,'Rate Design (Consol)'!$E$48:$F$66,2,FALSE)</f>
        <v>&gt; 5,000 &lt; = 10,000</v>
      </c>
      <c r="K30" s="169" t="str">
        <f t="shared" si="6"/>
        <v>FPUC-FPUC - General Service-1-GS-3</v>
      </c>
      <c r="L30" s="169">
        <v>7</v>
      </c>
      <c r="M30" s="169" t="s">
        <v>257</v>
      </c>
      <c r="N30" s="138">
        <f>VLOOKUP(K30,'G2-8 Summary'!J:O,6,FALSE)</f>
        <v>7116</v>
      </c>
      <c r="O30" s="63">
        <f>INDEX('G2-8 Summary'!S:S,MATCH('Bill Impact Detail'!K30,'G2-8 Summary'!J:J,0))</f>
        <v>20</v>
      </c>
      <c r="P30" s="63">
        <f>SUMIFS('Rate Design (Consol)'!K:K,'Rate Design (Consol)'!A:A,M30,'Rate Design (Consol)'!D:D,H30)</f>
        <v>150</v>
      </c>
      <c r="Q30" s="63"/>
      <c r="R30" s="142">
        <f t="shared" si="8"/>
        <v>0.62102000000000002</v>
      </c>
      <c r="S30" s="141">
        <f>INDEX('G2-8 Summary'!V:V,MATCH('Bill Impact Detail'!K30,'G2-8 Summary'!J:J,0))</f>
        <v>0.39135999999999999</v>
      </c>
      <c r="T30" s="141">
        <f>SUMIFS('Rate Design (Consol)'!L:L,'Rate Design (Consol)'!A:A,M30,'Rate Design (Consol)'!D:D,H30)</f>
        <v>0.62475000000000003</v>
      </c>
      <c r="U30" s="141"/>
      <c r="V30" s="167"/>
      <c r="W30" s="64">
        <f>VLOOKUP($K30,'G2-8 Summary'!$J:$AA,15,FALSE)</f>
        <v>0.22966</v>
      </c>
      <c r="X30" s="64"/>
      <c r="Y30" s="64"/>
      <c r="Z30" s="64"/>
      <c r="AB30" s="63">
        <f t="shared" si="9"/>
        <v>240</v>
      </c>
      <c r="AC30" s="63">
        <f t="shared" si="10"/>
        <v>2784.9177599999998</v>
      </c>
      <c r="AD30" s="63">
        <f t="shared" si="11"/>
        <v>1634.2605599999999</v>
      </c>
      <c r="AE30" s="63">
        <f t="shared" si="12"/>
        <v>0</v>
      </c>
      <c r="AF30" s="63">
        <f t="shared" si="13"/>
        <v>0</v>
      </c>
      <c r="AG30" s="63">
        <f t="shared" si="14"/>
        <v>0</v>
      </c>
      <c r="AH30" s="202">
        <f t="shared" si="15"/>
        <v>4659.17832</v>
      </c>
      <c r="AI30" s="147"/>
      <c r="AJ30" s="63">
        <f t="shared" si="16"/>
        <v>1800</v>
      </c>
      <c r="AK30" s="63">
        <f t="shared" si="17"/>
        <v>4445.7210000000005</v>
      </c>
      <c r="AL30" s="63"/>
      <c r="AM30" s="63">
        <f t="shared" si="18"/>
        <v>0</v>
      </c>
      <c r="AN30" s="63">
        <f t="shared" si="19"/>
        <v>0</v>
      </c>
      <c r="AO30" s="63">
        <f t="shared" si="20"/>
        <v>0</v>
      </c>
      <c r="AP30" s="37">
        <f t="shared" si="21"/>
        <v>6245.7210000000005</v>
      </c>
      <c r="AQ30" s="36">
        <f t="shared" si="1"/>
        <v>1586.5426800000005</v>
      </c>
      <c r="AR30" s="157">
        <f t="shared" si="22"/>
        <v>0.34051984513870259</v>
      </c>
      <c r="AT30" s="111">
        <f>VLOOKUP(K30,'G2-8 Summary'!J:P,7,FALSE)</f>
        <v>27</v>
      </c>
      <c r="AU30" s="157">
        <f t="shared" si="2"/>
        <v>1.6864459712679577E-2</v>
      </c>
      <c r="AW30" s="138">
        <f t="shared" si="3"/>
        <v>26.76</v>
      </c>
      <c r="AX30" s="139">
        <f t="shared" si="4"/>
        <v>5.7000000000000002E-3</v>
      </c>
      <c r="AY30" s="167"/>
      <c r="BC30" s="109"/>
    </row>
    <row r="31" spans="1:55" s="167" customFormat="1" x14ac:dyDescent="0.25">
      <c r="A31" s="167" t="s">
        <v>164</v>
      </c>
      <c r="B31" s="167" t="s">
        <v>155</v>
      </c>
      <c r="C31" s="167" t="s">
        <v>47</v>
      </c>
      <c r="D31" s="167" t="s">
        <v>166</v>
      </c>
      <c r="E31" s="167" t="s">
        <v>88</v>
      </c>
      <c r="F31" s="167" t="str">
        <f>INDEX('Rate Design (Consol)'!$B$48:$B$66,MATCH('Bill Impact Detail'!G31,'Rate Design (Consol)'!$C$48:$C$66,0))</f>
        <v>GS-4</v>
      </c>
      <c r="G31" s="167" t="s">
        <v>14</v>
      </c>
      <c r="H31" s="167" t="str">
        <f>INDEX('Rate Design (Consol)'!$D$48:$D$66,MATCH('Bill Impact Detail'!I31,'Rate Design (Consol)'!$E$48:$E$66,0))</f>
        <v>GS-4</v>
      </c>
      <c r="I31" s="167" t="str">
        <f t="shared" si="5"/>
        <v>General Service - 4</v>
      </c>
      <c r="J31" s="167" t="str">
        <f>VLOOKUP(I31,'Rate Design (Consol)'!$E$48:$F$66,2,FALSE)</f>
        <v>&gt; 10,000 &lt; = 50,000</v>
      </c>
      <c r="K31" s="169" t="str">
        <f t="shared" si="6"/>
        <v>FPUC-FPUC - General Service-1-GS-4</v>
      </c>
      <c r="L31" s="169">
        <v>8</v>
      </c>
      <c r="M31" s="169" t="s">
        <v>257</v>
      </c>
      <c r="N31" s="138">
        <f>VLOOKUP(K31,'G2-8 Summary'!J:O,6,FALSE)</f>
        <v>17413</v>
      </c>
      <c r="O31" s="63">
        <f>INDEX('G2-8 Summary'!S:S,MATCH('Bill Impact Detail'!K31,'G2-8 Summary'!J:J,0))</f>
        <v>20</v>
      </c>
      <c r="P31" s="63">
        <f>SUMIFS('Rate Design (Consol)'!K:K,'Rate Design (Consol)'!A:A,M31,'Rate Design (Consol)'!D:D,H31)</f>
        <v>275</v>
      </c>
      <c r="Q31" s="63"/>
      <c r="R31" s="142">
        <f t="shared" si="8"/>
        <v>0.62102000000000002</v>
      </c>
      <c r="S31" s="141">
        <f>INDEX('G2-8 Summary'!V:V,MATCH('Bill Impact Detail'!K31,'G2-8 Summary'!J:J,0))</f>
        <v>0.39135999999999999</v>
      </c>
      <c r="T31" s="141">
        <f>SUMIFS('Rate Design (Consol)'!L:L,'Rate Design (Consol)'!A:A,M31,'Rate Design (Consol)'!D:D,H31)</f>
        <v>0.59182999999999997</v>
      </c>
      <c r="U31" s="141"/>
      <c r="W31" s="64">
        <f>VLOOKUP($K31,'G2-8 Summary'!$J:$AA,15,FALSE)</f>
        <v>0.22966</v>
      </c>
      <c r="X31" s="64"/>
      <c r="Y31" s="64"/>
      <c r="Z31" s="64"/>
      <c r="AB31" s="63">
        <f t="shared" si="9"/>
        <v>240</v>
      </c>
      <c r="AC31" s="63">
        <f t="shared" si="10"/>
        <v>6814.7516799999994</v>
      </c>
      <c r="AD31" s="63">
        <f t="shared" si="11"/>
        <v>3999.0695799999999</v>
      </c>
      <c r="AE31" s="63">
        <f t="shared" si="12"/>
        <v>0</v>
      </c>
      <c r="AF31" s="63">
        <f t="shared" si="13"/>
        <v>0</v>
      </c>
      <c r="AG31" s="63">
        <f t="shared" si="14"/>
        <v>0</v>
      </c>
      <c r="AH31" s="202">
        <f t="shared" si="15"/>
        <v>11053.821259999999</v>
      </c>
      <c r="AI31" s="138"/>
      <c r="AJ31" s="63">
        <f t="shared" si="16"/>
        <v>3300</v>
      </c>
      <c r="AK31" s="63">
        <f t="shared" si="17"/>
        <v>10305.53579</v>
      </c>
      <c r="AL31" s="63"/>
      <c r="AM31" s="63">
        <f t="shared" si="18"/>
        <v>0</v>
      </c>
      <c r="AN31" s="63">
        <f t="shared" si="19"/>
        <v>0</v>
      </c>
      <c r="AO31" s="63">
        <f t="shared" si="20"/>
        <v>0</v>
      </c>
      <c r="AP31" s="202">
        <f t="shared" si="21"/>
        <v>13605.53579</v>
      </c>
      <c r="AQ31" s="63">
        <f t="shared" si="1"/>
        <v>2551.7145300000011</v>
      </c>
      <c r="AR31" s="157">
        <f t="shared" si="22"/>
        <v>0.23084456225412148</v>
      </c>
      <c r="AT31" s="111">
        <f>VLOOKUP(K31,'G2-8 Summary'!J:P,7,FALSE)</f>
        <v>13</v>
      </c>
      <c r="AU31" s="157">
        <f t="shared" si="2"/>
        <v>9.3189964157706102E-3</v>
      </c>
      <c r="AW31" s="138">
        <f t="shared" si="3"/>
        <v>23.78</v>
      </c>
      <c r="AX31" s="139">
        <f t="shared" si="4"/>
        <v>2.2000000000000001E-3</v>
      </c>
      <c r="BC31" s="109"/>
    </row>
    <row r="32" spans="1:55" s="167" customFormat="1" x14ac:dyDescent="0.25">
      <c r="A32" s="167" t="s">
        <v>164</v>
      </c>
      <c r="B32" s="167" t="s">
        <v>155</v>
      </c>
      <c r="C32" s="167" t="s">
        <v>47</v>
      </c>
      <c r="D32" s="167" t="s">
        <v>166</v>
      </c>
      <c r="E32" s="167" t="s">
        <v>88</v>
      </c>
      <c r="F32" s="167" t="str">
        <f>INDEX('Rate Design (Consol)'!$B$48:$B$66,MATCH('Bill Impact Detail'!G32,'Rate Design (Consol)'!$C$48:$C$66,0))</f>
        <v>GS-5</v>
      </c>
      <c r="G32" s="167" t="s">
        <v>15</v>
      </c>
      <c r="H32" s="167" t="str">
        <f>INDEX('Rate Design (Consol)'!$D$48:$D$66,MATCH('Bill Impact Detail'!I32,'Rate Design (Consol)'!$E$48:$E$66,0))</f>
        <v>GS-5</v>
      </c>
      <c r="I32" s="167" t="str">
        <f t="shared" si="5"/>
        <v>General Service - 5</v>
      </c>
      <c r="J32" s="167" t="str">
        <f>VLOOKUP(I32,'Rate Design (Consol)'!$E$48:$F$66,2,FALSE)</f>
        <v>&gt; 50,000 &lt; = 250,000</v>
      </c>
      <c r="K32" s="169" t="str">
        <f t="shared" si="6"/>
        <v>FPUC-FPUC - General Service-1-GS-5</v>
      </c>
      <c r="L32" s="169">
        <v>9</v>
      </c>
      <c r="M32" s="169" t="s">
        <v>257</v>
      </c>
      <c r="N32" s="138">
        <f>VLOOKUP(K32,'G2-8 Summary'!J:O,6,FALSE)</f>
        <v>128788</v>
      </c>
      <c r="O32" s="63">
        <f>INDEX('G2-8 Summary'!S:S,MATCH('Bill Impact Detail'!K32,'G2-8 Summary'!J:J,0))</f>
        <v>20</v>
      </c>
      <c r="P32" s="63">
        <f>SUMIFS('Rate Design (Consol)'!K:K,'Rate Design (Consol)'!A:A,M32,'Rate Design (Consol)'!D:D,H32)</f>
        <v>750</v>
      </c>
      <c r="Q32" s="63"/>
      <c r="R32" s="142">
        <f t="shared" si="8"/>
        <v>0.62102000000000002</v>
      </c>
      <c r="S32" s="141">
        <f>INDEX('G2-8 Summary'!V:V,MATCH('Bill Impact Detail'!K32,'G2-8 Summary'!J:J,0))</f>
        <v>0.39135999999999999</v>
      </c>
      <c r="T32" s="141">
        <f>SUMIFS('Rate Design (Consol)'!L:L,'Rate Design (Consol)'!A:A,M32,'Rate Design (Consol)'!D:D,H32)</f>
        <v>0.52</v>
      </c>
      <c r="U32" s="141"/>
      <c r="W32" s="64">
        <f>VLOOKUP($K32,'G2-8 Summary'!$J:$AA,15,FALSE)</f>
        <v>0.22966</v>
      </c>
      <c r="X32" s="64"/>
      <c r="Y32" s="64"/>
      <c r="Z32" s="64"/>
      <c r="AB32" s="63">
        <f t="shared" si="9"/>
        <v>240</v>
      </c>
      <c r="AC32" s="63">
        <f t="shared" si="10"/>
        <v>50402.471679999995</v>
      </c>
      <c r="AD32" s="63">
        <f t="shared" si="11"/>
        <v>29577.452079999999</v>
      </c>
      <c r="AE32" s="63">
        <f t="shared" si="12"/>
        <v>0</v>
      </c>
      <c r="AF32" s="63">
        <f t="shared" si="13"/>
        <v>0</v>
      </c>
      <c r="AG32" s="63">
        <f t="shared" si="14"/>
        <v>0</v>
      </c>
      <c r="AH32" s="202">
        <f t="shared" si="15"/>
        <v>80219.923759999991</v>
      </c>
      <c r="AI32" s="138"/>
      <c r="AJ32" s="63">
        <f t="shared" si="16"/>
        <v>9000</v>
      </c>
      <c r="AK32" s="63">
        <f t="shared" si="17"/>
        <v>66969.760000000009</v>
      </c>
      <c r="AL32" s="63"/>
      <c r="AM32" s="63">
        <f t="shared" si="18"/>
        <v>0</v>
      </c>
      <c r="AN32" s="63">
        <f t="shared" si="19"/>
        <v>0</v>
      </c>
      <c r="AO32" s="63">
        <f t="shared" si="20"/>
        <v>0</v>
      </c>
      <c r="AP32" s="202">
        <f t="shared" si="21"/>
        <v>75969.760000000009</v>
      </c>
      <c r="AQ32" s="63">
        <f t="shared" si="1"/>
        <v>-4250.1637599999813</v>
      </c>
      <c r="AR32" s="157">
        <f t="shared" si="22"/>
        <v>-5.2981398644998935E-2</v>
      </c>
      <c r="AT32" s="111">
        <f>VLOOKUP(K32,'G2-8 Summary'!J:P,7,FALSE)</f>
        <v>1</v>
      </c>
      <c r="AU32" s="157">
        <f t="shared" si="2"/>
        <v>8.8495575221238937E-3</v>
      </c>
      <c r="AW32" s="138">
        <f t="shared" si="3"/>
        <v>-37.61</v>
      </c>
      <c r="AX32" s="139">
        <f t="shared" si="4"/>
        <v>-5.0000000000000001E-4</v>
      </c>
      <c r="BC32" s="109"/>
    </row>
    <row r="33" spans="1:55" s="167" customFormat="1" x14ac:dyDescent="0.25">
      <c r="A33" s="167" t="s">
        <v>164</v>
      </c>
      <c r="B33" s="167" t="s">
        <v>155</v>
      </c>
      <c r="C33" s="167" t="s">
        <v>47</v>
      </c>
      <c r="D33" s="167" t="s">
        <v>166</v>
      </c>
      <c r="E33" s="167" t="s">
        <v>88</v>
      </c>
      <c r="F33" s="167" t="str">
        <f>INDEX('Rate Design (Consol)'!$B$48:$B$66,MATCH('Bill Impact Detail'!G33,'Rate Design (Consol)'!$C$48:$C$66,0))</f>
        <v>GS-1</v>
      </c>
      <c r="G33" s="167" t="s">
        <v>11</v>
      </c>
      <c r="H33" s="167" t="str">
        <f>INDEX('Rate Design (Consol)'!$D$48:$D$66,MATCH('Bill Impact Detail'!I33,'Rate Design (Consol)'!$E$48:$E$66,0))</f>
        <v>GS-1</v>
      </c>
      <c r="I33" s="167" t="str">
        <f t="shared" si="5"/>
        <v>General Service - 1</v>
      </c>
      <c r="J33" s="167" t="str">
        <f>VLOOKUP(I33,'Rate Design (Consol)'!$E$48:$F$66,2,FALSE)</f>
        <v>&lt; = 1000</v>
      </c>
      <c r="K33" s="169" t="str">
        <f t="shared" si="6"/>
        <v>FPUC-FPUC - General Service-1-GS-1</v>
      </c>
      <c r="L33" s="169">
        <v>5</v>
      </c>
      <c r="M33" s="169" t="s">
        <v>257</v>
      </c>
      <c r="N33" s="138">
        <f>VLOOKUP(K33,'G2-8 Summary'!J:O,6,FALSE)</f>
        <v>227</v>
      </c>
      <c r="O33" s="63">
        <f>INDEX('G2-8 Summary'!S:S,MATCH('Bill Impact Detail'!K33,'G2-8 Summary'!J:J,0))</f>
        <v>20</v>
      </c>
      <c r="P33" s="63">
        <f>SUMIFS('Rate Design (Consol)'!K:K,'Rate Design (Consol)'!A:A,M33,'Rate Design (Consol)'!D:D,H33)</f>
        <v>40</v>
      </c>
      <c r="Q33" s="63"/>
      <c r="R33" s="142">
        <f t="shared" si="8"/>
        <v>0.62102000000000002</v>
      </c>
      <c r="S33" s="141">
        <f>INDEX('G2-8 Summary'!V:V,MATCH('Bill Impact Detail'!K33,'G2-8 Summary'!J:J,0))</f>
        <v>0.39135999999999999</v>
      </c>
      <c r="T33" s="141">
        <f>SUMIFS('Rate Design (Consol)'!L:L,'Rate Design (Consol)'!A:A,M33,'Rate Design (Consol)'!D:D,H33)</f>
        <v>0.70123999999999997</v>
      </c>
      <c r="U33" s="141"/>
      <c r="W33" s="64">
        <f>VLOOKUP($K33,'G2-8 Summary'!$J:$AA,15,FALSE)</f>
        <v>0.22966</v>
      </c>
      <c r="X33" s="64"/>
      <c r="Y33" s="64"/>
      <c r="Z33" s="64"/>
      <c r="AB33" s="63">
        <f t="shared" si="9"/>
        <v>240</v>
      </c>
      <c r="AC33" s="63">
        <f t="shared" si="10"/>
        <v>88.838719999999995</v>
      </c>
      <c r="AD33" s="63">
        <f t="shared" si="11"/>
        <v>52.132820000000002</v>
      </c>
      <c r="AE33" s="63">
        <f t="shared" si="12"/>
        <v>0</v>
      </c>
      <c r="AF33" s="63">
        <f t="shared" si="13"/>
        <v>0</v>
      </c>
      <c r="AG33" s="63">
        <f t="shared" si="14"/>
        <v>0</v>
      </c>
      <c r="AH33" s="202">
        <f t="shared" si="15"/>
        <v>380.97153999999995</v>
      </c>
      <c r="AI33" s="138"/>
      <c r="AJ33" s="63">
        <f t="shared" si="16"/>
        <v>480</v>
      </c>
      <c r="AK33" s="63">
        <f t="shared" si="17"/>
        <v>159.18147999999999</v>
      </c>
      <c r="AL33" s="63"/>
      <c r="AM33" s="63">
        <f t="shared" si="18"/>
        <v>0</v>
      </c>
      <c r="AN33" s="63">
        <f t="shared" si="19"/>
        <v>0</v>
      </c>
      <c r="AO33" s="63">
        <f t="shared" si="20"/>
        <v>0</v>
      </c>
      <c r="AP33" s="202">
        <f t="shared" si="21"/>
        <v>639.18147999999997</v>
      </c>
      <c r="AQ33" s="63">
        <f t="shared" si="1"/>
        <v>258.20994000000002</v>
      </c>
      <c r="AR33" s="157">
        <f t="shared" si="22"/>
        <v>0.67776700590285577</v>
      </c>
      <c r="AT33" s="111">
        <f>VLOOKUP(K33,'G2-8 Summary'!J:P,7,FALSE)</f>
        <v>653</v>
      </c>
      <c r="AU33" s="157">
        <f t="shared" si="2"/>
        <v>0.30758360810174279</v>
      </c>
      <c r="AW33" s="138">
        <f t="shared" si="3"/>
        <v>79.42</v>
      </c>
      <c r="AX33" s="139">
        <f t="shared" si="4"/>
        <v>0.20849999999999999</v>
      </c>
      <c r="BC33" s="109"/>
    </row>
    <row r="34" spans="1:55" s="167" customFormat="1" x14ac:dyDescent="0.25">
      <c r="A34" s="167" t="s">
        <v>164</v>
      </c>
      <c r="B34" s="167" t="s">
        <v>155</v>
      </c>
      <c r="C34" s="167" t="s">
        <v>49</v>
      </c>
      <c r="D34" s="167" t="s">
        <v>166</v>
      </c>
      <c r="E34" s="167" t="s">
        <v>87</v>
      </c>
      <c r="F34" s="167" t="str">
        <f>INDEX('Rate Design (Consol)'!$B$48:$B$66,MATCH('Bill Impact Detail'!G34,'Rate Design (Consol)'!$C$48:$C$66,0))</f>
        <v>GS-2</v>
      </c>
      <c r="G34" s="167" t="s">
        <v>12</v>
      </c>
      <c r="H34" s="167" t="str">
        <f>INDEX('Rate Design (Consol)'!$D$48:$D$66,MATCH('Bill Impact Detail'!I34,'Rate Design (Consol)'!$E$48:$E$66,0))</f>
        <v>GS-2</v>
      </c>
      <c r="I34" s="167" t="str">
        <f t="shared" si="5"/>
        <v>General Service - 2</v>
      </c>
      <c r="J34" s="167" t="str">
        <f>VLOOKUP(I34,'Rate Design (Consol)'!$E$48:$F$66,2,FALSE)</f>
        <v>&gt; 1000 &lt; = 5,000</v>
      </c>
      <c r="K34" s="169" t="str">
        <f t="shared" si="6"/>
        <v>FPUC-FPUC - General Service - 2-GS-2</v>
      </c>
      <c r="L34" s="169">
        <v>6</v>
      </c>
      <c r="M34" s="169" t="s">
        <v>257</v>
      </c>
      <c r="N34" s="138">
        <f>VLOOKUP(K34,'G2-8 Summary'!J:O,6,FALSE)</f>
        <v>2583</v>
      </c>
      <c r="O34" s="63">
        <f>INDEX('G2-8 Summary'!S:S,MATCH('Bill Impact Detail'!K34,'G2-8 Summary'!J:J,0))</f>
        <v>33</v>
      </c>
      <c r="P34" s="63">
        <f>SUMIFS('Rate Design (Consol)'!K:K,'Rate Design (Consol)'!A:A,M34,'Rate Design (Consol)'!D:D,H34)</f>
        <v>70</v>
      </c>
      <c r="Q34" s="63"/>
      <c r="R34" s="142">
        <f t="shared" si="8"/>
        <v>0.62101999999999991</v>
      </c>
      <c r="S34" s="141">
        <f>INDEX('G2-8 Summary'!V:V,MATCH('Bill Impact Detail'!K34,'G2-8 Summary'!J:J,0))</f>
        <v>0.39135999999999999</v>
      </c>
      <c r="T34" s="141">
        <f>SUMIFS('Rate Design (Consol)'!L:L,'Rate Design (Consol)'!A:A,M34,'Rate Design (Consol)'!D:D,H34)</f>
        <v>0.69901999999999997</v>
      </c>
      <c r="U34" s="141"/>
      <c r="W34" s="64">
        <f>VLOOKUP($K34,'G2-8 Summary'!$J:$AA,15,FALSE)</f>
        <v>0.22965999999999995</v>
      </c>
      <c r="X34" s="64"/>
      <c r="Y34" s="64"/>
      <c r="Z34" s="64"/>
      <c r="AB34" s="63">
        <f t="shared" si="9"/>
        <v>396</v>
      </c>
      <c r="AC34" s="63">
        <f t="shared" si="10"/>
        <v>1010.88288</v>
      </c>
      <c r="AD34" s="63">
        <f t="shared" si="11"/>
        <v>593.21177999999986</v>
      </c>
      <c r="AE34" s="63">
        <f t="shared" si="12"/>
        <v>0</v>
      </c>
      <c r="AF34" s="63">
        <f t="shared" si="13"/>
        <v>0</v>
      </c>
      <c r="AG34" s="63">
        <f t="shared" si="14"/>
        <v>0</v>
      </c>
      <c r="AH34" s="202">
        <f t="shared" si="15"/>
        <v>2000.09466</v>
      </c>
      <c r="AI34" s="138"/>
      <c r="AJ34" s="63">
        <f t="shared" si="16"/>
        <v>840</v>
      </c>
      <c r="AK34" s="63">
        <f t="shared" si="17"/>
        <v>1805.5686599999999</v>
      </c>
      <c r="AL34" s="63"/>
      <c r="AM34" s="63">
        <f t="shared" si="18"/>
        <v>0</v>
      </c>
      <c r="AN34" s="63">
        <f t="shared" si="19"/>
        <v>0</v>
      </c>
      <c r="AO34" s="63">
        <f t="shared" si="20"/>
        <v>0</v>
      </c>
      <c r="AP34" s="202">
        <f t="shared" si="21"/>
        <v>2645.5686599999999</v>
      </c>
      <c r="AQ34" s="63">
        <f t="shared" si="1"/>
        <v>645.47399999999993</v>
      </c>
      <c r="AR34" s="157">
        <f t="shared" si="22"/>
        <v>0.32272172558072826</v>
      </c>
      <c r="AT34" s="111">
        <f>VLOOKUP(K34,'G2-8 Summary'!J:P,7,FALSE)</f>
        <v>1086</v>
      </c>
      <c r="AU34" s="157">
        <f t="shared" si="2"/>
        <v>0.43896523848019403</v>
      </c>
      <c r="AW34" s="138">
        <f t="shared" si="3"/>
        <v>283.33999999999997</v>
      </c>
      <c r="AX34" s="139">
        <f t="shared" si="4"/>
        <v>0.14169999999999999</v>
      </c>
      <c r="BC34" s="109"/>
    </row>
    <row r="35" spans="1:55" s="167" customFormat="1" x14ac:dyDescent="0.25">
      <c r="A35" s="167" t="s">
        <v>164</v>
      </c>
      <c r="B35" s="167" t="s">
        <v>155</v>
      </c>
      <c r="C35" s="167" t="s">
        <v>49</v>
      </c>
      <c r="D35" s="167" t="s">
        <v>166</v>
      </c>
      <c r="E35" s="167" t="s">
        <v>87</v>
      </c>
      <c r="F35" s="167" t="str">
        <f>INDEX('Rate Design (Consol)'!$B$48:$B$66,MATCH('Bill Impact Detail'!G35,'Rate Design (Consol)'!$C$48:$C$66,0))</f>
        <v>GS-3</v>
      </c>
      <c r="G35" s="167" t="s">
        <v>13</v>
      </c>
      <c r="H35" s="167" t="str">
        <f>INDEX('Rate Design (Consol)'!$D$48:$D$66,MATCH('Bill Impact Detail'!I35,'Rate Design (Consol)'!$E$48:$E$66,0))</f>
        <v>GS-3</v>
      </c>
      <c r="I35" s="167" t="str">
        <f t="shared" si="5"/>
        <v>General Service - 3</v>
      </c>
      <c r="J35" s="167" t="str">
        <f>VLOOKUP(I35,'Rate Design (Consol)'!$E$48:$F$66,2,FALSE)</f>
        <v>&gt; 5,000 &lt; = 10,000</v>
      </c>
      <c r="K35" s="169" t="str">
        <f t="shared" si="6"/>
        <v>FPUC-FPUC - General Service - 2-GS-3</v>
      </c>
      <c r="L35" s="169">
        <v>7</v>
      </c>
      <c r="M35" s="169" t="s">
        <v>257</v>
      </c>
      <c r="N35" s="138">
        <f>VLOOKUP(K35,'G2-8 Summary'!J:O,6,FALSE)</f>
        <v>6706</v>
      </c>
      <c r="O35" s="63">
        <f>INDEX('G2-8 Summary'!S:S,MATCH('Bill Impact Detail'!K35,'G2-8 Summary'!J:J,0))</f>
        <v>33</v>
      </c>
      <c r="P35" s="63">
        <f>SUMIFS('Rate Design (Consol)'!K:K,'Rate Design (Consol)'!A:A,M35,'Rate Design (Consol)'!D:D,H35)</f>
        <v>150</v>
      </c>
      <c r="Q35" s="63"/>
      <c r="R35" s="142">
        <f t="shared" si="8"/>
        <v>0.62101999999999991</v>
      </c>
      <c r="S35" s="141">
        <f>INDEX('G2-8 Summary'!V:V,MATCH('Bill Impact Detail'!K35,'G2-8 Summary'!J:J,0))</f>
        <v>0.39135999999999999</v>
      </c>
      <c r="T35" s="141">
        <f>SUMIFS('Rate Design (Consol)'!L:L,'Rate Design (Consol)'!A:A,M35,'Rate Design (Consol)'!D:D,H35)</f>
        <v>0.62475000000000003</v>
      </c>
      <c r="U35" s="141"/>
      <c r="W35" s="64">
        <f>VLOOKUP($K35,'G2-8 Summary'!$J:$AA,15,FALSE)</f>
        <v>0.22965999999999995</v>
      </c>
      <c r="X35" s="64"/>
      <c r="Y35" s="64"/>
      <c r="Z35" s="64"/>
      <c r="AB35" s="63">
        <f t="shared" si="9"/>
        <v>396</v>
      </c>
      <c r="AC35" s="63">
        <f t="shared" si="10"/>
        <v>2624.4601600000001</v>
      </c>
      <c r="AD35" s="63">
        <f t="shared" si="11"/>
        <v>1540.0999599999996</v>
      </c>
      <c r="AE35" s="63">
        <f t="shared" si="12"/>
        <v>0</v>
      </c>
      <c r="AF35" s="63">
        <f t="shared" si="13"/>
        <v>0</v>
      </c>
      <c r="AG35" s="63">
        <f t="shared" si="14"/>
        <v>0</v>
      </c>
      <c r="AH35" s="202">
        <f t="shared" si="15"/>
        <v>4560.5601200000001</v>
      </c>
      <c r="AI35" s="138"/>
      <c r="AJ35" s="63">
        <f t="shared" si="16"/>
        <v>1800</v>
      </c>
      <c r="AK35" s="63">
        <f t="shared" si="17"/>
        <v>4189.5735000000004</v>
      </c>
      <c r="AL35" s="63"/>
      <c r="AM35" s="63">
        <f t="shared" si="18"/>
        <v>0</v>
      </c>
      <c r="AN35" s="63">
        <f t="shared" si="19"/>
        <v>0</v>
      </c>
      <c r="AO35" s="63">
        <f t="shared" si="20"/>
        <v>0</v>
      </c>
      <c r="AP35" s="202">
        <f t="shared" si="21"/>
        <v>5989.5735000000004</v>
      </c>
      <c r="AQ35" s="63">
        <f t="shared" si="1"/>
        <v>1429.0133800000003</v>
      </c>
      <c r="AR35" s="157">
        <f t="shared" si="22"/>
        <v>0.31334163839506635</v>
      </c>
      <c r="AT35" s="111">
        <f>VLOOKUP(K35,'G2-8 Summary'!J:P,7,FALSE)</f>
        <v>310</v>
      </c>
      <c r="AU35" s="157">
        <f t="shared" si="2"/>
        <v>0.19362898188632105</v>
      </c>
      <c r="AW35" s="138">
        <f t="shared" si="3"/>
        <v>276.7</v>
      </c>
      <c r="AX35" s="139">
        <f t="shared" si="4"/>
        <v>6.0699999999999997E-2</v>
      </c>
      <c r="BC35" s="109"/>
    </row>
    <row r="36" spans="1:55" s="167" customFormat="1" x14ac:dyDescent="0.25">
      <c r="A36" s="167" t="s">
        <v>164</v>
      </c>
      <c r="B36" s="167" t="s">
        <v>155</v>
      </c>
      <c r="C36" s="167" t="s">
        <v>49</v>
      </c>
      <c r="D36" s="167" t="s">
        <v>166</v>
      </c>
      <c r="E36" s="167" t="s">
        <v>87</v>
      </c>
      <c r="F36" s="167" t="str">
        <f>INDEX('Rate Design (Consol)'!$B$48:$B$66,MATCH('Bill Impact Detail'!G36,'Rate Design (Consol)'!$C$48:$C$66,0))</f>
        <v>GS-4</v>
      </c>
      <c r="G36" s="167" t="s">
        <v>14</v>
      </c>
      <c r="H36" s="167" t="str">
        <f>INDEX('Rate Design (Consol)'!$D$48:$D$66,MATCH('Bill Impact Detail'!I36,'Rate Design (Consol)'!$E$48:$E$66,0))</f>
        <v>GS-4</v>
      </c>
      <c r="I36" s="167" t="str">
        <f t="shared" si="5"/>
        <v>General Service - 4</v>
      </c>
      <c r="J36" s="167" t="str">
        <f>VLOOKUP(I36,'Rate Design (Consol)'!$E$48:$F$66,2,FALSE)</f>
        <v>&gt; 10,000 &lt; = 50,000</v>
      </c>
      <c r="K36" s="169" t="str">
        <f t="shared" si="6"/>
        <v>FPUC-FPUC - General Service - 2-GS-4</v>
      </c>
      <c r="L36" s="169">
        <v>8</v>
      </c>
      <c r="M36" s="169" t="s">
        <v>257</v>
      </c>
      <c r="N36" s="138">
        <f>VLOOKUP(K36,'G2-8 Summary'!J:O,6,FALSE)</f>
        <v>14962</v>
      </c>
      <c r="O36" s="63">
        <f>INDEX('G2-8 Summary'!S:S,MATCH('Bill Impact Detail'!K36,'G2-8 Summary'!J:J,0))</f>
        <v>33</v>
      </c>
      <c r="P36" s="63">
        <f>SUMIFS('Rate Design (Consol)'!K:K,'Rate Design (Consol)'!A:A,M36,'Rate Design (Consol)'!D:D,H36)</f>
        <v>275</v>
      </c>
      <c r="Q36" s="63"/>
      <c r="R36" s="142">
        <f t="shared" si="8"/>
        <v>0.62101999999999991</v>
      </c>
      <c r="S36" s="141">
        <f>INDEX('G2-8 Summary'!V:V,MATCH('Bill Impact Detail'!K36,'G2-8 Summary'!J:J,0))</f>
        <v>0.39135999999999999</v>
      </c>
      <c r="T36" s="141">
        <f>SUMIFS('Rate Design (Consol)'!L:L,'Rate Design (Consol)'!A:A,M36,'Rate Design (Consol)'!D:D,H36)</f>
        <v>0.59182999999999997</v>
      </c>
      <c r="U36" s="141"/>
      <c r="W36" s="64">
        <f>VLOOKUP($K36,'G2-8 Summary'!$J:$AA,15,FALSE)</f>
        <v>0.22965999999999995</v>
      </c>
      <c r="X36" s="64"/>
      <c r="Y36" s="64"/>
      <c r="Z36" s="64"/>
      <c r="AB36" s="63">
        <f t="shared" si="9"/>
        <v>396</v>
      </c>
      <c r="AC36" s="63">
        <f t="shared" si="10"/>
        <v>5855.5283199999994</v>
      </c>
      <c r="AD36" s="63">
        <f t="shared" si="11"/>
        <v>3436.1729199999991</v>
      </c>
      <c r="AE36" s="63">
        <f t="shared" si="12"/>
        <v>0</v>
      </c>
      <c r="AF36" s="63">
        <f t="shared" si="13"/>
        <v>0</v>
      </c>
      <c r="AG36" s="63">
        <f t="shared" si="14"/>
        <v>0</v>
      </c>
      <c r="AH36" s="202">
        <f t="shared" si="15"/>
        <v>9687.7012399999985</v>
      </c>
      <c r="AI36" s="138"/>
      <c r="AJ36" s="63">
        <f t="shared" si="16"/>
        <v>3300</v>
      </c>
      <c r="AK36" s="63">
        <f t="shared" si="17"/>
        <v>8854.9604600000002</v>
      </c>
      <c r="AL36" s="63"/>
      <c r="AM36" s="63">
        <f t="shared" si="18"/>
        <v>0</v>
      </c>
      <c r="AN36" s="63">
        <f t="shared" si="19"/>
        <v>0</v>
      </c>
      <c r="AO36" s="63">
        <f t="shared" si="20"/>
        <v>0</v>
      </c>
      <c r="AP36" s="202">
        <f t="shared" si="21"/>
        <v>12154.96046</v>
      </c>
      <c r="AQ36" s="63">
        <f t="shared" si="1"/>
        <v>2467.2592200000017</v>
      </c>
      <c r="AR36" s="157">
        <f t="shared" si="22"/>
        <v>0.25467953221067768</v>
      </c>
      <c r="AT36" s="111">
        <f>VLOOKUP(K36,'G2-8 Summary'!J:P,7,FALSE)</f>
        <v>80</v>
      </c>
      <c r="AU36" s="157">
        <f t="shared" si="2"/>
        <v>5.7347670250896057E-2</v>
      </c>
      <c r="AW36" s="138">
        <f t="shared" si="3"/>
        <v>141.49</v>
      </c>
      <c r="AX36" s="139">
        <f t="shared" si="4"/>
        <v>1.46E-2</v>
      </c>
      <c r="BC36" s="109"/>
    </row>
    <row r="37" spans="1:55" s="167" customFormat="1" x14ac:dyDescent="0.25">
      <c r="A37" s="167" t="s">
        <v>164</v>
      </c>
      <c r="B37" s="167" t="s">
        <v>155</v>
      </c>
      <c r="C37" s="167" t="s">
        <v>49</v>
      </c>
      <c r="D37" s="167" t="s">
        <v>166</v>
      </c>
      <c r="E37" s="167" t="s">
        <v>87</v>
      </c>
      <c r="F37" s="167" t="str">
        <f>INDEX('Rate Design (Consol)'!$B$48:$B$66,MATCH('Bill Impact Detail'!G37,'Rate Design (Consol)'!$C$48:$C$66,0))</f>
        <v>GS-5</v>
      </c>
      <c r="G37" s="167" t="s">
        <v>15</v>
      </c>
      <c r="H37" s="167" t="str">
        <f>INDEX('Rate Design (Consol)'!$D$48:$D$66,MATCH('Bill Impact Detail'!I37,'Rate Design (Consol)'!$E$48:$E$66,0))</f>
        <v>GS-5</v>
      </c>
      <c r="I37" s="167" t="str">
        <f t="shared" si="5"/>
        <v>General Service - 5</v>
      </c>
      <c r="J37" s="167" t="str">
        <f>VLOOKUP(I37,'Rate Design (Consol)'!$E$48:$F$66,2,FALSE)</f>
        <v>&gt; 50,000 &lt; = 250,000</v>
      </c>
      <c r="K37" s="169" t="str">
        <f t="shared" si="6"/>
        <v>FPUC-FPUC - General Service - 2-GS-5</v>
      </c>
      <c r="L37" s="169">
        <v>9</v>
      </c>
      <c r="M37" s="169" t="s">
        <v>257</v>
      </c>
      <c r="N37" s="138">
        <f>VLOOKUP(K37,'G2-8 Summary'!J:O,6,FALSE)</f>
        <v>215460</v>
      </c>
      <c r="O37" s="63">
        <f>INDEX('G2-8 Summary'!S:S,MATCH('Bill Impact Detail'!K37,'G2-8 Summary'!J:J,0))</f>
        <v>33</v>
      </c>
      <c r="P37" s="63">
        <f>SUMIFS('Rate Design (Consol)'!K:K,'Rate Design (Consol)'!A:A,M37,'Rate Design (Consol)'!D:D,H37)</f>
        <v>750</v>
      </c>
      <c r="Q37" s="63"/>
      <c r="R37" s="142">
        <f t="shared" si="8"/>
        <v>0.62101999999999991</v>
      </c>
      <c r="S37" s="141">
        <f>INDEX('G2-8 Summary'!V:V,MATCH('Bill Impact Detail'!K37,'G2-8 Summary'!J:J,0))</f>
        <v>0.39135999999999999</v>
      </c>
      <c r="T37" s="141">
        <f>SUMIFS('Rate Design (Consol)'!L:L,'Rate Design (Consol)'!A:A,M37,'Rate Design (Consol)'!D:D,H37)</f>
        <v>0.52</v>
      </c>
      <c r="U37" s="141"/>
      <c r="W37" s="64">
        <f>VLOOKUP($K37,'G2-8 Summary'!$J:$AA,15,FALSE)</f>
        <v>0.22965999999999995</v>
      </c>
      <c r="X37" s="64"/>
      <c r="Y37" s="64"/>
      <c r="Z37" s="64"/>
      <c r="AB37" s="63">
        <f t="shared" si="9"/>
        <v>396</v>
      </c>
      <c r="AC37" s="63">
        <f t="shared" si="10"/>
        <v>84322.425600000002</v>
      </c>
      <c r="AD37" s="63">
        <f t="shared" si="11"/>
        <v>49482.54359999999</v>
      </c>
      <c r="AE37" s="63">
        <f t="shared" si="12"/>
        <v>0</v>
      </c>
      <c r="AF37" s="63">
        <f t="shared" si="13"/>
        <v>0</v>
      </c>
      <c r="AG37" s="63">
        <f t="shared" si="14"/>
        <v>0</v>
      </c>
      <c r="AH37" s="202">
        <f t="shared" si="15"/>
        <v>134200.96919999999</v>
      </c>
      <c r="AI37" s="138"/>
      <c r="AJ37" s="63">
        <f t="shared" si="16"/>
        <v>9000</v>
      </c>
      <c r="AK37" s="63">
        <f t="shared" si="17"/>
        <v>112039.2</v>
      </c>
      <c r="AL37" s="63"/>
      <c r="AM37" s="63">
        <f t="shared" si="18"/>
        <v>0</v>
      </c>
      <c r="AN37" s="63">
        <f t="shared" si="19"/>
        <v>0</v>
      </c>
      <c r="AO37" s="63">
        <f t="shared" si="20"/>
        <v>0</v>
      </c>
      <c r="AP37" s="202">
        <f t="shared" si="21"/>
        <v>121039.2</v>
      </c>
      <c r="AQ37" s="63">
        <f t="shared" si="1"/>
        <v>-13161.769199999995</v>
      </c>
      <c r="AR37" s="157">
        <f t="shared" si="22"/>
        <v>-9.8075068149358763E-2</v>
      </c>
      <c r="AT37" s="111">
        <f>VLOOKUP(K37,'G2-8 Summary'!J:P,7,FALSE)</f>
        <v>1</v>
      </c>
      <c r="AU37" s="157">
        <f t="shared" si="2"/>
        <v>8.8495575221238937E-3</v>
      </c>
      <c r="AW37" s="138">
        <f t="shared" si="3"/>
        <v>-116.48</v>
      </c>
      <c r="AX37" s="139">
        <f t="shared" si="4"/>
        <v>-8.9999999999999998E-4</v>
      </c>
      <c r="BC37" s="109"/>
    </row>
    <row r="38" spans="1:55" s="167" customFormat="1" x14ac:dyDescent="0.25">
      <c r="A38" s="167" t="s">
        <v>164</v>
      </c>
      <c r="B38" s="167" t="s">
        <v>155</v>
      </c>
      <c r="C38" s="167" t="s">
        <v>49</v>
      </c>
      <c r="D38" s="167" t="s">
        <v>166</v>
      </c>
      <c r="E38" s="167" t="s">
        <v>87</v>
      </c>
      <c r="F38" s="167" t="str">
        <f>INDEX('Rate Design (Consol)'!$B$48:$B$66,MATCH('Bill Impact Detail'!G38,'Rate Design (Consol)'!$C$48:$C$66,0))</f>
        <v>GS-1</v>
      </c>
      <c r="G38" s="167" t="s">
        <v>11</v>
      </c>
      <c r="H38" s="167" t="str">
        <f>INDEX('Rate Design (Consol)'!$D$48:$D$66,MATCH('Bill Impact Detail'!I38,'Rate Design (Consol)'!$E$48:$E$66,0))</f>
        <v>GS-1</v>
      </c>
      <c r="I38" s="167" t="str">
        <f t="shared" si="5"/>
        <v>General Service - 1</v>
      </c>
      <c r="J38" s="167" t="str">
        <f>VLOOKUP(I38,'Rate Design (Consol)'!$E$48:$F$66,2,FALSE)</f>
        <v>&lt; = 1000</v>
      </c>
      <c r="K38" s="169" t="str">
        <f t="shared" si="6"/>
        <v>FPUC-FPUC - General Service - 2-GS-1</v>
      </c>
      <c r="L38" s="169">
        <v>5</v>
      </c>
      <c r="M38" s="169" t="s">
        <v>257</v>
      </c>
      <c r="N38" s="138">
        <f>VLOOKUP(K38,'G2-8 Summary'!J:O,6,FALSE)</f>
        <v>402</v>
      </c>
      <c r="O38" s="63">
        <f>INDEX('G2-8 Summary'!S:S,MATCH('Bill Impact Detail'!K38,'G2-8 Summary'!J:J,0))</f>
        <v>33</v>
      </c>
      <c r="P38" s="63">
        <f>SUMIFS('Rate Design (Consol)'!K:K,'Rate Design (Consol)'!A:A,M38,'Rate Design (Consol)'!D:D,H38)</f>
        <v>40</v>
      </c>
      <c r="Q38" s="63"/>
      <c r="R38" s="142">
        <f t="shared" si="8"/>
        <v>0.62101999999999991</v>
      </c>
      <c r="S38" s="141">
        <f>INDEX('G2-8 Summary'!V:V,MATCH('Bill Impact Detail'!K38,'G2-8 Summary'!J:J,0))</f>
        <v>0.39135999999999999</v>
      </c>
      <c r="T38" s="141">
        <f>SUMIFS('Rate Design (Consol)'!L:L,'Rate Design (Consol)'!A:A,M38,'Rate Design (Consol)'!D:D,H38)</f>
        <v>0.70123999999999997</v>
      </c>
      <c r="U38" s="141"/>
      <c r="W38" s="64">
        <f>VLOOKUP($K38,'G2-8 Summary'!$J:$AA,15,FALSE)</f>
        <v>0.22965999999999995</v>
      </c>
      <c r="X38" s="64"/>
      <c r="Y38" s="64"/>
      <c r="Z38" s="64"/>
      <c r="AB38" s="63">
        <f t="shared" si="9"/>
        <v>396</v>
      </c>
      <c r="AC38" s="63">
        <f t="shared" si="10"/>
        <v>157.32671999999999</v>
      </c>
      <c r="AD38" s="63">
        <f t="shared" si="11"/>
        <v>92.323319999999981</v>
      </c>
      <c r="AE38" s="63">
        <f t="shared" si="12"/>
        <v>0</v>
      </c>
      <c r="AF38" s="63">
        <f t="shared" si="13"/>
        <v>0</v>
      </c>
      <c r="AG38" s="63">
        <f t="shared" si="14"/>
        <v>0</v>
      </c>
      <c r="AH38" s="202">
        <f t="shared" si="15"/>
        <v>645.65003999999999</v>
      </c>
      <c r="AI38" s="138"/>
      <c r="AJ38" s="63">
        <f t="shared" si="16"/>
        <v>480</v>
      </c>
      <c r="AK38" s="63">
        <f t="shared" si="17"/>
        <v>281.89848000000001</v>
      </c>
      <c r="AL38" s="63"/>
      <c r="AM38" s="63">
        <f t="shared" si="18"/>
        <v>0</v>
      </c>
      <c r="AN38" s="63">
        <f t="shared" si="19"/>
        <v>0</v>
      </c>
      <c r="AO38" s="63">
        <f t="shared" si="20"/>
        <v>0</v>
      </c>
      <c r="AP38" s="202">
        <f>SUM(AJ38:AO38)</f>
        <v>761.89848000000006</v>
      </c>
      <c r="AQ38" s="63">
        <f t="shared" si="1"/>
        <v>116.24844000000007</v>
      </c>
      <c r="AR38" s="157">
        <f t="shared" si="22"/>
        <v>0.18004868395888285</v>
      </c>
      <c r="AT38" s="111">
        <f>VLOOKUP(K38,'G2-8 Summary'!J:P,7,FALSE)</f>
        <v>790</v>
      </c>
      <c r="AU38" s="157">
        <f t="shared" si="2"/>
        <v>0.37211493170042392</v>
      </c>
      <c r="AW38" s="138">
        <f t="shared" si="3"/>
        <v>43.26</v>
      </c>
      <c r="AX38" s="139">
        <f t="shared" si="4"/>
        <v>6.7000000000000004E-2</v>
      </c>
      <c r="BC38" s="109"/>
    </row>
    <row r="39" spans="1:55" s="167" customFormat="1" x14ac:dyDescent="0.25">
      <c r="A39" s="167" t="s">
        <v>164</v>
      </c>
      <c r="B39" s="167" t="s">
        <v>155</v>
      </c>
      <c r="C39" s="167" t="s">
        <v>160</v>
      </c>
      <c r="D39" s="167" t="s">
        <v>166</v>
      </c>
      <c r="E39" s="167" t="s">
        <v>93</v>
      </c>
      <c r="F39" s="167" t="str">
        <f>INDEX('Rate Design (Consol)'!$B$48:$B$66,MATCH('Bill Impact Detail'!G39,'Rate Design (Consol)'!$C$48:$C$66,0))</f>
        <v>GS-2</v>
      </c>
      <c r="G39" s="167" t="s">
        <v>12</v>
      </c>
      <c r="H39" s="167" t="str">
        <f>INDEX('Rate Design (Consol)'!$D$48:$D$66,MATCH('Bill Impact Detail'!I39,'Rate Design (Consol)'!$E$48:$E$66,0))</f>
        <v>GS-2</v>
      </c>
      <c r="I39" s="167" t="str">
        <f t="shared" si="5"/>
        <v>General Service - 2</v>
      </c>
      <c r="J39" s="167" t="str">
        <f>VLOOKUP(I39,'Rate Design (Consol)'!$E$48:$F$66,2,FALSE)</f>
        <v>&gt; 1000 &lt; = 5,000</v>
      </c>
      <c r="K39" s="169" t="str">
        <f t="shared" si="6"/>
        <v>FPUC-FPUC - General Transportation Service -1-GS-2</v>
      </c>
      <c r="L39" s="169">
        <v>6</v>
      </c>
      <c r="M39" s="169" t="s">
        <v>257</v>
      </c>
      <c r="N39" s="138">
        <f>VLOOKUP(K39,'G2-8 Summary'!J:O,6,FALSE)</f>
        <v>2619</v>
      </c>
      <c r="O39" s="63">
        <f>INDEX('G2-8 Summary'!S:S,MATCH('Bill Impact Detail'!K39,'G2-8 Summary'!J:J,0))</f>
        <v>20</v>
      </c>
      <c r="P39" s="63">
        <f>SUMIFS('Rate Design (Consol)'!K:K,'Rate Design (Consol)'!A:A,M39,'Rate Design (Consol)'!D:D,H39)</f>
        <v>70</v>
      </c>
      <c r="Q39" s="63"/>
      <c r="R39" s="142">
        <f t="shared" si="8"/>
        <v>0.62101999999999991</v>
      </c>
      <c r="S39" s="141">
        <f>INDEX('G2-8 Summary'!V:V,MATCH('Bill Impact Detail'!K39,'G2-8 Summary'!J:J,0))</f>
        <v>0.39135999999999999</v>
      </c>
      <c r="T39" s="141">
        <f>SUMIFS('Rate Design (Consol)'!L:L,'Rate Design (Consol)'!A:A,M39,'Rate Design (Consol)'!D:D,H39)</f>
        <v>0.69901999999999997</v>
      </c>
      <c r="U39" s="141"/>
      <c r="W39" s="64">
        <f>VLOOKUP($K39,'G2-8 Summary'!$J:$AA,15,FALSE)</f>
        <v>0.22965999999999998</v>
      </c>
      <c r="X39" s="64"/>
      <c r="Y39" s="64"/>
      <c r="Z39" s="64"/>
      <c r="AB39" s="63">
        <f t="shared" si="9"/>
        <v>240</v>
      </c>
      <c r="AC39" s="63">
        <f t="shared" si="10"/>
        <v>1024.9718399999999</v>
      </c>
      <c r="AD39" s="63">
        <f t="shared" si="11"/>
        <v>601.47953999999993</v>
      </c>
      <c r="AE39" s="63">
        <f t="shared" si="12"/>
        <v>0</v>
      </c>
      <c r="AF39" s="63">
        <f t="shared" si="13"/>
        <v>0</v>
      </c>
      <c r="AG39" s="63">
        <f t="shared" si="14"/>
        <v>0</v>
      </c>
      <c r="AH39" s="202">
        <f t="shared" si="15"/>
        <v>1866.45138</v>
      </c>
      <c r="AI39" s="138"/>
      <c r="AJ39" s="63">
        <f t="shared" si="16"/>
        <v>840</v>
      </c>
      <c r="AK39" s="63">
        <f t="shared" si="17"/>
        <v>1830.7333799999999</v>
      </c>
      <c r="AL39" s="63"/>
      <c r="AM39" s="63">
        <f t="shared" si="18"/>
        <v>0</v>
      </c>
      <c r="AN39" s="63">
        <f t="shared" si="19"/>
        <v>0</v>
      </c>
      <c r="AO39" s="63">
        <f t="shared" si="20"/>
        <v>0</v>
      </c>
      <c r="AP39" s="202">
        <f t="shared" ref="AP39:AP98" si="23">SUM(AJ39:AO39)</f>
        <v>2670.7333799999997</v>
      </c>
      <c r="AQ39" s="63">
        <f t="shared" ref="AQ39:AQ71" si="24">AP39-AH39</f>
        <v>804.2819999999997</v>
      </c>
      <c r="AR39" s="157">
        <f t="shared" si="22"/>
        <v>0.43091505549959719</v>
      </c>
      <c r="AT39" s="111">
        <f>VLOOKUP(K39,'G2-8 Summary'!J:P,7,FALSE)</f>
        <v>81</v>
      </c>
      <c r="AU39" s="157">
        <f t="shared" ref="AU39:AU70" si="25">AT39/SUMIFS(AT:AT,G:G,G39,M:M,M39)</f>
        <v>3.2740501212611156E-2</v>
      </c>
      <c r="AW39" s="138">
        <f t="shared" ref="AW39:AW70" si="26">ROUND(AQ39*AU39,2)</f>
        <v>26.33</v>
      </c>
      <c r="AX39" s="139">
        <f t="shared" ref="AX39:AX70" si="27">ROUND(AR39*AU39,4)</f>
        <v>1.41E-2</v>
      </c>
      <c r="BC39" s="109"/>
    </row>
    <row r="40" spans="1:55" s="167" customFormat="1" x14ac:dyDescent="0.25">
      <c r="A40" s="167" t="s">
        <v>164</v>
      </c>
      <c r="B40" s="167" t="s">
        <v>155</v>
      </c>
      <c r="C40" s="167" t="s">
        <v>160</v>
      </c>
      <c r="D40" s="167" t="s">
        <v>166</v>
      </c>
      <c r="E40" s="167" t="s">
        <v>93</v>
      </c>
      <c r="F40" s="167" t="str">
        <f>INDEX('Rate Design (Consol)'!$B$48:$B$66,MATCH('Bill Impact Detail'!G40,'Rate Design (Consol)'!$C$48:$C$66,0))</f>
        <v>GS-3</v>
      </c>
      <c r="G40" s="167" t="s">
        <v>13</v>
      </c>
      <c r="H40" s="167" t="str">
        <f>INDEX('Rate Design (Consol)'!$D$48:$D$66,MATCH('Bill Impact Detail'!I40,'Rate Design (Consol)'!$E$48:$E$66,0))</f>
        <v>GS-3</v>
      </c>
      <c r="I40" s="167" t="str">
        <f t="shared" si="5"/>
        <v>General Service - 3</v>
      </c>
      <c r="J40" s="167" t="str">
        <f>VLOOKUP(I40,'Rate Design (Consol)'!$E$48:$F$66,2,FALSE)</f>
        <v>&gt; 5,000 &lt; = 10,000</v>
      </c>
      <c r="K40" s="169" t="str">
        <f t="shared" si="6"/>
        <v>FPUC-FPUC - General Transportation Service -1-GS-3</v>
      </c>
      <c r="L40" s="169">
        <v>7</v>
      </c>
      <c r="M40" s="169" t="s">
        <v>257</v>
      </c>
      <c r="N40" s="138">
        <f>VLOOKUP(K40,'G2-8 Summary'!J:O,6,FALSE)</f>
        <v>6093</v>
      </c>
      <c r="O40" s="63">
        <f>INDEX('G2-8 Summary'!S:S,MATCH('Bill Impact Detail'!K40,'G2-8 Summary'!J:J,0))</f>
        <v>20</v>
      </c>
      <c r="P40" s="63">
        <f>SUMIFS('Rate Design (Consol)'!K:K,'Rate Design (Consol)'!A:A,M40,'Rate Design (Consol)'!D:D,H40)</f>
        <v>150</v>
      </c>
      <c r="Q40" s="63"/>
      <c r="R40" s="142">
        <f t="shared" si="8"/>
        <v>0.62101999999999991</v>
      </c>
      <c r="S40" s="141">
        <f>INDEX('G2-8 Summary'!V:V,MATCH('Bill Impact Detail'!K40,'G2-8 Summary'!J:J,0))</f>
        <v>0.39135999999999999</v>
      </c>
      <c r="T40" s="141">
        <f>SUMIFS('Rate Design (Consol)'!L:L,'Rate Design (Consol)'!A:A,M40,'Rate Design (Consol)'!D:D,H40)</f>
        <v>0.62475000000000003</v>
      </c>
      <c r="U40" s="141"/>
      <c r="W40" s="64">
        <f>VLOOKUP($K40,'G2-8 Summary'!$J:$AA,15,FALSE)</f>
        <v>0.22965999999999998</v>
      </c>
      <c r="X40" s="64"/>
      <c r="Y40" s="64"/>
      <c r="Z40" s="64"/>
      <c r="AB40" s="63">
        <f t="shared" si="9"/>
        <v>240</v>
      </c>
      <c r="AC40" s="63">
        <f t="shared" si="10"/>
        <v>2384.5564799999997</v>
      </c>
      <c r="AD40" s="63">
        <f t="shared" si="11"/>
        <v>1399.3183799999999</v>
      </c>
      <c r="AE40" s="63">
        <f t="shared" si="12"/>
        <v>0</v>
      </c>
      <c r="AF40" s="63">
        <f t="shared" si="13"/>
        <v>0</v>
      </c>
      <c r="AG40" s="63">
        <f t="shared" si="14"/>
        <v>0</v>
      </c>
      <c r="AH40" s="202">
        <f t="shared" si="15"/>
        <v>4023.8748599999999</v>
      </c>
      <c r="AI40" s="138"/>
      <c r="AJ40" s="63">
        <f t="shared" si="16"/>
        <v>1800</v>
      </c>
      <c r="AK40" s="63">
        <f t="shared" si="17"/>
        <v>3806.6017500000003</v>
      </c>
      <c r="AL40" s="63"/>
      <c r="AM40" s="63">
        <f t="shared" si="18"/>
        <v>0</v>
      </c>
      <c r="AN40" s="63">
        <f t="shared" si="19"/>
        <v>0</v>
      </c>
      <c r="AO40" s="63">
        <f t="shared" si="20"/>
        <v>0</v>
      </c>
      <c r="AP40" s="202">
        <f t="shared" si="23"/>
        <v>5606.6017499999998</v>
      </c>
      <c r="AQ40" s="63">
        <f t="shared" si="24"/>
        <v>1582.7268899999999</v>
      </c>
      <c r="AR40" s="157">
        <f t="shared" si="22"/>
        <v>0.39333402381206256</v>
      </c>
      <c r="AT40" s="111">
        <f>VLOOKUP(K40,'G2-8 Summary'!J:P,7,FALSE)</f>
        <v>44</v>
      </c>
      <c r="AU40" s="157">
        <f t="shared" si="25"/>
        <v>2.7482823235477825E-2</v>
      </c>
      <c r="AW40" s="138">
        <f t="shared" si="26"/>
        <v>43.5</v>
      </c>
      <c r="AX40" s="139">
        <f t="shared" si="27"/>
        <v>1.0800000000000001E-2</v>
      </c>
      <c r="BC40" s="109"/>
    </row>
    <row r="41" spans="1:55" s="167" customFormat="1" x14ac:dyDescent="0.25">
      <c r="A41" s="167" t="s">
        <v>164</v>
      </c>
      <c r="B41" s="167" t="s">
        <v>155</v>
      </c>
      <c r="C41" s="167" t="s">
        <v>160</v>
      </c>
      <c r="D41" s="167" t="s">
        <v>166</v>
      </c>
      <c r="E41" s="167" t="s">
        <v>93</v>
      </c>
      <c r="F41" s="167" t="str">
        <f>INDEX('Rate Design (Consol)'!$B$48:$B$66,MATCH('Bill Impact Detail'!G41,'Rate Design (Consol)'!$C$48:$C$66,0))</f>
        <v>GS-4</v>
      </c>
      <c r="G41" s="167" t="s">
        <v>14</v>
      </c>
      <c r="H41" s="167" t="str">
        <f>INDEX('Rate Design (Consol)'!$D$48:$D$66,MATCH('Bill Impact Detail'!I41,'Rate Design (Consol)'!$E$48:$E$66,0))</f>
        <v>GS-4</v>
      </c>
      <c r="I41" s="167" t="str">
        <f t="shared" si="5"/>
        <v>General Service - 4</v>
      </c>
      <c r="J41" s="167" t="str">
        <f>VLOOKUP(I41,'Rate Design (Consol)'!$E$48:$F$66,2,FALSE)</f>
        <v>&gt; 10,000 &lt; = 50,000</v>
      </c>
      <c r="K41" s="169" t="str">
        <f t="shared" si="6"/>
        <v>FPUC-FPUC - General Transportation Service -1-GS-4</v>
      </c>
      <c r="L41" s="169">
        <v>8</v>
      </c>
      <c r="M41" s="169" t="s">
        <v>257</v>
      </c>
      <c r="N41" s="138">
        <f>VLOOKUP(K41,'G2-8 Summary'!J:O,6,FALSE)</f>
        <v>14459</v>
      </c>
      <c r="O41" s="63">
        <f>INDEX('G2-8 Summary'!S:S,MATCH('Bill Impact Detail'!K41,'G2-8 Summary'!J:J,0))</f>
        <v>20</v>
      </c>
      <c r="P41" s="63">
        <f>SUMIFS('Rate Design (Consol)'!K:K,'Rate Design (Consol)'!A:A,M41,'Rate Design (Consol)'!D:D,H41)</f>
        <v>275</v>
      </c>
      <c r="Q41" s="63"/>
      <c r="R41" s="142">
        <f t="shared" si="8"/>
        <v>0.62101999999999991</v>
      </c>
      <c r="S41" s="141">
        <f>INDEX('G2-8 Summary'!V:V,MATCH('Bill Impact Detail'!K41,'G2-8 Summary'!J:J,0))</f>
        <v>0.39135999999999999</v>
      </c>
      <c r="T41" s="141">
        <f>SUMIFS('Rate Design (Consol)'!L:L,'Rate Design (Consol)'!A:A,M41,'Rate Design (Consol)'!D:D,H41)</f>
        <v>0.59182999999999997</v>
      </c>
      <c r="U41" s="141"/>
      <c r="W41" s="64">
        <f>VLOOKUP($K41,'G2-8 Summary'!$J:$AA,15,FALSE)</f>
        <v>0.22965999999999998</v>
      </c>
      <c r="X41" s="64"/>
      <c r="Y41" s="64"/>
      <c r="Z41" s="64"/>
      <c r="AB41" s="63">
        <f t="shared" si="9"/>
        <v>240</v>
      </c>
      <c r="AC41" s="63">
        <f t="shared" si="10"/>
        <v>5658.6742399999994</v>
      </c>
      <c r="AD41" s="63">
        <f t="shared" si="11"/>
        <v>3320.6539399999997</v>
      </c>
      <c r="AE41" s="63">
        <f t="shared" si="12"/>
        <v>0</v>
      </c>
      <c r="AF41" s="63">
        <f t="shared" si="13"/>
        <v>0</v>
      </c>
      <c r="AG41" s="63">
        <f t="shared" si="14"/>
        <v>0</v>
      </c>
      <c r="AH41" s="202">
        <f t="shared" si="15"/>
        <v>9219.3281799999986</v>
      </c>
      <c r="AI41" s="138"/>
      <c r="AJ41" s="63">
        <f t="shared" si="16"/>
        <v>3300</v>
      </c>
      <c r="AK41" s="63">
        <f t="shared" si="17"/>
        <v>8557.2699699999994</v>
      </c>
      <c r="AL41" s="63"/>
      <c r="AM41" s="63">
        <f t="shared" si="18"/>
        <v>0</v>
      </c>
      <c r="AN41" s="63">
        <f t="shared" si="19"/>
        <v>0</v>
      </c>
      <c r="AO41" s="63">
        <f t="shared" si="20"/>
        <v>0</v>
      </c>
      <c r="AP41" s="202">
        <f t="shared" si="23"/>
        <v>11857.269969999999</v>
      </c>
      <c r="AQ41" s="63">
        <f t="shared" si="24"/>
        <v>2637.9417900000008</v>
      </c>
      <c r="AR41" s="157">
        <f t="shared" si="22"/>
        <v>0.28613167234057624</v>
      </c>
      <c r="AT41" s="111">
        <f>VLOOKUP(K41,'G2-8 Summary'!J:P,7,FALSE)</f>
        <v>15</v>
      </c>
      <c r="AU41" s="157">
        <f t="shared" si="25"/>
        <v>1.0752688172043012E-2</v>
      </c>
      <c r="AW41" s="138">
        <f t="shared" si="26"/>
        <v>28.36</v>
      </c>
      <c r="AX41" s="139">
        <f t="shared" si="27"/>
        <v>3.0999999999999999E-3</v>
      </c>
      <c r="BC41" s="109"/>
    </row>
    <row r="42" spans="1:55" s="167" customFormat="1" x14ac:dyDescent="0.25">
      <c r="A42" s="167" t="s">
        <v>164</v>
      </c>
      <c r="B42" s="167" t="s">
        <v>155</v>
      </c>
      <c r="C42" s="167" t="s">
        <v>160</v>
      </c>
      <c r="D42" s="167" t="s">
        <v>166</v>
      </c>
      <c r="E42" s="167" t="s">
        <v>93</v>
      </c>
      <c r="F42" s="167" t="str">
        <f>INDEX('Rate Design (Consol)'!$B$48:$B$66,MATCH('Bill Impact Detail'!G42,'Rate Design (Consol)'!$C$48:$C$66,0))</f>
        <v>GS-1</v>
      </c>
      <c r="G42" s="167" t="s">
        <v>11</v>
      </c>
      <c r="H42" s="167" t="str">
        <f>INDEX('Rate Design (Consol)'!$D$48:$D$66,MATCH('Bill Impact Detail'!I42,'Rate Design (Consol)'!$E$48:$E$66,0))</f>
        <v>GS-1</v>
      </c>
      <c r="I42" s="167" t="str">
        <f t="shared" si="5"/>
        <v>General Service - 1</v>
      </c>
      <c r="J42" s="167" t="str">
        <f>VLOOKUP(I42,'Rate Design (Consol)'!$E$48:$F$66,2,FALSE)</f>
        <v>&lt; = 1000</v>
      </c>
      <c r="K42" s="169" t="str">
        <f t="shared" si="6"/>
        <v>FPUC-FPUC - General Transportation Service -1-GS-1</v>
      </c>
      <c r="L42" s="169">
        <v>5</v>
      </c>
      <c r="M42" s="169" t="s">
        <v>257</v>
      </c>
      <c r="N42" s="138">
        <f>VLOOKUP(K42,'G2-8 Summary'!J:O,6,FALSE)</f>
        <v>243</v>
      </c>
      <c r="O42" s="63">
        <f>INDEX('G2-8 Summary'!S:S,MATCH('Bill Impact Detail'!K42,'G2-8 Summary'!J:J,0))</f>
        <v>20</v>
      </c>
      <c r="P42" s="63">
        <f>SUMIFS('Rate Design (Consol)'!K:K,'Rate Design (Consol)'!A:A,M42,'Rate Design (Consol)'!D:D,H42)</f>
        <v>40</v>
      </c>
      <c r="Q42" s="63"/>
      <c r="R42" s="142">
        <f t="shared" si="8"/>
        <v>0.62101999999999991</v>
      </c>
      <c r="S42" s="141">
        <f>INDEX('G2-8 Summary'!V:V,MATCH('Bill Impact Detail'!K42,'G2-8 Summary'!J:J,0))</f>
        <v>0.39135999999999999</v>
      </c>
      <c r="T42" s="141">
        <f>SUMIFS('Rate Design (Consol)'!L:L,'Rate Design (Consol)'!A:A,M42,'Rate Design (Consol)'!D:D,H42)</f>
        <v>0.70123999999999997</v>
      </c>
      <c r="U42" s="141"/>
      <c r="W42" s="64">
        <f>VLOOKUP($K42,'G2-8 Summary'!$J:$AA,15,FALSE)</f>
        <v>0.22965999999999998</v>
      </c>
      <c r="X42" s="64"/>
      <c r="Y42" s="64"/>
      <c r="Z42" s="64"/>
      <c r="AB42" s="63">
        <f t="shared" si="9"/>
        <v>240</v>
      </c>
      <c r="AC42" s="63">
        <f t="shared" si="10"/>
        <v>95.10047999999999</v>
      </c>
      <c r="AD42" s="63">
        <f t="shared" si="11"/>
        <v>55.807379999999995</v>
      </c>
      <c r="AE42" s="63">
        <f t="shared" si="12"/>
        <v>0</v>
      </c>
      <c r="AF42" s="63">
        <f t="shared" si="13"/>
        <v>0</v>
      </c>
      <c r="AG42" s="63">
        <f t="shared" si="14"/>
        <v>0</v>
      </c>
      <c r="AH42" s="202">
        <f t="shared" si="15"/>
        <v>390.90786000000003</v>
      </c>
      <c r="AI42" s="138"/>
      <c r="AJ42" s="63">
        <f t="shared" si="16"/>
        <v>480</v>
      </c>
      <c r="AK42" s="63">
        <f t="shared" si="17"/>
        <v>170.40132</v>
      </c>
      <c r="AL42" s="63"/>
      <c r="AM42" s="63">
        <f t="shared" si="18"/>
        <v>0</v>
      </c>
      <c r="AN42" s="63">
        <f t="shared" si="19"/>
        <v>0</v>
      </c>
      <c r="AO42" s="63">
        <f t="shared" si="20"/>
        <v>0</v>
      </c>
      <c r="AP42" s="202">
        <f t="shared" si="23"/>
        <v>650.40131999999994</v>
      </c>
      <c r="AQ42" s="63">
        <f t="shared" si="24"/>
        <v>259.49345999999991</v>
      </c>
      <c r="AR42" s="157">
        <f t="shared" si="22"/>
        <v>0.66382256933897388</v>
      </c>
      <c r="AT42" s="111">
        <f>VLOOKUP(K42,'G2-8 Summary'!J:P,7,FALSE)</f>
        <v>64</v>
      </c>
      <c r="AU42" s="157">
        <f t="shared" si="25"/>
        <v>3.0146019783325484E-2</v>
      </c>
      <c r="AW42" s="138">
        <f t="shared" si="26"/>
        <v>7.82</v>
      </c>
      <c r="AX42" s="139">
        <f t="shared" si="27"/>
        <v>0.02</v>
      </c>
      <c r="BC42" s="109"/>
    </row>
    <row r="43" spans="1:55" s="167" customFormat="1" x14ac:dyDescent="0.25">
      <c r="A43" s="167" t="s">
        <v>164</v>
      </c>
      <c r="B43" s="167" t="s">
        <v>155</v>
      </c>
      <c r="C43" s="167" t="s">
        <v>168</v>
      </c>
      <c r="D43" s="167" t="s">
        <v>166</v>
      </c>
      <c r="E43" s="167" t="s">
        <v>94</v>
      </c>
      <c r="F43" s="167" t="str">
        <f>INDEX('Rate Design (Consol)'!$B$48:$B$66,MATCH('Bill Impact Detail'!G43,'Rate Design (Consol)'!$C$48:$C$66,0))</f>
        <v>GS-2</v>
      </c>
      <c r="G43" s="167" t="s">
        <v>12</v>
      </c>
      <c r="H43" s="167" t="str">
        <f>INDEX('Rate Design (Consol)'!$D$48:$D$66,MATCH('Bill Impact Detail'!I43,'Rate Design (Consol)'!$E$48:$E$66,0))</f>
        <v>GS-2</v>
      </c>
      <c r="I43" s="167" t="str">
        <f t="shared" si="5"/>
        <v>General Service - 2</v>
      </c>
      <c r="J43" s="167" t="str">
        <f>VLOOKUP(I43,'Rate Design (Consol)'!$E$48:$F$66,2,FALSE)</f>
        <v>&gt; 1000 &lt; = 5,000</v>
      </c>
      <c r="K43" s="169" t="str">
        <f t="shared" si="6"/>
        <v>FPUC-FPUC - General Transportation Service-2-GS-2</v>
      </c>
      <c r="L43" s="169">
        <v>6</v>
      </c>
      <c r="M43" s="169" t="s">
        <v>257</v>
      </c>
      <c r="N43" s="138">
        <f>VLOOKUP(K43,'G2-8 Summary'!J:O,6,FALSE)</f>
        <v>3744</v>
      </c>
      <c r="O43" s="63">
        <f>INDEX('G2-8 Summary'!S:S,MATCH('Bill Impact Detail'!K43,'G2-8 Summary'!J:J,0))</f>
        <v>33</v>
      </c>
      <c r="P43" s="63">
        <f>SUMIFS('Rate Design (Consol)'!K:K,'Rate Design (Consol)'!A:A,M43,'Rate Design (Consol)'!D:D,H43)</f>
        <v>70</v>
      </c>
      <c r="Q43" s="63"/>
      <c r="R43" s="142">
        <f t="shared" si="8"/>
        <v>0.62102000000000002</v>
      </c>
      <c r="S43" s="141">
        <f>INDEX('G2-8 Summary'!V:V,MATCH('Bill Impact Detail'!K43,'G2-8 Summary'!J:J,0))</f>
        <v>0.39135999999999999</v>
      </c>
      <c r="T43" s="141">
        <f>SUMIFS('Rate Design (Consol)'!L:L,'Rate Design (Consol)'!A:A,M43,'Rate Design (Consol)'!D:D,H43)</f>
        <v>0.69901999999999997</v>
      </c>
      <c r="U43" s="141"/>
      <c r="W43" s="64">
        <f>VLOOKUP($K43,'G2-8 Summary'!$J:$AA,15,FALSE)</f>
        <v>0.22966</v>
      </c>
      <c r="X43" s="64"/>
      <c r="Y43" s="64"/>
      <c r="Z43" s="64"/>
      <c r="AB43" s="63">
        <f t="shared" si="9"/>
        <v>396</v>
      </c>
      <c r="AC43" s="63">
        <f t="shared" si="10"/>
        <v>1465.2518399999999</v>
      </c>
      <c r="AD43" s="63">
        <f t="shared" si="11"/>
        <v>859.84703999999999</v>
      </c>
      <c r="AE43" s="63">
        <f t="shared" si="12"/>
        <v>0</v>
      </c>
      <c r="AF43" s="63">
        <f t="shared" si="13"/>
        <v>0</v>
      </c>
      <c r="AG43" s="63">
        <f t="shared" si="14"/>
        <v>0</v>
      </c>
      <c r="AH43" s="202">
        <f t="shared" si="15"/>
        <v>2721.09888</v>
      </c>
      <c r="AI43" s="138"/>
      <c r="AJ43" s="63">
        <f t="shared" si="16"/>
        <v>840</v>
      </c>
      <c r="AK43" s="63">
        <f t="shared" si="17"/>
        <v>2617.1308799999997</v>
      </c>
      <c r="AL43" s="63"/>
      <c r="AM43" s="63">
        <f t="shared" si="18"/>
        <v>0</v>
      </c>
      <c r="AN43" s="63">
        <f t="shared" si="19"/>
        <v>0</v>
      </c>
      <c r="AO43" s="63">
        <f t="shared" si="20"/>
        <v>0</v>
      </c>
      <c r="AP43" s="202">
        <f t="shared" si="23"/>
        <v>3457.1308799999997</v>
      </c>
      <c r="AQ43" s="63">
        <f t="shared" si="24"/>
        <v>736.0319999999997</v>
      </c>
      <c r="AR43" s="157">
        <f t="shared" si="22"/>
        <v>0.27049072174841354</v>
      </c>
      <c r="AT43" s="111">
        <f>VLOOKUP(K43,'G2-8 Summary'!J:P,7,FALSE)</f>
        <v>429</v>
      </c>
      <c r="AU43" s="157">
        <f t="shared" si="25"/>
        <v>0.17340339531123686</v>
      </c>
      <c r="AW43" s="138">
        <f t="shared" si="26"/>
        <v>127.63</v>
      </c>
      <c r="AX43" s="139">
        <f t="shared" si="27"/>
        <v>4.6899999999999997E-2</v>
      </c>
      <c r="BC43" s="109"/>
    </row>
    <row r="44" spans="1:55" s="167" customFormat="1" x14ac:dyDescent="0.25">
      <c r="A44" s="167" t="s">
        <v>164</v>
      </c>
      <c r="B44" s="167" t="s">
        <v>155</v>
      </c>
      <c r="C44" s="167" t="s">
        <v>168</v>
      </c>
      <c r="D44" s="167" t="s">
        <v>166</v>
      </c>
      <c r="E44" s="167" t="s">
        <v>94</v>
      </c>
      <c r="F44" s="167" t="str">
        <f>INDEX('Rate Design (Consol)'!$B$48:$B$66,MATCH('Bill Impact Detail'!G44,'Rate Design (Consol)'!$C$48:$C$66,0))</f>
        <v>GS-3</v>
      </c>
      <c r="G44" s="167" t="s">
        <v>13</v>
      </c>
      <c r="H44" s="167" t="str">
        <f>INDEX('Rate Design (Consol)'!$D$48:$D$66,MATCH('Bill Impact Detail'!I44,'Rate Design (Consol)'!$E$48:$E$66,0))</f>
        <v>GS-3</v>
      </c>
      <c r="I44" s="167" t="str">
        <f t="shared" si="5"/>
        <v>General Service - 3</v>
      </c>
      <c r="J44" s="167" t="str">
        <f>VLOOKUP(I44,'Rate Design (Consol)'!$E$48:$F$66,2,FALSE)</f>
        <v>&gt; 5,000 &lt; = 10,000</v>
      </c>
      <c r="K44" s="169" t="str">
        <f t="shared" si="6"/>
        <v>FPUC-FPUC - General Transportation Service-2-GS-3</v>
      </c>
      <c r="L44" s="169">
        <v>7</v>
      </c>
      <c r="M44" s="169" t="s">
        <v>257</v>
      </c>
      <c r="N44" s="138">
        <f>VLOOKUP(K44,'G2-8 Summary'!J:O,6,FALSE)</f>
        <v>8043</v>
      </c>
      <c r="O44" s="63">
        <f>INDEX('G2-8 Summary'!S:S,MATCH('Bill Impact Detail'!K44,'G2-8 Summary'!J:J,0))</f>
        <v>33</v>
      </c>
      <c r="P44" s="63">
        <f>SUMIFS('Rate Design (Consol)'!K:K,'Rate Design (Consol)'!A:A,M44,'Rate Design (Consol)'!D:D,H44)</f>
        <v>150</v>
      </c>
      <c r="Q44" s="63"/>
      <c r="R44" s="142">
        <f t="shared" si="8"/>
        <v>0.62102000000000002</v>
      </c>
      <c r="S44" s="141">
        <f>INDEX('G2-8 Summary'!V:V,MATCH('Bill Impact Detail'!K44,'G2-8 Summary'!J:J,0))</f>
        <v>0.39135999999999999</v>
      </c>
      <c r="T44" s="141">
        <f>SUMIFS('Rate Design (Consol)'!L:L,'Rate Design (Consol)'!A:A,M44,'Rate Design (Consol)'!D:D,H44)</f>
        <v>0.62475000000000003</v>
      </c>
      <c r="U44" s="141"/>
      <c r="W44" s="64">
        <f>VLOOKUP($K44,'G2-8 Summary'!$J:$AA,15,FALSE)</f>
        <v>0.22966</v>
      </c>
      <c r="X44" s="64"/>
      <c r="Y44" s="64"/>
      <c r="Z44" s="64"/>
      <c r="AB44" s="63">
        <f t="shared" si="9"/>
        <v>396</v>
      </c>
      <c r="AC44" s="63">
        <f t="shared" si="10"/>
        <v>3147.7084799999998</v>
      </c>
      <c r="AD44" s="63">
        <f t="shared" si="11"/>
        <v>1847.1553799999999</v>
      </c>
      <c r="AE44" s="63">
        <f t="shared" si="12"/>
        <v>0</v>
      </c>
      <c r="AF44" s="63">
        <f t="shared" si="13"/>
        <v>0</v>
      </c>
      <c r="AG44" s="63">
        <f t="shared" si="14"/>
        <v>0</v>
      </c>
      <c r="AH44" s="202">
        <f t="shared" si="15"/>
        <v>5390.8638599999995</v>
      </c>
      <c r="AI44" s="138"/>
      <c r="AJ44" s="63">
        <f t="shared" si="16"/>
        <v>1800</v>
      </c>
      <c r="AK44" s="63">
        <f t="shared" si="17"/>
        <v>5024.8642500000005</v>
      </c>
      <c r="AL44" s="63"/>
      <c r="AM44" s="63">
        <f t="shared" si="18"/>
        <v>0</v>
      </c>
      <c r="AN44" s="63">
        <f t="shared" si="19"/>
        <v>0</v>
      </c>
      <c r="AO44" s="63">
        <f t="shared" si="20"/>
        <v>0</v>
      </c>
      <c r="AP44" s="202">
        <f t="shared" si="23"/>
        <v>6824.8642500000005</v>
      </c>
      <c r="AQ44" s="63">
        <f t="shared" si="24"/>
        <v>1434.0003900000011</v>
      </c>
      <c r="AR44" s="157">
        <f t="shared" si="22"/>
        <v>0.26600567687123916</v>
      </c>
      <c r="AT44" s="111">
        <f>VLOOKUP(K44,'G2-8 Summary'!J:P,7,FALSE)</f>
        <v>276</v>
      </c>
      <c r="AU44" s="157">
        <f t="shared" si="25"/>
        <v>0.17239225484072454</v>
      </c>
      <c r="AW44" s="138">
        <f t="shared" si="26"/>
        <v>247.21</v>
      </c>
      <c r="AX44" s="139">
        <f t="shared" si="27"/>
        <v>4.5900000000000003E-2</v>
      </c>
      <c r="BC44" s="109"/>
    </row>
    <row r="45" spans="1:55" s="167" customFormat="1" x14ac:dyDescent="0.25">
      <c r="A45" s="167" t="s">
        <v>164</v>
      </c>
      <c r="B45" s="167" t="s">
        <v>155</v>
      </c>
      <c r="C45" s="167" t="s">
        <v>168</v>
      </c>
      <c r="D45" s="167" t="s">
        <v>166</v>
      </c>
      <c r="E45" s="167" t="s">
        <v>94</v>
      </c>
      <c r="F45" s="167" t="str">
        <f>INDEX('Rate Design (Consol)'!$B$48:$B$66,MATCH('Bill Impact Detail'!G45,'Rate Design (Consol)'!$C$48:$C$66,0))</f>
        <v>GS-4</v>
      </c>
      <c r="G45" s="167" t="s">
        <v>14</v>
      </c>
      <c r="H45" s="167" t="str">
        <f>INDEX('Rate Design (Consol)'!$D$48:$D$66,MATCH('Bill Impact Detail'!I45,'Rate Design (Consol)'!$E$48:$E$66,0))</f>
        <v>GS-4</v>
      </c>
      <c r="I45" s="167" t="str">
        <f t="shared" si="5"/>
        <v>General Service - 4</v>
      </c>
      <c r="J45" s="167" t="str">
        <f>VLOOKUP(I45,'Rate Design (Consol)'!$E$48:$F$66,2,FALSE)</f>
        <v>&gt; 10,000 &lt; = 50,000</v>
      </c>
      <c r="K45" s="169" t="str">
        <f t="shared" si="6"/>
        <v>FPUC-FPUC - General Transportation Service-2-GS-4</v>
      </c>
      <c r="L45" s="169">
        <v>8</v>
      </c>
      <c r="M45" s="169" t="s">
        <v>257</v>
      </c>
      <c r="N45" s="138">
        <f>VLOOKUP(K45,'G2-8 Summary'!J:O,6,FALSE)</f>
        <v>17354</v>
      </c>
      <c r="O45" s="63">
        <f>INDEX('G2-8 Summary'!S:S,MATCH('Bill Impact Detail'!K45,'G2-8 Summary'!J:J,0))</f>
        <v>33</v>
      </c>
      <c r="P45" s="63">
        <f>SUMIFS('Rate Design (Consol)'!K:K,'Rate Design (Consol)'!A:A,M45,'Rate Design (Consol)'!D:D,H45)</f>
        <v>275</v>
      </c>
      <c r="Q45" s="63"/>
      <c r="R45" s="142">
        <f t="shared" si="8"/>
        <v>0.62102000000000002</v>
      </c>
      <c r="S45" s="141">
        <f>INDEX('G2-8 Summary'!V:V,MATCH('Bill Impact Detail'!K45,'G2-8 Summary'!J:J,0))</f>
        <v>0.39135999999999999</v>
      </c>
      <c r="T45" s="141">
        <f>SUMIFS('Rate Design (Consol)'!L:L,'Rate Design (Consol)'!A:A,M45,'Rate Design (Consol)'!D:D,H45)</f>
        <v>0.59182999999999997</v>
      </c>
      <c r="U45" s="141"/>
      <c r="W45" s="64">
        <f>VLOOKUP($K45,'G2-8 Summary'!$J:$AA,15,FALSE)</f>
        <v>0.22966</v>
      </c>
      <c r="X45" s="64"/>
      <c r="Y45" s="64"/>
      <c r="Z45" s="64"/>
      <c r="AB45" s="63">
        <f t="shared" si="9"/>
        <v>396</v>
      </c>
      <c r="AC45" s="63">
        <f t="shared" si="10"/>
        <v>6791.6614399999999</v>
      </c>
      <c r="AD45" s="63">
        <f t="shared" si="11"/>
        <v>3985.51964</v>
      </c>
      <c r="AE45" s="63">
        <f t="shared" si="12"/>
        <v>0</v>
      </c>
      <c r="AF45" s="63">
        <f t="shared" si="13"/>
        <v>0</v>
      </c>
      <c r="AG45" s="63">
        <f t="shared" si="14"/>
        <v>0</v>
      </c>
      <c r="AH45" s="202">
        <f t="shared" si="15"/>
        <v>11173.18108</v>
      </c>
      <c r="AI45" s="138"/>
      <c r="AJ45" s="63">
        <f t="shared" si="16"/>
        <v>3300</v>
      </c>
      <c r="AK45" s="63">
        <f t="shared" si="17"/>
        <v>10270.617819999999</v>
      </c>
      <c r="AL45" s="63"/>
      <c r="AM45" s="63">
        <f t="shared" si="18"/>
        <v>0</v>
      </c>
      <c r="AN45" s="63">
        <f t="shared" si="19"/>
        <v>0</v>
      </c>
      <c r="AO45" s="63">
        <f t="shared" si="20"/>
        <v>0</v>
      </c>
      <c r="AP45" s="202">
        <f t="shared" si="23"/>
        <v>13570.617819999999</v>
      </c>
      <c r="AQ45" s="63">
        <f t="shared" si="24"/>
        <v>2397.4367399999992</v>
      </c>
      <c r="AR45" s="157">
        <f t="shared" si="22"/>
        <v>0.21457065117215474</v>
      </c>
      <c r="AT45" s="111">
        <f>VLOOKUP(K45,'G2-8 Summary'!J:P,7,FALSE)</f>
        <v>99</v>
      </c>
      <c r="AU45" s="157">
        <f t="shared" si="25"/>
        <v>7.0967741935483872E-2</v>
      </c>
      <c r="AW45" s="138">
        <f t="shared" si="26"/>
        <v>170.14</v>
      </c>
      <c r="AX45" s="139">
        <f t="shared" si="27"/>
        <v>1.52E-2</v>
      </c>
      <c r="BC45" s="109"/>
    </row>
    <row r="46" spans="1:55" s="167" customFormat="1" x14ac:dyDescent="0.25">
      <c r="A46" s="167" t="s">
        <v>164</v>
      </c>
      <c r="B46" s="167" t="s">
        <v>155</v>
      </c>
      <c r="C46" s="167" t="s">
        <v>168</v>
      </c>
      <c r="D46" s="167" t="s">
        <v>166</v>
      </c>
      <c r="E46" s="167" t="s">
        <v>94</v>
      </c>
      <c r="F46" s="167" t="str">
        <f>INDEX('Rate Design (Consol)'!$B$48:$B$66,MATCH('Bill Impact Detail'!G46,'Rate Design (Consol)'!$C$48:$C$66,0))</f>
        <v>GS-5</v>
      </c>
      <c r="G46" s="167" t="s">
        <v>15</v>
      </c>
      <c r="H46" s="167" t="str">
        <f>INDEX('Rate Design (Consol)'!$D$48:$D$66,MATCH('Bill Impact Detail'!I46,'Rate Design (Consol)'!$E$48:$E$66,0))</f>
        <v>GS-5</v>
      </c>
      <c r="I46" s="167" t="str">
        <f t="shared" si="5"/>
        <v>General Service - 5</v>
      </c>
      <c r="J46" s="167" t="str">
        <f>VLOOKUP(I46,'Rate Design (Consol)'!$E$48:$F$66,2,FALSE)</f>
        <v>&gt; 50,000 &lt; = 250,000</v>
      </c>
      <c r="K46" s="169" t="str">
        <f t="shared" si="6"/>
        <v>FPUC-FPUC - General Transportation Service-2-GS-5</v>
      </c>
      <c r="L46" s="169">
        <v>9</v>
      </c>
      <c r="M46" s="169" t="s">
        <v>257</v>
      </c>
      <c r="N46" s="138">
        <f>VLOOKUP(K46,'G2-8 Summary'!J:O,6,FALSE)</f>
        <v>62299</v>
      </c>
      <c r="O46" s="63">
        <f>INDEX('G2-8 Summary'!S:S,MATCH('Bill Impact Detail'!K46,'G2-8 Summary'!J:J,0))</f>
        <v>33</v>
      </c>
      <c r="P46" s="63">
        <f>SUMIFS('Rate Design (Consol)'!K:K,'Rate Design (Consol)'!A:A,M46,'Rate Design (Consol)'!D:D,H46)</f>
        <v>750</v>
      </c>
      <c r="Q46" s="63"/>
      <c r="R46" s="142">
        <f t="shared" si="8"/>
        <v>0.62102000000000002</v>
      </c>
      <c r="S46" s="141">
        <f>INDEX('G2-8 Summary'!V:V,MATCH('Bill Impact Detail'!K46,'G2-8 Summary'!J:J,0))</f>
        <v>0.39135999999999999</v>
      </c>
      <c r="T46" s="141">
        <f>SUMIFS('Rate Design (Consol)'!L:L,'Rate Design (Consol)'!A:A,M46,'Rate Design (Consol)'!D:D,H46)</f>
        <v>0.52</v>
      </c>
      <c r="U46" s="141"/>
      <c r="W46" s="64">
        <f>VLOOKUP($K46,'G2-8 Summary'!$J:$AA,15,FALSE)</f>
        <v>0.22966</v>
      </c>
      <c r="X46" s="64"/>
      <c r="Y46" s="64"/>
      <c r="Z46" s="64"/>
      <c r="AB46" s="63">
        <f t="shared" si="9"/>
        <v>396</v>
      </c>
      <c r="AC46" s="63">
        <f t="shared" si="10"/>
        <v>24381.336639999998</v>
      </c>
      <c r="AD46" s="63">
        <f t="shared" si="11"/>
        <v>14307.58834</v>
      </c>
      <c r="AE46" s="63">
        <f t="shared" si="12"/>
        <v>0</v>
      </c>
      <c r="AF46" s="63">
        <f t="shared" si="13"/>
        <v>0</v>
      </c>
      <c r="AG46" s="63">
        <f t="shared" si="14"/>
        <v>0</v>
      </c>
      <c r="AH46" s="202">
        <f t="shared" si="15"/>
        <v>39084.924979999996</v>
      </c>
      <c r="AI46" s="138"/>
      <c r="AJ46" s="63">
        <f t="shared" si="16"/>
        <v>9000</v>
      </c>
      <c r="AK46" s="63">
        <f t="shared" si="17"/>
        <v>32395.48</v>
      </c>
      <c r="AL46" s="63"/>
      <c r="AM46" s="63">
        <f t="shared" si="18"/>
        <v>0</v>
      </c>
      <c r="AN46" s="63">
        <f t="shared" si="19"/>
        <v>0</v>
      </c>
      <c r="AO46" s="63">
        <f t="shared" si="20"/>
        <v>0</v>
      </c>
      <c r="AP46" s="202">
        <f t="shared" si="23"/>
        <v>41395.479999999996</v>
      </c>
      <c r="AQ46" s="63">
        <f t="shared" si="24"/>
        <v>2310.5550199999998</v>
      </c>
      <c r="AR46" s="157">
        <f t="shared" si="22"/>
        <v>5.9116271073369732E-2</v>
      </c>
      <c r="AT46" s="111">
        <f>VLOOKUP(K46,'G2-8 Summary'!J:P,7,FALSE)</f>
        <v>2</v>
      </c>
      <c r="AU46" s="157">
        <f t="shared" si="25"/>
        <v>1.7699115044247787E-2</v>
      </c>
      <c r="AW46" s="138">
        <f t="shared" si="26"/>
        <v>40.89</v>
      </c>
      <c r="AX46" s="139">
        <f t="shared" si="27"/>
        <v>1E-3</v>
      </c>
      <c r="BC46" s="109"/>
    </row>
    <row r="47" spans="1:55" s="167" customFormat="1" x14ac:dyDescent="0.25">
      <c r="A47" s="167" t="s">
        <v>164</v>
      </c>
      <c r="B47" s="167" t="s">
        <v>155</v>
      </c>
      <c r="C47" s="167" t="s">
        <v>168</v>
      </c>
      <c r="D47" s="167" t="s">
        <v>166</v>
      </c>
      <c r="E47" s="167" t="s">
        <v>94</v>
      </c>
      <c r="F47" s="167" t="str">
        <f>INDEX('Rate Design (Consol)'!$B$48:$B$66,MATCH('Bill Impact Detail'!G47,'Rate Design (Consol)'!$C$48:$C$66,0))</f>
        <v>GS-1</v>
      </c>
      <c r="G47" s="167" t="s">
        <v>11</v>
      </c>
      <c r="H47" s="167" t="str">
        <f>INDEX('Rate Design (Consol)'!$D$48:$D$66,MATCH('Bill Impact Detail'!I47,'Rate Design (Consol)'!$E$48:$E$66,0))</f>
        <v>GS-1</v>
      </c>
      <c r="I47" s="167" t="str">
        <f t="shared" si="5"/>
        <v>General Service - 1</v>
      </c>
      <c r="J47" s="167" t="str">
        <f>VLOOKUP(I47,'Rate Design (Consol)'!$E$48:$F$66,2,FALSE)</f>
        <v>&lt; = 1000</v>
      </c>
      <c r="K47" s="169" t="str">
        <f t="shared" si="6"/>
        <v>FPUC-FPUC - General Transportation Service-2-GS-1</v>
      </c>
      <c r="L47" s="169">
        <v>5</v>
      </c>
      <c r="M47" s="169" t="s">
        <v>257</v>
      </c>
      <c r="N47" s="138">
        <f>VLOOKUP(K47,'G2-8 Summary'!J:O,6,FALSE)</f>
        <v>528</v>
      </c>
      <c r="O47" s="63">
        <f>INDEX('G2-8 Summary'!S:S,MATCH('Bill Impact Detail'!K47,'G2-8 Summary'!J:J,0))</f>
        <v>33</v>
      </c>
      <c r="P47" s="63">
        <f>SUMIFS('Rate Design (Consol)'!K:K,'Rate Design (Consol)'!A:A,M47,'Rate Design (Consol)'!D:D,H47)</f>
        <v>40</v>
      </c>
      <c r="Q47" s="63"/>
      <c r="R47" s="142">
        <f t="shared" si="8"/>
        <v>0.62102000000000002</v>
      </c>
      <c r="S47" s="141">
        <f>INDEX('G2-8 Summary'!V:V,MATCH('Bill Impact Detail'!K47,'G2-8 Summary'!J:J,0))</f>
        <v>0.39135999999999999</v>
      </c>
      <c r="T47" s="141">
        <f>SUMIFS('Rate Design (Consol)'!L:L,'Rate Design (Consol)'!A:A,M47,'Rate Design (Consol)'!D:D,H47)</f>
        <v>0.70123999999999997</v>
      </c>
      <c r="U47" s="141"/>
      <c r="W47" s="64">
        <f>VLOOKUP($K47,'G2-8 Summary'!$J:$AA,15,FALSE)</f>
        <v>0.22966</v>
      </c>
      <c r="X47" s="64"/>
      <c r="Y47" s="64"/>
      <c r="Z47" s="64"/>
      <c r="AB47" s="63">
        <f t="shared" si="9"/>
        <v>396</v>
      </c>
      <c r="AC47" s="63">
        <f t="shared" si="10"/>
        <v>206.63808</v>
      </c>
      <c r="AD47" s="63">
        <f t="shared" si="11"/>
        <v>121.26048</v>
      </c>
      <c r="AE47" s="63">
        <f t="shared" si="12"/>
        <v>0</v>
      </c>
      <c r="AF47" s="63">
        <f t="shared" si="13"/>
        <v>0</v>
      </c>
      <c r="AG47" s="63">
        <f t="shared" si="14"/>
        <v>0</v>
      </c>
      <c r="AH47" s="202">
        <f t="shared" si="15"/>
        <v>723.89855999999997</v>
      </c>
      <c r="AI47" s="138"/>
      <c r="AJ47" s="63">
        <f t="shared" si="16"/>
        <v>480</v>
      </c>
      <c r="AK47" s="63">
        <f t="shared" si="17"/>
        <v>370.25471999999996</v>
      </c>
      <c r="AL47" s="63"/>
      <c r="AM47" s="63">
        <f t="shared" si="18"/>
        <v>0</v>
      </c>
      <c r="AN47" s="63">
        <f t="shared" si="19"/>
        <v>0</v>
      </c>
      <c r="AO47" s="63">
        <f t="shared" si="20"/>
        <v>0</v>
      </c>
      <c r="AP47" s="202">
        <f t="shared" si="23"/>
        <v>850.25471999999991</v>
      </c>
      <c r="AQ47" s="63">
        <f t="shared" si="24"/>
        <v>126.35615999999993</v>
      </c>
      <c r="AR47" s="157">
        <f t="shared" si="22"/>
        <v>0.17454953909564336</v>
      </c>
      <c r="AT47" s="111">
        <f>VLOOKUP(K47,'G2-8 Summary'!J:P,7,FALSE)</f>
        <v>66</v>
      </c>
      <c r="AU47" s="157">
        <f t="shared" si="25"/>
        <v>3.1088082901554404E-2</v>
      </c>
      <c r="AW47" s="138">
        <f t="shared" si="26"/>
        <v>3.93</v>
      </c>
      <c r="AX47" s="139">
        <f t="shared" si="27"/>
        <v>5.4000000000000003E-3</v>
      </c>
      <c r="BC47" s="109"/>
    </row>
    <row r="48" spans="1:55" s="167" customFormat="1" x14ac:dyDescent="0.25">
      <c r="A48" s="167" t="s">
        <v>164</v>
      </c>
      <c r="B48" s="167" t="s">
        <v>155</v>
      </c>
      <c r="C48" s="167" t="s">
        <v>169</v>
      </c>
      <c r="D48" s="167" t="s">
        <v>166</v>
      </c>
      <c r="E48" s="167" t="s">
        <v>117</v>
      </c>
      <c r="F48" s="167" t="str">
        <f>INDEX('Rate Design (Consol)'!$B$48:$B$66,MATCH('Bill Impact Detail'!G48,'Rate Design (Consol)'!$C$48:$C$66,0))</f>
        <v>COM - INT</v>
      </c>
      <c r="G48" s="167" t="s">
        <v>18</v>
      </c>
      <c r="H48" s="167" t="str">
        <f>INDEX('Rate Design (Consol)'!$D$48:$D$66,MATCH('Bill Impact Detail'!I48,'Rate Design (Consol)'!$E$48:$E$66,0))</f>
        <v>COM - INT</v>
      </c>
      <c r="I48" s="167" t="str">
        <f t="shared" si="5"/>
        <v>Commercial - Interruptible</v>
      </c>
      <c r="J48" s="167" t="str">
        <f>VLOOKUP(I48,'Rate Design (Consol)'!$E$48:$F$66,2,FALSE)</f>
        <v>&gt; 100,000</v>
      </c>
      <c r="K48" s="169" t="str">
        <f t="shared" si="6"/>
        <v>FPUC-FPUC - Interruptible Transportation Service (ITS)-COM - INT</v>
      </c>
      <c r="L48" s="169">
        <v>13</v>
      </c>
      <c r="M48" s="169" t="s">
        <v>257</v>
      </c>
      <c r="N48" s="138">
        <f>VLOOKUP(K48,'G2-8 Summary'!J:O,6,FALSE)</f>
        <v>558968</v>
      </c>
      <c r="O48" s="63">
        <f>INDEX('G2-8 Summary'!S:S,MATCH('Bill Impact Detail'!K48,'G2-8 Summary'!J:J,0))</f>
        <v>280</v>
      </c>
      <c r="P48" s="63">
        <f>SUMIFS('Rate Design (Consol)'!K:K,'Rate Design (Consol)'!A:A,M48,'Rate Design (Consol)'!D:D,H48)</f>
        <v>750</v>
      </c>
      <c r="Q48" s="63"/>
      <c r="R48" s="142">
        <f t="shared" si="8"/>
        <v>0.32616000000000001</v>
      </c>
      <c r="S48" s="141">
        <f>INDEX('G2-8 Summary'!V:V,MATCH('Bill Impact Detail'!K48,'G2-8 Summary'!J:J,0))</f>
        <v>0.23080000000000001</v>
      </c>
      <c r="T48" s="141">
        <f>SUMIFS('Rate Design (Consol)'!L:L,'Rate Design (Consol)'!A:A,M48,'Rate Design (Consol)'!D:D,H48)</f>
        <v>0.36749999999999999</v>
      </c>
      <c r="U48" s="141"/>
      <c r="W48" s="64">
        <f>VLOOKUP($K48,'G2-8 Summary'!$J:$AA,15,FALSE)</f>
        <v>9.536E-2</v>
      </c>
      <c r="X48" s="64"/>
      <c r="Y48" s="64"/>
      <c r="Z48" s="64"/>
      <c r="AB48" s="63">
        <f t="shared" si="9"/>
        <v>3360</v>
      </c>
      <c r="AC48" s="63">
        <f t="shared" si="10"/>
        <v>129009.8144</v>
      </c>
      <c r="AD48" s="63">
        <f t="shared" si="11"/>
        <v>53303.188479999997</v>
      </c>
      <c r="AE48" s="63">
        <f t="shared" si="12"/>
        <v>0</v>
      </c>
      <c r="AF48" s="63">
        <f t="shared" si="13"/>
        <v>0</v>
      </c>
      <c r="AG48" s="63">
        <f t="shared" si="14"/>
        <v>0</v>
      </c>
      <c r="AH48" s="202">
        <f t="shared" si="15"/>
        <v>185673.00287999999</v>
      </c>
      <c r="AI48" s="138"/>
      <c r="AJ48" s="63">
        <f t="shared" si="16"/>
        <v>9000</v>
      </c>
      <c r="AK48" s="63">
        <f t="shared" si="17"/>
        <v>205420.74</v>
      </c>
      <c r="AL48" s="63"/>
      <c r="AM48" s="63">
        <f t="shared" si="18"/>
        <v>0</v>
      </c>
      <c r="AN48" s="63">
        <f t="shared" si="19"/>
        <v>0</v>
      </c>
      <c r="AO48" s="63">
        <f t="shared" si="20"/>
        <v>0</v>
      </c>
      <c r="AP48" s="202">
        <f t="shared" si="23"/>
        <v>214420.74</v>
      </c>
      <c r="AQ48" s="63">
        <f t="shared" si="24"/>
        <v>28747.737120000005</v>
      </c>
      <c r="AR48" s="157">
        <f t="shared" si="22"/>
        <v>0.15482992505151436</v>
      </c>
      <c r="AT48" s="111">
        <f>VLOOKUP(K48,'G2-8 Summary'!J:P,7,FALSE)</f>
        <v>17</v>
      </c>
      <c r="AU48" s="157">
        <f t="shared" si="25"/>
        <v>1</v>
      </c>
      <c r="AW48" s="138">
        <f t="shared" si="26"/>
        <v>28747.74</v>
      </c>
      <c r="AX48" s="139">
        <f t="shared" si="27"/>
        <v>0.15479999999999999</v>
      </c>
      <c r="BC48" s="109"/>
    </row>
    <row r="49" spans="1:55" s="167" customFormat="1" x14ac:dyDescent="0.25">
      <c r="A49" s="167" t="s">
        <v>164</v>
      </c>
      <c r="B49" s="167" t="s">
        <v>155</v>
      </c>
      <c r="C49" s="167" t="s">
        <v>169</v>
      </c>
      <c r="D49" s="167" t="s">
        <v>166</v>
      </c>
      <c r="E49" s="167" t="s">
        <v>117</v>
      </c>
      <c r="F49" s="167" t="str">
        <f>INDEX('Rate Design (Consol)'!$B$48:$B$66,MATCH('Bill Impact Detail'!G49,'Rate Design (Consol)'!$C$48:$C$66,0))</f>
        <v>GS-4</v>
      </c>
      <c r="G49" s="167" t="s">
        <v>14</v>
      </c>
      <c r="H49" s="167" t="str">
        <f>INDEX('Rate Design (Consol)'!$D$48:$D$66,MATCH('Bill Impact Detail'!I49,'Rate Design (Consol)'!$E$48:$E$66,0))</f>
        <v>GS-4</v>
      </c>
      <c r="I49" s="167" t="str">
        <f t="shared" si="5"/>
        <v>General Service - 4</v>
      </c>
      <c r="J49" s="167" t="str">
        <f>VLOOKUP(I49,'Rate Design (Consol)'!$E$48:$F$66,2,FALSE)</f>
        <v>&gt; 10,000 &lt; = 50,000</v>
      </c>
      <c r="K49" s="169" t="str">
        <f t="shared" si="6"/>
        <v>FPUC-FPUC - Interruptible Transportation Service (ITS)-GS-4</v>
      </c>
      <c r="L49" s="169">
        <v>8</v>
      </c>
      <c r="M49" s="169" t="s">
        <v>257</v>
      </c>
      <c r="N49" s="138">
        <f>VLOOKUP(K49,'G2-8 Summary'!J:O,6,FALSE)</f>
        <v>43262</v>
      </c>
      <c r="O49" s="63">
        <f>INDEX('G2-8 Summary'!S:S,MATCH('Bill Impact Detail'!K49,'G2-8 Summary'!J:J,0))</f>
        <v>280</v>
      </c>
      <c r="P49" s="63">
        <f>SUMIFS('Rate Design (Consol)'!K:K,'Rate Design (Consol)'!A:A,M49,'Rate Design (Consol)'!D:D,H49)</f>
        <v>275</v>
      </c>
      <c r="Q49" s="63"/>
      <c r="R49" s="142">
        <f t="shared" si="8"/>
        <v>0.32616000000000001</v>
      </c>
      <c r="S49" s="141">
        <f>INDEX('G2-8 Summary'!V:V,MATCH('Bill Impact Detail'!K49,'G2-8 Summary'!J:J,0))</f>
        <v>0.23080000000000001</v>
      </c>
      <c r="T49" s="141">
        <f>SUMIFS('Rate Design (Consol)'!L:L,'Rate Design (Consol)'!A:A,M49,'Rate Design (Consol)'!D:D,H49)</f>
        <v>0.59182999999999997</v>
      </c>
      <c r="U49" s="141"/>
      <c r="W49" s="64">
        <f>VLOOKUP($K49,'G2-8 Summary'!$J:$AA,15,FALSE)</f>
        <v>9.536E-2</v>
      </c>
      <c r="X49" s="64"/>
      <c r="Y49" s="64"/>
      <c r="Z49" s="64"/>
      <c r="AB49" s="63">
        <f t="shared" si="9"/>
        <v>3360</v>
      </c>
      <c r="AC49" s="63">
        <f t="shared" si="10"/>
        <v>9984.8696</v>
      </c>
      <c r="AD49" s="63">
        <f t="shared" si="11"/>
        <v>4125.46432</v>
      </c>
      <c r="AE49" s="63">
        <f t="shared" si="12"/>
        <v>0</v>
      </c>
      <c r="AF49" s="63">
        <f t="shared" si="13"/>
        <v>0</v>
      </c>
      <c r="AG49" s="63">
        <f t="shared" si="14"/>
        <v>0</v>
      </c>
      <c r="AH49" s="202">
        <f t="shared" si="15"/>
        <v>17470.333920000001</v>
      </c>
      <c r="AI49" s="138"/>
      <c r="AJ49" s="63">
        <f t="shared" si="16"/>
        <v>3300</v>
      </c>
      <c r="AK49" s="63">
        <f t="shared" si="17"/>
        <v>25603.749459999999</v>
      </c>
      <c r="AL49" s="63"/>
      <c r="AM49" s="63">
        <f t="shared" si="18"/>
        <v>0</v>
      </c>
      <c r="AN49" s="63">
        <f t="shared" si="19"/>
        <v>0</v>
      </c>
      <c r="AO49" s="63">
        <f t="shared" si="20"/>
        <v>0</v>
      </c>
      <c r="AP49" s="202">
        <f t="shared" si="23"/>
        <v>28903.749459999999</v>
      </c>
      <c r="AQ49" s="63">
        <f t="shared" si="24"/>
        <v>11433.415539999998</v>
      </c>
      <c r="AR49" s="157">
        <f t="shared" si="22"/>
        <v>0.65444745317151887</v>
      </c>
      <c r="AT49" s="111">
        <f>VLOOKUP(K49,'G2-8 Summary'!J:P,7,FALSE)</f>
        <v>1</v>
      </c>
      <c r="AU49" s="157">
        <f t="shared" si="25"/>
        <v>7.1684587813620072E-4</v>
      </c>
      <c r="AW49" s="138">
        <f t="shared" si="26"/>
        <v>8.1999999999999993</v>
      </c>
      <c r="AX49" s="139">
        <f t="shared" si="27"/>
        <v>5.0000000000000001E-4</v>
      </c>
      <c r="BC49" s="109"/>
    </row>
    <row r="50" spans="1:55" s="167" customFormat="1" x14ac:dyDescent="0.25">
      <c r="A50" s="167" t="s">
        <v>164</v>
      </c>
      <c r="B50" s="167" t="s">
        <v>155</v>
      </c>
      <c r="C50" s="167" t="s">
        <v>161</v>
      </c>
      <c r="D50" s="167" t="s">
        <v>166</v>
      </c>
      <c r="E50" s="167" t="s">
        <v>91</v>
      </c>
      <c r="F50" s="167" t="str">
        <f>INDEX('Rate Design (Consol)'!$B$48:$B$66,MATCH('Bill Impact Detail'!G50,'Rate Design (Consol)'!$C$48:$C$66,0))</f>
        <v>GS-2</v>
      </c>
      <c r="G50" s="167" t="s">
        <v>12</v>
      </c>
      <c r="H50" s="167" t="str">
        <f>INDEX('Rate Design (Consol)'!$D$48:$D$66,MATCH('Bill Impact Detail'!I50,'Rate Design (Consol)'!$E$48:$E$66,0))</f>
        <v>GS-2</v>
      </c>
      <c r="I50" s="167" t="str">
        <f t="shared" si="5"/>
        <v>General Service - 2</v>
      </c>
      <c r="J50" s="167" t="str">
        <f>VLOOKUP(I50,'Rate Design (Consol)'!$E$48:$F$66,2,FALSE)</f>
        <v>&gt; 1000 &lt; = 5,000</v>
      </c>
      <c r="K50" s="169" t="str">
        <f t="shared" si="6"/>
        <v>FPUC-FPUC - Large Volume Service-GS-2</v>
      </c>
      <c r="L50" s="169">
        <v>6</v>
      </c>
      <c r="M50" s="169" t="s">
        <v>257</v>
      </c>
      <c r="N50" s="138">
        <f>VLOOKUP(K50,'G2-8 Summary'!J:O,6,FALSE)</f>
        <v>3359</v>
      </c>
      <c r="O50" s="63">
        <f>INDEX('G2-8 Summary'!S:S,MATCH('Bill Impact Detail'!K50,'G2-8 Summary'!J:J,0))</f>
        <v>90</v>
      </c>
      <c r="P50" s="63">
        <f>SUMIFS('Rate Design (Consol)'!K:K,'Rate Design (Consol)'!A:A,M50,'Rate Design (Consol)'!D:D,H50)</f>
        <v>70</v>
      </c>
      <c r="Q50" s="63"/>
      <c r="R50" s="142">
        <f t="shared" si="8"/>
        <v>0.51373999999999997</v>
      </c>
      <c r="S50" s="141">
        <f>INDEX('G2-8 Summary'!V:V,MATCH('Bill Impact Detail'!K50,'G2-8 Summary'!J:J,0))</f>
        <v>0.35365999999999997</v>
      </c>
      <c r="T50" s="141">
        <f>SUMIFS('Rate Design (Consol)'!L:L,'Rate Design (Consol)'!A:A,M50,'Rate Design (Consol)'!D:D,H50)</f>
        <v>0.69901999999999997</v>
      </c>
      <c r="U50" s="141"/>
      <c r="W50" s="64">
        <f>VLOOKUP($K50,'G2-8 Summary'!$J:$AA,15,FALSE)</f>
        <v>0.16008</v>
      </c>
      <c r="X50" s="64"/>
      <c r="Y50" s="64"/>
      <c r="Z50" s="64"/>
      <c r="AB50" s="63">
        <f t="shared" si="9"/>
        <v>1080</v>
      </c>
      <c r="AC50" s="63">
        <f t="shared" si="10"/>
        <v>1187.9439399999999</v>
      </c>
      <c r="AD50" s="63">
        <f t="shared" si="11"/>
        <v>537.70871999999997</v>
      </c>
      <c r="AE50" s="63">
        <f t="shared" si="12"/>
        <v>0</v>
      </c>
      <c r="AF50" s="63">
        <f t="shared" si="13"/>
        <v>0</v>
      </c>
      <c r="AG50" s="63">
        <f t="shared" si="14"/>
        <v>0</v>
      </c>
      <c r="AH50" s="202">
        <f t="shared" si="15"/>
        <v>2805.6526600000002</v>
      </c>
      <c r="AI50" s="138"/>
      <c r="AJ50" s="63">
        <f t="shared" si="16"/>
        <v>840</v>
      </c>
      <c r="AK50" s="63">
        <f t="shared" si="17"/>
        <v>2348.0081799999998</v>
      </c>
      <c r="AL50" s="63"/>
      <c r="AM50" s="63">
        <f t="shared" si="18"/>
        <v>0</v>
      </c>
      <c r="AN50" s="63">
        <f t="shared" si="19"/>
        <v>0</v>
      </c>
      <c r="AO50" s="63">
        <f t="shared" si="20"/>
        <v>0</v>
      </c>
      <c r="AP50" s="202">
        <f t="shared" si="23"/>
        <v>3188.0081799999998</v>
      </c>
      <c r="AQ50" s="63">
        <f t="shared" si="24"/>
        <v>382.35551999999961</v>
      </c>
      <c r="AR50" s="157">
        <f t="shared" si="22"/>
        <v>0.13628041897388665</v>
      </c>
      <c r="AT50" s="111">
        <f>VLOOKUP(K50,'G2-8 Summary'!J:P,7,FALSE)</f>
        <v>132</v>
      </c>
      <c r="AU50" s="157">
        <f t="shared" si="25"/>
        <v>5.3354890864995959E-2</v>
      </c>
      <c r="AW50" s="138">
        <f t="shared" si="26"/>
        <v>20.399999999999999</v>
      </c>
      <c r="AX50" s="139">
        <f t="shared" si="27"/>
        <v>7.3000000000000001E-3</v>
      </c>
      <c r="BC50" s="109"/>
    </row>
    <row r="51" spans="1:55" s="167" customFormat="1" x14ac:dyDescent="0.25">
      <c r="A51" s="167" t="s">
        <v>164</v>
      </c>
      <c r="B51" s="167" t="s">
        <v>155</v>
      </c>
      <c r="C51" s="167" t="s">
        <v>161</v>
      </c>
      <c r="D51" s="167" t="s">
        <v>166</v>
      </c>
      <c r="E51" s="167" t="s">
        <v>91</v>
      </c>
      <c r="F51" s="167" t="str">
        <f>INDEX('Rate Design (Consol)'!$B$48:$B$66,MATCH('Bill Impact Detail'!G51,'Rate Design (Consol)'!$C$48:$C$66,0))</f>
        <v>GS-3</v>
      </c>
      <c r="G51" s="167" t="s">
        <v>13</v>
      </c>
      <c r="H51" s="167" t="str">
        <f>INDEX('Rate Design (Consol)'!$D$48:$D$66,MATCH('Bill Impact Detail'!I51,'Rate Design (Consol)'!$E$48:$E$66,0))</f>
        <v>GS-3</v>
      </c>
      <c r="I51" s="167" t="str">
        <f t="shared" si="5"/>
        <v>General Service - 3</v>
      </c>
      <c r="J51" s="167" t="str">
        <f>VLOOKUP(I51,'Rate Design (Consol)'!$E$48:$F$66,2,FALSE)</f>
        <v>&gt; 5,000 &lt; = 10,000</v>
      </c>
      <c r="K51" s="169" t="str">
        <f t="shared" si="6"/>
        <v>FPUC-FPUC - Large Volume Service-GS-3</v>
      </c>
      <c r="L51" s="169">
        <v>7</v>
      </c>
      <c r="M51" s="169" t="s">
        <v>257</v>
      </c>
      <c r="N51" s="138">
        <f>VLOOKUP(K51,'G2-8 Summary'!J:O,6,FALSE)</f>
        <v>7671</v>
      </c>
      <c r="O51" s="63">
        <f>INDEX('G2-8 Summary'!S:S,MATCH('Bill Impact Detail'!K51,'G2-8 Summary'!J:J,0))</f>
        <v>90</v>
      </c>
      <c r="P51" s="63">
        <f>SUMIFS('Rate Design (Consol)'!K:K,'Rate Design (Consol)'!A:A,M51,'Rate Design (Consol)'!D:D,H51)</f>
        <v>150</v>
      </c>
      <c r="Q51" s="63"/>
      <c r="R51" s="142">
        <f t="shared" si="8"/>
        <v>0.51373999999999997</v>
      </c>
      <c r="S51" s="141">
        <f>INDEX('G2-8 Summary'!V:V,MATCH('Bill Impact Detail'!K51,'G2-8 Summary'!J:J,0))</f>
        <v>0.35365999999999997</v>
      </c>
      <c r="T51" s="141">
        <f>SUMIFS('Rate Design (Consol)'!L:L,'Rate Design (Consol)'!A:A,M51,'Rate Design (Consol)'!D:D,H51)</f>
        <v>0.62475000000000003</v>
      </c>
      <c r="U51" s="141"/>
      <c r="W51" s="64">
        <f>VLOOKUP($K51,'G2-8 Summary'!$J:$AA,15,FALSE)</f>
        <v>0.16008</v>
      </c>
      <c r="X51" s="64"/>
      <c r="Y51" s="64"/>
      <c r="Z51" s="64"/>
      <c r="AB51" s="63">
        <f t="shared" si="9"/>
        <v>1080</v>
      </c>
      <c r="AC51" s="63">
        <f t="shared" si="10"/>
        <v>2712.9258599999998</v>
      </c>
      <c r="AD51" s="63">
        <f t="shared" si="11"/>
        <v>1227.9736800000001</v>
      </c>
      <c r="AE51" s="63">
        <f t="shared" si="12"/>
        <v>0</v>
      </c>
      <c r="AF51" s="63">
        <f t="shared" si="13"/>
        <v>0</v>
      </c>
      <c r="AG51" s="63">
        <f t="shared" si="14"/>
        <v>0</v>
      </c>
      <c r="AH51" s="202">
        <f t="shared" si="15"/>
        <v>5020.8995400000003</v>
      </c>
      <c r="AI51" s="138"/>
      <c r="AJ51" s="63">
        <f t="shared" si="16"/>
        <v>1800</v>
      </c>
      <c r="AK51" s="63">
        <f t="shared" si="17"/>
        <v>4792.4572500000004</v>
      </c>
      <c r="AL51" s="63"/>
      <c r="AM51" s="63">
        <f t="shared" si="18"/>
        <v>0</v>
      </c>
      <c r="AN51" s="63">
        <f t="shared" si="19"/>
        <v>0</v>
      </c>
      <c r="AO51" s="63">
        <f t="shared" si="20"/>
        <v>0</v>
      </c>
      <c r="AP51" s="202">
        <f t="shared" si="23"/>
        <v>6592.4572500000004</v>
      </c>
      <c r="AQ51" s="63">
        <f t="shared" si="24"/>
        <v>1571.55771</v>
      </c>
      <c r="AR51" s="157">
        <f t="shared" si="22"/>
        <v>0.31300321734778225</v>
      </c>
      <c r="AT51" s="111">
        <f>VLOOKUP(K51,'G2-8 Summary'!J:P,7,FALSE)</f>
        <v>220</v>
      </c>
      <c r="AU51" s="157">
        <f t="shared" si="25"/>
        <v>0.13741411617738913</v>
      </c>
      <c r="AW51" s="138">
        <f t="shared" si="26"/>
        <v>215.95</v>
      </c>
      <c r="AX51" s="139">
        <f t="shared" si="27"/>
        <v>4.2999999999999997E-2</v>
      </c>
      <c r="BC51" s="109"/>
    </row>
    <row r="52" spans="1:55" s="167" customFormat="1" x14ac:dyDescent="0.25">
      <c r="A52" s="167" t="s">
        <v>164</v>
      </c>
      <c r="B52" s="167" t="s">
        <v>155</v>
      </c>
      <c r="C52" s="167" t="s">
        <v>161</v>
      </c>
      <c r="D52" s="167" t="s">
        <v>166</v>
      </c>
      <c r="E52" s="167" t="s">
        <v>91</v>
      </c>
      <c r="F52" s="167" t="str">
        <f>INDEX('Rate Design (Consol)'!$B$48:$B$66,MATCH('Bill Impact Detail'!G52,'Rate Design (Consol)'!$C$48:$C$66,0))</f>
        <v>GS-4</v>
      </c>
      <c r="G52" s="167" t="s">
        <v>14</v>
      </c>
      <c r="H52" s="167" t="str">
        <f>INDEX('Rate Design (Consol)'!$D$48:$D$66,MATCH('Bill Impact Detail'!I52,'Rate Design (Consol)'!$E$48:$E$66,0))</f>
        <v>GS-4</v>
      </c>
      <c r="I52" s="167" t="str">
        <f t="shared" si="5"/>
        <v>General Service - 4</v>
      </c>
      <c r="J52" s="167" t="str">
        <f>VLOOKUP(I52,'Rate Design (Consol)'!$E$48:$F$66,2,FALSE)</f>
        <v>&gt; 10,000 &lt; = 50,000</v>
      </c>
      <c r="K52" s="169" t="str">
        <f t="shared" si="6"/>
        <v>FPUC-FPUC - Large Volume Service-GS-4</v>
      </c>
      <c r="L52" s="169">
        <v>8</v>
      </c>
      <c r="M52" s="169" t="s">
        <v>257</v>
      </c>
      <c r="N52" s="138">
        <f>VLOOKUP(K52,'G2-8 Summary'!J:O,6,FALSE)</f>
        <v>18010</v>
      </c>
      <c r="O52" s="63">
        <f>INDEX('G2-8 Summary'!S:S,MATCH('Bill Impact Detail'!K52,'G2-8 Summary'!J:J,0))</f>
        <v>90</v>
      </c>
      <c r="P52" s="63">
        <f>SUMIFS('Rate Design (Consol)'!K:K,'Rate Design (Consol)'!A:A,M52,'Rate Design (Consol)'!D:D,H52)</f>
        <v>275</v>
      </c>
      <c r="Q52" s="63"/>
      <c r="R52" s="142">
        <f t="shared" si="8"/>
        <v>0.51373999999999997</v>
      </c>
      <c r="S52" s="141">
        <f>INDEX('G2-8 Summary'!V:V,MATCH('Bill Impact Detail'!K52,'G2-8 Summary'!J:J,0))</f>
        <v>0.35365999999999997</v>
      </c>
      <c r="T52" s="141">
        <f>SUMIFS('Rate Design (Consol)'!L:L,'Rate Design (Consol)'!A:A,M52,'Rate Design (Consol)'!D:D,H52)</f>
        <v>0.59182999999999997</v>
      </c>
      <c r="U52" s="141"/>
      <c r="W52" s="64">
        <f>VLOOKUP($K52,'G2-8 Summary'!$J:$AA,15,FALSE)</f>
        <v>0.16008</v>
      </c>
      <c r="X52" s="64"/>
      <c r="Y52" s="64"/>
      <c r="Z52" s="64"/>
      <c r="AB52" s="63">
        <f t="shared" si="9"/>
        <v>1080</v>
      </c>
      <c r="AC52" s="63">
        <f t="shared" si="10"/>
        <v>6369.4165999999996</v>
      </c>
      <c r="AD52" s="63">
        <f t="shared" si="11"/>
        <v>2883.0408000000002</v>
      </c>
      <c r="AE52" s="63">
        <f t="shared" si="12"/>
        <v>0</v>
      </c>
      <c r="AF52" s="63">
        <f t="shared" si="13"/>
        <v>0</v>
      </c>
      <c r="AG52" s="63">
        <f t="shared" si="14"/>
        <v>0</v>
      </c>
      <c r="AH52" s="202">
        <f t="shared" si="15"/>
        <v>10332.457399999999</v>
      </c>
      <c r="AI52" s="138"/>
      <c r="AJ52" s="63">
        <f t="shared" si="16"/>
        <v>3300</v>
      </c>
      <c r="AK52" s="63">
        <f t="shared" si="17"/>
        <v>10658.8583</v>
      </c>
      <c r="AL52" s="63"/>
      <c r="AM52" s="63">
        <f t="shared" si="18"/>
        <v>0</v>
      </c>
      <c r="AN52" s="63">
        <f t="shared" si="19"/>
        <v>0</v>
      </c>
      <c r="AO52" s="63">
        <f t="shared" si="20"/>
        <v>0</v>
      </c>
      <c r="AP52" s="202">
        <f t="shared" si="23"/>
        <v>13958.8583</v>
      </c>
      <c r="AQ52" s="63">
        <f t="shared" si="24"/>
        <v>3626.4009000000005</v>
      </c>
      <c r="AR52" s="157">
        <f t="shared" si="22"/>
        <v>0.35097177366538196</v>
      </c>
      <c r="AT52" s="111">
        <f>VLOOKUP(K52,'G2-8 Summary'!J:P,7,FALSE)</f>
        <v>249</v>
      </c>
      <c r="AU52" s="157">
        <f t="shared" si="25"/>
        <v>0.17849462365591398</v>
      </c>
      <c r="AW52" s="138">
        <f t="shared" si="26"/>
        <v>647.29</v>
      </c>
      <c r="AX52" s="139">
        <f t="shared" si="27"/>
        <v>6.2600000000000003E-2</v>
      </c>
      <c r="BC52" s="109"/>
    </row>
    <row r="53" spans="1:55" s="167" customFormat="1" x14ac:dyDescent="0.25">
      <c r="A53" s="167" t="s">
        <v>164</v>
      </c>
      <c r="B53" s="167" t="s">
        <v>155</v>
      </c>
      <c r="C53" s="167" t="s">
        <v>161</v>
      </c>
      <c r="D53" s="167" t="s">
        <v>166</v>
      </c>
      <c r="E53" s="167" t="s">
        <v>91</v>
      </c>
      <c r="F53" s="167" t="str">
        <f>INDEX('Rate Design (Consol)'!$B$48:$B$66,MATCH('Bill Impact Detail'!G53,'Rate Design (Consol)'!$C$48:$C$66,0))</f>
        <v>GS-5</v>
      </c>
      <c r="G53" s="167" t="s">
        <v>15</v>
      </c>
      <c r="H53" s="167" t="str">
        <f>INDEX('Rate Design (Consol)'!$D$48:$D$66,MATCH('Bill Impact Detail'!I53,'Rate Design (Consol)'!$E$48:$E$66,0))</f>
        <v>GS-5</v>
      </c>
      <c r="I53" s="167" t="str">
        <f t="shared" si="5"/>
        <v>General Service - 5</v>
      </c>
      <c r="J53" s="167" t="str">
        <f>VLOOKUP(I53,'Rate Design (Consol)'!$E$48:$F$66,2,FALSE)</f>
        <v>&gt; 50,000 &lt; = 250,000</v>
      </c>
      <c r="K53" s="169" t="str">
        <f t="shared" si="6"/>
        <v>FPUC-FPUC - Large Volume Service-GS-5</v>
      </c>
      <c r="L53" s="169">
        <v>9</v>
      </c>
      <c r="M53" s="169" t="s">
        <v>257</v>
      </c>
      <c r="N53" s="138">
        <f>VLOOKUP(K53,'G2-8 Summary'!J:O,6,FALSE)</f>
        <v>114592</v>
      </c>
      <c r="O53" s="63">
        <f>INDEX('G2-8 Summary'!S:S,MATCH('Bill Impact Detail'!K53,'G2-8 Summary'!J:J,0))</f>
        <v>90</v>
      </c>
      <c r="P53" s="63">
        <f>SUMIFS('Rate Design (Consol)'!K:K,'Rate Design (Consol)'!A:A,M53,'Rate Design (Consol)'!D:D,H53)</f>
        <v>750</v>
      </c>
      <c r="Q53" s="63"/>
      <c r="R53" s="142">
        <f t="shared" si="8"/>
        <v>0.51373999999999997</v>
      </c>
      <c r="S53" s="141">
        <f>INDEX('G2-8 Summary'!V:V,MATCH('Bill Impact Detail'!K53,'G2-8 Summary'!J:J,0))</f>
        <v>0.35365999999999997</v>
      </c>
      <c r="T53" s="141">
        <f>SUMIFS('Rate Design (Consol)'!L:L,'Rate Design (Consol)'!A:A,M53,'Rate Design (Consol)'!D:D,H53)</f>
        <v>0.52</v>
      </c>
      <c r="U53" s="141"/>
      <c r="W53" s="64">
        <f>VLOOKUP($K53,'G2-8 Summary'!$J:$AA,15,FALSE)</f>
        <v>0.16008</v>
      </c>
      <c r="X53" s="64"/>
      <c r="Y53" s="64"/>
      <c r="Z53" s="64"/>
      <c r="AB53" s="63">
        <f t="shared" si="9"/>
        <v>1080</v>
      </c>
      <c r="AC53" s="63">
        <f t="shared" si="10"/>
        <v>40526.606719999996</v>
      </c>
      <c r="AD53" s="63">
        <f t="shared" si="11"/>
        <v>18343.887360000001</v>
      </c>
      <c r="AE53" s="63">
        <f t="shared" si="12"/>
        <v>0</v>
      </c>
      <c r="AF53" s="63">
        <f t="shared" si="13"/>
        <v>0</v>
      </c>
      <c r="AG53" s="63">
        <f t="shared" si="14"/>
        <v>0</v>
      </c>
      <c r="AH53" s="202">
        <f t="shared" si="15"/>
        <v>59950.494079999997</v>
      </c>
      <c r="AI53" s="138"/>
      <c r="AJ53" s="63">
        <f t="shared" si="16"/>
        <v>9000</v>
      </c>
      <c r="AK53" s="63">
        <f t="shared" si="17"/>
        <v>59587.840000000004</v>
      </c>
      <c r="AL53" s="63"/>
      <c r="AM53" s="63">
        <f t="shared" si="18"/>
        <v>0</v>
      </c>
      <c r="AN53" s="63">
        <f t="shared" si="19"/>
        <v>0</v>
      </c>
      <c r="AO53" s="63">
        <f t="shared" si="20"/>
        <v>0</v>
      </c>
      <c r="AP53" s="202">
        <f t="shared" si="23"/>
        <v>68587.839999999997</v>
      </c>
      <c r="AQ53" s="63">
        <f t="shared" si="24"/>
        <v>8637.3459199999998</v>
      </c>
      <c r="AR53" s="157">
        <f t="shared" si="22"/>
        <v>0.14407464112762822</v>
      </c>
      <c r="AT53" s="111">
        <f>VLOOKUP(K53,'G2-8 Summary'!J:P,7,FALSE)</f>
        <v>7</v>
      </c>
      <c r="AU53" s="157">
        <f t="shared" si="25"/>
        <v>6.1946902654867256E-2</v>
      </c>
      <c r="AW53" s="138">
        <f t="shared" si="26"/>
        <v>535.05999999999995</v>
      </c>
      <c r="AX53" s="139">
        <f t="shared" si="27"/>
        <v>8.8999999999999999E-3</v>
      </c>
      <c r="BC53" s="109"/>
    </row>
    <row r="54" spans="1:55" s="167" customFormat="1" x14ac:dyDescent="0.25">
      <c r="A54" s="167" t="s">
        <v>164</v>
      </c>
      <c r="B54" s="167" t="s">
        <v>155</v>
      </c>
      <c r="C54" s="167" t="s">
        <v>161</v>
      </c>
      <c r="D54" s="167" t="s">
        <v>166</v>
      </c>
      <c r="E54" s="167" t="s">
        <v>91</v>
      </c>
      <c r="F54" s="167" t="str">
        <f>INDEX('Rate Design (Consol)'!$B$48:$B$66,MATCH('Bill Impact Detail'!G54,'Rate Design (Consol)'!$C$48:$C$66,0))</f>
        <v>GS-6</v>
      </c>
      <c r="G54" s="167" t="s">
        <v>16</v>
      </c>
      <c r="H54" s="167" t="str">
        <f>INDEX('Rate Design (Consol)'!$D$48:$D$66,MATCH('Bill Impact Detail'!I54,'Rate Design (Consol)'!$E$48:$E$66,0))</f>
        <v>GS-6</v>
      </c>
      <c r="I54" s="167" t="str">
        <f t="shared" si="5"/>
        <v>General Service - 6</v>
      </c>
      <c r="J54" s="167" t="str">
        <f>VLOOKUP(I54,'Rate Design (Consol)'!$E$48:$F$66,2,FALSE)</f>
        <v>&gt; 250,000 &lt; = 500,000</v>
      </c>
      <c r="K54" s="169" t="str">
        <f t="shared" si="6"/>
        <v>FPUC-FPUC - Large Volume Service-GS-6</v>
      </c>
      <c r="L54" s="169">
        <v>10</v>
      </c>
      <c r="M54" s="169" t="s">
        <v>257</v>
      </c>
      <c r="N54" s="138">
        <f>VLOOKUP(K54,'G2-8 Summary'!J:O,6,FALSE)</f>
        <v>327522</v>
      </c>
      <c r="O54" s="63">
        <f>INDEX('G2-8 Summary'!S:S,MATCH('Bill Impact Detail'!K54,'G2-8 Summary'!J:J,0))</f>
        <v>90</v>
      </c>
      <c r="P54" s="63">
        <f>SUMIFS('Rate Design (Consol)'!K:K,'Rate Design (Consol)'!A:A,M54,'Rate Design (Consol)'!D:D,H54)</f>
        <v>2500</v>
      </c>
      <c r="Q54" s="63"/>
      <c r="R54" s="142">
        <f t="shared" si="8"/>
        <v>0.51373999999999997</v>
      </c>
      <c r="S54" s="141">
        <f>INDEX('G2-8 Summary'!V:V,MATCH('Bill Impact Detail'!K54,'G2-8 Summary'!J:J,0))</f>
        <v>0.35365999999999997</v>
      </c>
      <c r="T54" s="141">
        <f>SUMIFS('Rate Design (Consol)'!L:L,'Rate Design (Consol)'!A:A,M54,'Rate Design (Consol)'!D:D,H54)</f>
        <v>0.49419000000000002</v>
      </c>
      <c r="U54" s="141"/>
      <c r="W54" s="64">
        <f>VLOOKUP($K54,'G2-8 Summary'!$J:$AA,15,FALSE)</f>
        <v>0.16008</v>
      </c>
      <c r="X54" s="64"/>
      <c r="Y54" s="64"/>
      <c r="Z54" s="64"/>
      <c r="AB54" s="63">
        <f t="shared" si="9"/>
        <v>1080</v>
      </c>
      <c r="AC54" s="63">
        <f t="shared" si="10"/>
        <v>115831.43051999999</v>
      </c>
      <c r="AD54" s="63">
        <f t="shared" si="11"/>
        <v>52429.72176</v>
      </c>
      <c r="AE54" s="63">
        <f t="shared" si="12"/>
        <v>0</v>
      </c>
      <c r="AF54" s="63">
        <f t="shared" si="13"/>
        <v>0</v>
      </c>
      <c r="AG54" s="63">
        <f t="shared" si="14"/>
        <v>0</v>
      </c>
      <c r="AH54" s="202">
        <f t="shared" si="15"/>
        <v>169341.15227999998</v>
      </c>
      <c r="AI54" s="138"/>
      <c r="AJ54" s="63">
        <f t="shared" si="16"/>
        <v>30000</v>
      </c>
      <c r="AK54" s="63">
        <f t="shared" si="17"/>
        <v>161858.09718000001</v>
      </c>
      <c r="AL54" s="63"/>
      <c r="AM54" s="63">
        <f t="shared" si="18"/>
        <v>0</v>
      </c>
      <c r="AN54" s="63">
        <f t="shared" si="19"/>
        <v>0</v>
      </c>
      <c r="AO54" s="63">
        <f t="shared" si="20"/>
        <v>0</v>
      </c>
      <c r="AP54" s="202">
        <f t="shared" si="23"/>
        <v>191858.09718000001</v>
      </c>
      <c r="AQ54" s="63">
        <f t="shared" si="24"/>
        <v>22516.944900000031</v>
      </c>
      <c r="AR54" s="157">
        <f t="shared" si="22"/>
        <v>0.13296794427599623</v>
      </c>
      <c r="AT54" s="111">
        <f>VLOOKUP(K54,'G2-8 Summary'!J:P,7,FALSE)</f>
        <v>2</v>
      </c>
      <c r="AU54" s="157">
        <f t="shared" si="25"/>
        <v>5.8823529411764705E-2</v>
      </c>
      <c r="AW54" s="138">
        <f t="shared" si="26"/>
        <v>1324.53</v>
      </c>
      <c r="AX54" s="139">
        <f t="shared" si="27"/>
        <v>7.7999999999999996E-3</v>
      </c>
      <c r="BC54" s="109"/>
    </row>
    <row r="55" spans="1:55" s="167" customFormat="1" x14ac:dyDescent="0.25">
      <c r="A55" s="167" t="s">
        <v>164</v>
      </c>
      <c r="B55" s="167" t="s">
        <v>155</v>
      </c>
      <c r="C55" s="167" t="s">
        <v>161</v>
      </c>
      <c r="D55" s="167" t="s">
        <v>166</v>
      </c>
      <c r="E55" s="167" t="s">
        <v>91</v>
      </c>
      <c r="F55" s="167" t="str">
        <f>INDEX('Rate Design (Consol)'!$B$48:$B$66,MATCH('Bill Impact Detail'!G55,'Rate Design (Consol)'!$C$48:$C$66,0))</f>
        <v>GS-1</v>
      </c>
      <c r="G55" s="167" t="s">
        <v>11</v>
      </c>
      <c r="H55" s="167" t="str">
        <f>INDEX('Rate Design (Consol)'!$D$48:$D$66,MATCH('Bill Impact Detail'!I55,'Rate Design (Consol)'!$E$48:$E$66,0))</f>
        <v>GS-1</v>
      </c>
      <c r="I55" s="167" t="str">
        <f t="shared" si="5"/>
        <v>General Service - 1</v>
      </c>
      <c r="J55" s="167" t="str">
        <f>VLOOKUP(I55,'Rate Design (Consol)'!$E$48:$F$66,2,FALSE)</f>
        <v>&lt; = 1000</v>
      </c>
      <c r="K55" s="169" t="str">
        <f t="shared" si="6"/>
        <v>FPUC-FPUC - Large Volume Service-GS-1</v>
      </c>
      <c r="L55" s="169">
        <v>5</v>
      </c>
      <c r="M55" s="169" t="s">
        <v>257</v>
      </c>
      <c r="N55" s="138">
        <f>VLOOKUP(K55,'G2-8 Summary'!J:O,6,FALSE)</f>
        <v>398</v>
      </c>
      <c r="O55" s="63">
        <f>INDEX('G2-8 Summary'!S:S,MATCH('Bill Impact Detail'!K55,'G2-8 Summary'!J:J,0))</f>
        <v>90</v>
      </c>
      <c r="P55" s="63">
        <f>SUMIFS('Rate Design (Consol)'!K:K,'Rate Design (Consol)'!A:A,M55,'Rate Design (Consol)'!D:D,H55)</f>
        <v>40</v>
      </c>
      <c r="Q55" s="63"/>
      <c r="R55" s="142">
        <f t="shared" si="8"/>
        <v>0.51373999999999997</v>
      </c>
      <c r="S55" s="141">
        <f>INDEX('G2-8 Summary'!V:V,MATCH('Bill Impact Detail'!K55,'G2-8 Summary'!J:J,0))</f>
        <v>0.35365999999999997</v>
      </c>
      <c r="T55" s="141">
        <f>SUMIFS('Rate Design (Consol)'!L:L,'Rate Design (Consol)'!A:A,M55,'Rate Design (Consol)'!D:D,H55)</f>
        <v>0.70123999999999997</v>
      </c>
      <c r="U55" s="141"/>
      <c r="W55" s="64">
        <f>VLOOKUP($K55,'G2-8 Summary'!$J:$AA,15,FALSE)</f>
        <v>0.16008</v>
      </c>
      <c r="X55" s="64"/>
      <c r="Y55" s="64"/>
      <c r="Z55" s="64"/>
      <c r="AB55" s="63">
        <f t="shared" si="9"/>
        <v>1080</v>
      </c>
      <c r="AC55" s="63">
        <f t="shared" si="10"/>
        <v>140.75667999999999</v>
      </c>
      <c r="AD55" s="63">
        <f t="shared" si="11"/>
        <v>63.711840000000002</v>
      </c>
      <c r="AE55" s="63">
        <f t="shared" si="12"/>
        <v>0</v>
      </c>
      <c r="AF55" s="63">
        <f t="shared" si="13"/>
        <v>0</v>
      </c>
      <c r="AG55" s="63">
        <f t="shared" si="14"/>
        <v>0</v>
      </c>
      <c r="AH55" s="202">
        <f t="shared" si="15"/>
        <v>1284.4685199999999</v>
      </c>
      <c r="AI55" s="138"/>
      <c r="AJ55" s="63">
        <f t="shared" si="16"/>
        <v>480</v>
      </c>
      <c r="AK55" s="63">
        <f t="shared" si="17"/>
        <v>279.09352000000001</v>
      </c>
      <c r="AL55" s="63"/>
      <c r="AM55" s="63">
        <f t="shared" si="18"/>
        <v>0</v>
      </c>
      <c r="AN55" s="63">
        <f t="shared" si="19"/>
        <v>0</v>
      </c>
      <c r="AO55" s="63">
        <f t="shared" si="20"/>
        <v>0</v>
      </c>
      <c r="AP55" s="202">
        <f t="shared" si="23"/>
        <v>759.09352000000001</v>
      </c>
      <c r="AQ55" s="63">
        <f t="shared" si="24"/>
        <v>-525.37499999999989</v>
      </c>
      <c r="AR55" s="157">
        <f t="shared" si="22"/>
        <v>-0.40902131256591634</v>
      </c>
      <c r="AT55" s="111">
        <f>VLOOKUP(K55,'G2-8 Summary'!J:P,7,FALSE)</f>
        <v>63</v>
      </c>
      <c r="AU55" s="157">
        <f t="shared" si="25"/>
        <v>2.9674988224211021E-2</v>
      </c>
      <c r="AW55" s="138">
        <f t="shared" si="26"/>
        <v>-15.59</v>
      </c>
      <c r="AX55" s="139">
        <f t="shared" si="27"/>
        <v>-1.21E-2</v>
      </c>
      <c r="BC55" s="109"/>
    </row>
    <row r="56" spans="1:55" s="167" customFormat="1" x14ac:dyDescent="0.25">
      <c r="A56" s="167" t="s">
        <v>164</v>
      </c>
      <c r="B56" s="167" t="s">
        <v>155</v>
      </c>
      <c r="C56" s="167" t="s">
        <v>162</v>
      </c>
      <c r="D56" s="167" t="s">
        <v>166</v>
      </c>
      <c r="E56" s="167" t="s">
        <v>96</v>
      </c>
      <c r="F56" s="167" t="str">
        <f>INDEX('Rate Design (Consol)'!$B$48:$B$66,MATCH('Bill Impact Detail'!G56,'Rate Design (Consol)'!$C$48:$C$66,0))</f>
        <v>GS-2</v>
      </c>
      <c r="G56" s="167" t="s">
        <v>12</v>
      </c>
      <c r="H56" s="167" t="str">
        <f>INDEX('Rate Design (Consol)'!$D$48:$D$66,MATCH('Bill Impact Detail'!I56,'Rate Design (Consol)'!$E$48:$E$66,0))</f>
        <v>GS-2</v>
      </c>
      <c r="I56" s="167" t="str">
        <f t="shared" si="5"/>
        <v>General Service - 2</v>
      </c>
      <c r="J56" s="167" t="str">
        <f>VLOOKUP(I56,'Rate Design (Consol)'!$E$48:$F$66,2,FALSE)</f>
        <v>&gt; 1000 &lt; = 5,000</v>
      </c>
      <c r="K56" s="169" t="str">
        <f t="shared" si="6"/>
        <v>FPUC-FPUC - Large Volume Transportation Service-GS-2</v>
      </c>
      <c r="L56" s="169">
        <v>6</v>
      </c>
      <c r="M56" s="169" t="s">
        <v>257</v>
      </c>
      <c r="N56" s="138">
        <f>VLOOKUP(K56,'G2-8 Summary'!J:O,6,FALSE)</f>
        <v>3378</v>
      </c>
      <c r="O56" s="63">
        <f>INDEX('G2-8 Summary'!S:S,MATCH('Bill Impact Detail'!K56,'G2-8 Summary'!J:J,0))</f>
        <v>90</v>
      </c>
      <c r="P56" s="63">
        <f>SUMIFS('Rate Design (Consol)'!K:K,'Rate Design (Consol)'!A:A,M56,'Rate Design (Consol)'!D:D,H56)</f>
        <v>70</v>
      </c>
      <c r="Q56" s="63"/>
      <c r="R56" s="142">
        <f t="shared" si="8"/>
        <v>0.51373999999999997</v>
      </c>
      <c r="S56" s="141">
        <f>INDEX('G2-8 Summary'!V:V,MATCH('Bill Impact Detail'!K56,'G2-8 Summary'!J:J,0))</f>
        <v>0.35365999999999997</v>
      </c>
      <c r="T56" s="141">
        <f>SUMIFS('Rate Design (Consol)'!L:L,'Rate Design (Consol)'!A:A,M56,'Rate Design (Consol)'!D:D,H56)</f>
        <v>0.69901999999999997</v>
      </c>
      <c r="U56" s="141"/>
      <c r="W56" s="64">
        <f>VLOOKUP($K56,'G2-8 Summary'!$J:$AA,15,FALSE)</f>
        <v>0.16008</v>
      </c>
      <c r="X56" s="64"/>
      <c r="Y56" s="64"/>
      <c r="Z56" s="64"/>
      <c r="AB56" s="63">
        <f t="shared" si="9"/>
        <v>1080</v>
      </c>
      <c r="AC56" s="63">
        <f t="shared" si="10"/>
        <v>1194.6634799999999</v>
      </c>
      <c r="AD56" s="63">
        <f t="shared" si="11"/>
        <v>540.75023999999996</v>
      </c>
      <c r="AE56" s="63">
        <f t="shared" si="12"/>
        <v>0</v>
      </c>
      <c r="AF56" s="63">
        <f t="shared" si="13"/>
        <v>0</v>
      </c>
      <c r="AG56" s="63">
        <f t="shared" si="14"/>
        <v>0</v>
      </c>
      <c r="AH56" s="202">
        <f t="shared" si="15"/>
        <v>2815.41372</v>
      </c>
      <c r="AI56" s="138"/>
      <c r="AJ56" s="63">
        <f t="shared" si="16"/>
        <v>840</v>
      </c>
      <c r="AK56" s="63">
        <f t="shared" si="17"/>
        <v>2361.2895599999997</v>
      </c>
      <c r="AL56" s="63"/>
      <c r="AM56" s="63">
        <f t="shared" si="18"/>
        <v>0</v>
      </c>
      <c r="AN56" s="63">
        <f t="shared" si="19"/>
        <v>0</v>
      </c>
      <c r="AO56" s="63">
        <f t="shared" si="20"/>
        <v>0</v>
      </c>
      <c r="AP56" s="202">
        <f t="shared" si="23"/>
        <v>3201.2895599999997</v>
      </c>
      <c r="AQ56" s="63">
        <f t="shared" si="24"/>
        <v>385.8758399999997</v>
      </c>
      <c r="AR56" s="157">
        <f t="shared" si="22"/>
        <v>0.13705830772182204</v>
      </c>
      <c r="AT56" s="111">
        <f>VLOOKUP(K56,'G2-8 Summary'!J:P,7,FALSE)</f>
        <v>123</v>
      </c>
      <c r="AU56" s="157">
        <f t="shared" si="25"/>
        <v>4.9717057396928055E-2</v>
      </c>
      <c r="AW56" s="138">
        <f t="shared" si="26"/>
        <v>19.18</v>
      </c>
      <c r="AX56" s="139">
        <f t="shared" si="27"/>
        <v>6.7999999999999996E-3</v>
      </c>
      <c r="BC56" s="109"/>
    </row>
    <row r="57" spans="1:55" s="167" customFormat="1" x14ac:dyDescent="0.25">
      <c r="A57" s="167" t="s">
        <v>164</v>
      </c>
      <c r="B57" s="167" t="s">
        <v>155</v>
      </c>
      <c r="C57" s="167" t="s">
        <v>162</v>
      </c>
      <c r="D57" s="167" t="s">
        <v>166</v>
      </c>
      <c r="E57" s="167" t="s">
        <v>96</v>
      </c>
      <c r="F57" s="167" t="str">
        <f>INDEX('Rate Design (Consol)'!$B$48:$B$66,MATCH('Bill Impact Detail'!G57,'Rate Design (Consol)'!$C$48:$C$66,0))</f>
        <v>GS-3</v>
      </c>
      <c r="G57" s="167" t="s">
        <v>13</v>
      </c>
      <c r="H57" s="167" t="str">
        <f>INDEX('Rate Design (Consol)'!$D$48:$D$66,MATCH('Bill Impact Detail'!I57,'Rate Design (Consol)'!$E$48:$E$66,0))</f>
        <v>GS-3</v>
      </c>
      <c r="I57" s="167" t="str">
        <f t="shared" si="5"/>
        <v>General Service - 3</v>
      </c>
      <c r="J57" s="167" t="str">
        <f>VLOOKUP(I57,'Rate Design (Consol)'!$E$48:$F$66,2,FALSE)</f>
        <v>&gt; 5,000 &lt; = 10,000</v>
      </c>
      <c r="K57" s="169" t="str">
        <f t="shared" si="6"/>
        <v>FPUC-FPUC - Large Volume Transportation Service-GS-3</v>
      </c>
      <c r="L57" s="169">
        <v>7</v>
      </c>
      <c r="M57" s="169" t="s">
        <v>257</v>
      </c>
      <c r="N57" s="138">
        <f>VLOOKUP(K57,'G2-8 Summary'!J:O,6,FALSE)</f>
        <v>7260</v>
      </c>
      <c r="O57" s="63">
        <f>INDEX('G2-8 Summary'!S:S,MATCH('Bill Impact Detail'!K57,'G2-8 Summary'!J:J,0))</f>
        <v>90</v>
      </c>
      <c r="P57" s="63">
        <f>SUMIFS('Rate Design (Consol)'!K:K,'Rate Design (Consol)'!A:A,M57,'Rate Design (Consol)'!D:D,H57)</f>
        <v>150</v>
      </c>
      <c r="Q57" s="63"/>
      <c r="R57" s="142">
        <f t="shared" si="8"/>
        <v>0.51373999999999997</v>
      </c>
      <c r="S57" s="141">
        <f>INDEX('G2-8 Summary'!V:V,MATCH('Bill Impact Detail'!K57,'G2-8 Summary'!J:J,0))</f>
        <v>0.35365999999999997</v>
      </c>
      <c r="T57" s="141">
        <f>SUMIFS('Rate Design (Consol)'!L:L,'Rate Design (Consol)'!A:A,M57,'Rate Design (Consol)'!D:D,H57)</f>
        <v>0.62475000000000003</v>
      </c>
      <c r="U57" s="141"/>
      <c r="W57" s="64">
        <f>VLOOKUP($K57,'G2-8 Summary'!$J:$AA,15,FALSE)</f>
        <v>0.16008</v>
      </c>
      <c r="X57" s="64"/>
      <c r="Y57" s="64"/>
      <c r="Z57" s="64"/>
      <c r="AB57" s="63">
        <f t="shared" si="9"/>
        <v>1080</v>
      </c>
      <c r="AC57" s="63">
        <f t="shared" si="10"/>
        <v>2567.5715999999998</v>
      </c>
      <c r="AD57" s="63">
        <f t="shared" si="11"/>
        <v>1162.1808000000001</v>
      </c>
      <c r="AE57" s="63">
        <f t="shared" si="12"/>
        <v>0</v>
      </c>
      <c r="AF57" s="63">
        <f t="shared" si="13"/>
        <v>0</v>
      </c>
      <c r="AG57" s="63">
        <f t="shared" si="14"/>
        <v>0</v>
      </c>
      <c r="AH57" s="202">
        <f t="shared" si="15"/>
        <v>4809.7523999999994</v>
      </c>
      <c r="AI57" s="138"/>
      <c r="AJ57" s="63">
        <f t="shared" si="16"/>
        <v>1800</v>
      </c>
      <c r="AK57" s="63">
        <f t="shared" si="17"/>
        <v>4535.6850000000004</v>
      </c>
      <c r="AL57" s="63"/>
      <c r="AM57" s="63">
        <f t="shared" si="18"/>
        <v>0</v>
      </c>
      <c r="AN57" s="63">
        <f t="shared" si="19"/>
        <v>0</v>
      </c>
      <c r="AO57" s="63">
        <f t="shared" si="20"/>
        <v>0</v>
      </c>
      <c r="AP57" s="202">
        <f t="shared" si="23"/>
        <v>6335.6850000000004</v>
      </c>
      <c r="AQ57" s="63">
        <f t="shared" si="24"/>
        <v>1525.932600000001</v>
      </c>
      <c r="AR57" s="157">
        <f t="shared" si="22"/>
        <v>0.31725803598538693</v>
      </c>
      <c r="AT57" s="111">
        <f>VLOOKUP(K57,'G2-8 Summary'!J:P,7,FALSE)</f>
        <v>377</v>
      </c>
      <c r="AU57" s="157">
        <f t="shared" si="25"/>
        <v>0.23547782635852593</v>
      </c>
      <c r="AW57" s="138">
        <f t="shared" si="26"/>
        <v>359.32</v>
      </c>
      <c r="AX57" s="139">
        <f t="shared" si="27"/>
        <v>7.4700000000000003E-2</v>
      </c>
      <c r="BC57" s="109"/>
    </row>
    <row r="58" spans="1:55" s="167" customFormat="1" x14ac:dyDescent="0.25">
      <c r="A58" s="167" t="s">
        <v>164</v>
      </c>
      <c r="B58" s="167" t="s">
        <v>155</v>
      </c>
      <c r="C58" s="167" t="s">
        <v>162</v>
      </c>
      <c r="D58" s="167" t="s">
        <v>166</v>
      </c>
      <c r="E58" s="167" t="s">
        <v>96</v>
      </c>
      <c r="F58" s="167" t="str">
        <f>INDEX('Rate Design (Consol)'!$B$48:$B$66,MATCH('Bill Impact Detail'!G58,'Rate Design (Consol)'!$C$48:$C$66,0))</f>
        <v>GS-4</v>
      </c>
      <c r="G58" s="167" t="s">
        <v>14</v>
      </c>
      <c r="H58" s="167" t="str">
        <f>INDEX('Rate Design (Consol)'!$D$48:$D$66,MATCH('Bill Impact Detail'!I58,'Rate Design (Consol)'!$E$48:$E$66,0))</f>
        <v>GS-4</v>
      </c>
      <c r="I58" s="167" t="str">
        <f t="shared" si="5"/>
        <v>General Service - 4</v>
      </c>
      <c r="J58" s="167" t="str">
        <f>VLOOKUP(I58,'Rate Design (Consol)'!$E$48:$F$66,2,FALSE)</f>
        <v>&gt; 10,000 &lt; = 50,000</v>
      </c>
      <c r="K58" s="169" t="str">
        <f t="shared" si="6"/>
        <v>FPUC-FPUC - Large Volume Transportation Service-GS-4</v>
      </c>
      <c r="L58" s="169">
        <v>8</v>
      </c>
      <c r="M58" s="169" t="s">
        <v>257</v>
      </c>
      <c r="N58" s="138">
        <f>VLOOKUP(K58,'G2-8 Summary'!J:O,6,FALSE)</f>
        <v>18058</v>
      </c>
      <c r="O58" s="63">
        <f>INDEX('G2-8 Summary'!S:S,MATCH('Bill Impact Detail'!K58,'G2-8 Summary'!J:J,0))</f>
        <v>90</v>
      </c>
      <c r="P58" s="63">
        <f>SUMIFS('Rate Design (Consol)'!K:K,'Rate Design (Consol)'!A:A,M58,'Rate Design (Consol)'!D:D,H58)</f>
        <v>275</v>
      </c>
      <c r="Q58" s="63"/>
      <c r="R58" s="142">
        <f t="shared" si="8"/>
        <v>0.51373999999999997</v>
      </c>
      <c r="S58" s="141">
        <f>INDEX('G2-8 Summary'!V:V,MATCH('Bill Impact Detail'!K58,'G2-8 Summary'!J:J,0))</f>
        <v>0.35365999999999997</v>
      </c>
      <c r="T58" s="141">
        <f>SUMIFS('Rate Design (Consol)'!L:L,'Rate Design (Consol)'!A:A,M58,'Rate Design (Consol)'!D:D,H58)</f>
        <v>0.59182999999999997</v>
      </c>
      <c r="U58" s="141"/>
      <c r="W58" s="64">
        <f>VLOOKUP($K58,'G2-8 Summary'!$J:$AA,15,FALSE)</f>
        <v>0.16008</v>
      </c>
      <c r="X58" s="64"/>
      <c r="Y58" s="64"/>
      <c r="Z58" s="64"/>
      <c r="AB58" s="63">
        <f t="shared" si="9"/>
        <v>1080</v>
      </c>
      <c r="AC58" s="63">
        <f t="shared" si="10"/>
        <v>6386.3922799999991</v>
      </c>
      <c r="AD58" s="63">
        <f t="shared" si="11"/>
        <v>2890.7246399999999</v>
      </c>
      <c r="AE58" s="63">
        <f t="shared" si="12"/>
        <v>0</v>
      </c>
      <c r="AF58" s="63">
        <f t="shared" si="13"/>
        <v>0</v>
      </c>
      <c r="AG58" s="63">
        <f t="shared" si="14"/>
        <v>0</v>
      </c>
      <c r="AH58" s="202">
        <f t="shared" si="15"/>
        <v>10357.116919999999</v>
      </c>
      <c r="AI58" s="138"/>
      <c r="AJ58" s="63">
        <f t="shared" si="16"/>
        <v>3300</v>
      </c>
      <c r="AK58" s="63">
        <f t="shared" si="17"/>
        <v>10687.26614</v>
      </c>
      <c r="AL58" s="63"/>
      <c r="AM58" s="63">
        <f t="shared" si="18"/>
        <v>0</v>
      </c>
      <c r="AN58" s="63">
        <f t="shared" si="19"/>
        <v>0</v>
      </c>
      <c r="AO58" s="63">
        <f t="shared" si="20"/>
        <v>0</v>
      </c>
      <c r="AP58" s="202">
        <f t="shared" si="23"/>
        <v>13987.26614</v>
      </c>
      <c r="AQ58" s="63">
        <f t="shared" si="24"/>
        <v>3630.1492200000012</v>
      </c>
      <c r="AR58" s="157">
        <f t="shared" si="22"/>
        <v>0.35049804381275651</v>
      </c>
      <c r="AT58" s="111">
        <f>VLOOKUP(K58,'G2-8 Summary'!J:P,7,FALSE)</f>
        <v>706</v>
      </c>
      <c r="AU58" s="157">
        <f t="shared" si="25"/>
        <v>0.50609318996415775</v>
      </c>
      <c r="AW58" s="138">
        <f t="shared" si="26"/>
        <v>1837.19</v>
      </c>
      <c r="AX58" s="139">
        <f t="shared" si="27"/>
        <v>0.1774</v>
      </c>
      <c r="BC58" s="109"/>
    </row>
    <row r="59" spans="1:55" s="167" customFormat="1" x14ac:dyDescent="0.25">
      <c r="A59" s="167" t="s">
        <v>164</v>
      </c>
      <c r="B59" s="167" t="s">
        <v>155</v>
      </c>
      <c r="C59" s="167" t="s">
        <v>162</v>
      </c>
      <c r="D59" s="167" t="s">
        <v>166</v>
      </c>
      <c r="E59" s="167" t="s">
        <v>96</v>
      </c>
      <c r="F59" s="167" t="str">
        <f>INDEX('Rate Design (Consol)'!$B$48:$B$66,MATCH('Bill Impact Detail'!G59,'Rate Design (Consol)'!$C$48:$C$66,0))</f>
        <v>GS-5</v>
      </c>
      <c r="G59" s="167" t="s">
        <v>15</v>
      </c>
      <c r="H59" s="167" t="str">
        <f>INDEX('Rate Design (Consol)'!$D$48:$D$66,MATCH('Bill Impact Detail'!I59,'Rate Design (Consol)'!$E$48:$E$66,0))</f>
        <v>GS-5</v>
      </c>
      <c r="I59" s="167" t="str">
        <f t="shared" si="5"/>
        <v>General Service - 5</v>
      </c>
      <c r="J59" s="167" t="str">
        <f>VLOOKUP(I59,'Rate Design (Consol)'!$E$48:$F$66,2,FALSE)</f>
        <v>&gt; 50,000 &lt; = 250,000</v>
      </c>
      <c r="K59" s="169" t="str">
        <f t="shared" si="6"/>
        <v>FPUC-FPUC - Large Volume Transportation Service-GS-5</v>
      </c>
      <c r="L59" s="169">
        <v>9</v>
      </c>
      <c r="M59" s="169" t="s">
        <v>257</v>
      </c>
      <c r="N59" s="138">
        <f>VLOOKUP(K59,'G2-8 Summary'!J:O,6,FALSE)</f>
        <v>100610</v>
      </c>
      <c r="O59" s="63">
        <f>INDEX('G2-8 Summary'!S:S,MATCH('Bill Impact Detail'!K59,'G2-8 Summary'!J:J,0))</f>
        <v>90</v>
      </c>
      <c r="P59" s="63">
        <f>SUMIFS('Rate Design (Consol)'!K:K,'Rate Design (Consol)'!A:A,M59,'Rate Design (Consol)'!D:D,H59)</f>
        <v>750</v>
      </c>
      <c r="Q59" s="63"/>
      <c r="R59" s="142">
        <f t="shared" si="8"/>
        <v>0.51373999999999997</v>
      </c>
      <c r="S59" s="141">
        <f>INDEX('G2-8 Summary'!V:V,MATCH('Bill Impact Detail'!K59,'G2-8 Summary'!J:J,0))</f>
        <v>0.35365999999999997</v>
      </c>
      <c r="T59" s="141">
        <f>SUMIFS('Rate Design (Consol)'!L:L,'Rate Design (Consol)'!A:A,M59,'Rate Design (Consol)'!D:D,H59)</f>
        <v>0.52</v>
      </c>
      <c r="U59" s="141"/>
      <c r="W59" s="64">
        <f>VLOOKUP($K59,'G2-8 Summary'!$J:$AA,15,FALSE)</f>
        <v>0.16008</v>
      </c>
      <c r="X59" s="64"/>
      <c r="Y59" s="64"/>
      <c r="Z59" s="64"/>
      <c r="AB59" s="63">
        <f t="shared" si="9"/>
        <v>1080</v>
      </c>
      <c r="AC59" s="63">
        <f t="shared" si="10"/>
        <v>35581.732599999996</v>
      </c>
      <c r="AD59" s="63">
        <f t="shared" si="11"/>
        <v>16105.648800000001</v>
      </c>
      <c r="AE59" s="63">
        <f t="shared" si="12"/>
        <v>0</v>
      </c>
      <c r="AF59" s="63">
        <f t="shared" si="13"/>
        <v>0</v>
      </c>
      <c r="AG59" s="63">
        <f t="shared" si="14"/>
        <v>0</v>
      </c>
      <c r="AH59" s="202">
        <f t="shared" si="15"/>
        <v>52767.381399999998</v>
      </c>
      <c r="AI59" s="138"/>
      <c r="AJ59" s="63">
        <f t="shared" si="16"/>
        <v>9000</v>
      </c>
      <c r="AK59" s="63">
        <f t="shared" si="17"/>
        <v>52317.200000000004</v>
      </c>
      <c r="AL59" s="63"/>
      <c r="AM59" s="63">
        <f t="shared" si="18"/>
        <v>0</v>
      </c>
      <c r="AN59" s="63">
        <f t="shared" si="19"/>
        <v>0</v>
      </c>
      <c r="AO59" s="63">
        <f t="shared" si="20"/>
        <v>0</v>
      </c>
      <c r="AP59" s="202">
        <f t="shared" si="23"/>
        <v>61317.200000000004</v>
      </c>
      <c r="AQ59" s="63">
        <f t="shared" si="24"/>
        <v>8549.818600000006</v>
      </c>
      <c r="AR59" s="157">
        <f t="shared" si="22"/>
        <v>0.16202847996546604</v>
      </c>
      <c r="AT59" s="111">
        <f>VLOOKUP(K59,'G2-8 Summary'!J:P,7,FALSE)</f>
        <v>55</v>
      </c>
      <c r="AU59" s="157">
        <f t="shared" si="25"/>
        <v>0.48672566371681414</v>
      </c>
      <c r="AW59" s="138">
        <f t="shared" si="26"/>
        <v>4161.42</v>
      </c>
      <c r="AX59" s="139">
        <f t="shared" si="27"/>
        <v>7.8899999999999998E-2</v>
      </c>
      <c r="BC59" s="109"/>
    </row>
    <row r="60" spans="1:55" s="167" customFormat="1" x14ac:dyDescent="0.25">
      <c r="A60" s="167" t="s">
        <v>164</v>
      </c>
      <c r="B60" s="167" t="s">
        <v>155</v>
      </c>
      <c r="C60" s="167" t="s">
        <v>162</v>
      </c>
      <c r="D60" s="167" t="s">
        <v>166</v>
      </c>
      <c r="E60" s="167" t="s">
        <v>96</v>
      </c>
      <c r="F60" s="167" t="str">
        <f>INDEX('Rate Design (Consol)'!$B$48:$B$66,MATCH('Bill Impact Detail'!G60,'Rate Design (Consol)'!$C$48:$C$66,0))</f>
        <v>GS-6</v>
      </c>
      <c r="G60" s="167" t="s">
        <v>16</v>
      </c>
      <c r="H60" s="167" t="str">
        <f>INDEX('Rate Design (Consol)'!$D$48:$D$66,MATCH('Bill Impact Detail'!I60,'Rate Design (Consol)'!$E$48:$E$66,0))</f>
        <v>GS-6</v>
      </c>
      <c r="I60" s="167" t="str">
        <f t="shared" si="5"/>
        <v>General Service - 6</v>
      </c>
      <c r="J60" s="167" t="str">
        <f>VLOOKUP(I60,'Rate Design (Consol)'!$E$48:$F$66,2,FALSE)</f>
        <v>&gt; 250,000 &lt; = 500,000</v>
      </c>
      <c r="K60" s="169" t="str">
        <f t="shared" si="6"/>
        <v>FPUC-FPUC - Large Volume Transportation Service-GS-6</v>
      </c>
      <c r="L60" s="169">
        <v>10</v>
      </c>
      <c r="M60" s="169" t="s">
        <v>257</v>
      </c>
      <c r="N60" s="138">
        <f>VLOOKUP(K60,'G2-8 Summary'!J:O,6,FALSE)</f>
        <v>343884</v>
      </c>
      <c r="O60" s="63">
        <f>INDEX('G2-8 Summary'!S:S,MATCH('Bill Impact Detail'!K60,'G2-8 Summary'!J:J,0))</f>
        <v>90</v>
      </c>
      <c r="P60" s="63">
        <f>SUMIFS('Rate Design (Consol)'!K:K,'Rate Design (Consol)'!A:A,M60,'Rate Design (Consol)'!D:D,H60)</f>
        <v>2500</v>
      </c>
      <c r="Q60" s="63"/>
      <c r="R60" s="142">
        <f t="shared" si="8"/>
        <v>0.51373999999999997</v>
      </c>
      <c r="S60" s="141">
        <f>INDEX('G2-8 Summary'!V:V,MATCH('Bill Impact Detail'!K60,'G2-8 Summary'!J:J,0))</f>
        <v>0.35365999999999997</v>
      </c>
      <c r="T60" s="141">
        <f>SUMIFS('Rate Design (Consol)'!L:L,'Rate Design (Consol)'!A:A,M60,'Rate Design (Consol)'!D:D,H60)</f>
        <v>0.49419000000000002</v>
      </c>
      <c r="U60" s="141"/>
      <c r="W60" s="64">
        <f>VLOOKUP($K60,'G2-8 Summary'!$J:$AA,15,FALSE)</f>
        <v>0.16008</v>
      </c>
      <c r="X60" s="64"/>
      <c r="Y60" s="64"/>
      <c r="Z60" s="64"/>
      <c r="AB60" s="63">
        <f t="shared" si="9"/>
        <v>1080</v>
      </c>
      <c r="AC60" s="63">
        <f t="shared" si="10"/>
        <v>121618.01543999999</v>
      </c>
      <c r="AD60" s="63">
        <f t="shared" si="11"/>
        <v>55048.950720000001</v>
      </c>
      <c r="AE60" s="63">
        <f t="shared" si="12"/>
        <v>0</v>
      </c>
      <c r="AF60" s="63">
        <f t="shared" si="13"/>
        <v>0</v>
      </c>
      <c r="AG60" s="63">
        <f t="shared" si="14"/>
        <v>0</v>
      </c>
      <c r="AH60" s="202">
        <f t="shared" si="15"/>
        <v>177746.96615999998</v>
      </c>
      <c r="AI60" s="138"/>
      <c r="AJ60" s="63">
        <f t="shared" si="16"/>
        <v>30000</v>
      </c>
      <c r="AK60" s="63">
        <f t="shared" si="17"/>
        <v>169944.03396</v>
      </c>
      <c r="AL60" s="63"/>
      <c r="AM60" s="63">
        <f t="shared" si="18"/>
        <v>0</v>
      </c>
      <c r="AN60" s="63">
        <f t="shared" si="19"/>
        <v>0</v>
      </c>
      <c r="AO60" s="63">
        <f t="shared" si="20"/>
        <v>0</v>
      </c>
      <c r="AP60" s="202">
        <f t="shared" si="23"/>
        <v>199944.03396</v>
      </c>
      <c r="AQ60" s="63">
        <f t="shared" si="24"/>
        <v>22197.067800000019</v>
      </c>
      <c r="AR60" s="157">
        <f t="shared" si="22"/>
        <v>0.12488015002190922</v>
      </c>
      <c r="AT60" s="111">
        <f>VLOOKUP(K60,'G2-8 Summary'!J:P,7,FALSE)</f>
        <v>14</v>
      </c>
      <c r="AU60" s="157">
        <f t="shared" si="25"/>
        <v>0.41176470588235292</v>
      </c>
      <c r="AW60" s="138">
        <f t="shared" si="26"/>
        <v>9139.9699999999993</v>
      </c>
      <c r="AX60" s="139">
        <f t="shared" si="27"/>
        <v>5.1400000000000001E-2</v>
      </c>
      <c r="BC60" s="109"/>
    </row>
    <row r="61" spans="1:55" s="167" customFormat="1" x14ac:dyDescent="0.25">
      <c r="A61" s="167" t="s">
        <v>164</v>
      </c>
      <c r="B61" s="167" t="s">
        <v>155</v>
      </c>
      <c r="C61" s="167" t="s">
        <v>162</v>
      </c>
      <c r="D61" s="167" t="s">
        <v>166</v>
      </c>
      <c r="E61" s="167" t="s">
        <v>96</v>
      </c>
      <c r="F61" s="167" t="str">
        <f>INDEX('Rate Design (Consol)'!$B$48:$B$66,MATCH('Bill Impact Detail'!G61,'Rate Design (Consol)'!$C$48:$C$66,0))</f>
        <v>GS-7</v>
      </c>
      <c r="G61" s="167" t="s">
        <v>17</v>
      </c>
      <c r="H61" s="167" t="str">
        <f>INDEX('Rate Design (Consol)'!$D$48:$D$66,MATCH('Bill Impact Detail'!I61,'Rate Design (Consol)'!$E$48:$E$66,0))</f>
        <v>GS-7</v>
      </c>
      <c r="I61" s="167" t="str">
        <f t="shared" si="5"/>
        <v>General Service - 7</v>
      </c>
      <c r="J61" s="167" t="str">
        <f>VLOOKUP(I61,'Rate Design (Consol)'!$E$48:$F$66,2,FALSE)</f>
        <v>&gt; 500,000 &lt; = 1,000,000</v>
      </c>
      <c r="K61" s="169" t="str">
        <f t="shared" si="6"/>
        <v>FPUC-FPUC - Large Volume Transportation Service-GS-7</v>
      </c>
      <c r="L61" s="169">
        <v>11</v>
      </c>
      <c r="M61" s="169" t="s">
        <v>257</v>
      </c>
      <c r="N61" s="138">
        <f>VLOOKUP(K61,'G2-8 Summary'!J:O,6,FALSE)</f>
        <v>668053</v>
      </c>
      <c r="O61" s="63">
        <f>INDEX('G2-8 Summary'!S:S,MATCH('Bill Impact Detail'!K61,'G2-8 Summary'!J:J,0))</f>
        <v>90</v>
      </c>
      <c r="P61" s="63">
        <f>SUMIFS('Rate Design (Consol)'!K:K,'Rate Design (Consol)'!A:A,M61,'Rate Design (Consol)'!D:D,H61)</f>
        <v>4500</v>
      </c>
      <c r="Q61" s="63"/>
      <c r="R61" s="142">
        <f t="shared" si="8"/>
        <v>0.51373999999999997</v>
      </c>
      <c r="S61" s="141">
        <f>INDEX('G2-8 Summary'!V:V,MATCH('Bill Impact Detail'!K61,'G2-8 Summary'!J:J,0))</f>
        <v>0.35365999999999997</v>
      </c>
      <c r="T61" s="141">
        <f>SUMIFS('Rate Design (Consol)'!L:L,'Rate Design (Consol)'!A:A,M61,'Rate Design (Consol)'!D:D,H61)</f>
        <v>0.38796999999999998</v>
      </c>
      <c r="U61" s="141"/>
      <c r="W61" s="64">
        <f>VLOOKUP($K61,'G2-8 Summary'!$J:$AA,15,FALSE)</f>
        <v>0.16008</v>
      </c>
      <c r="X61" s="64"/>
      <c r="Y61" s="64"/>
      <c r="Z61" s="64"/>
      <c r="AB61" s="63">
        <f t="shared" si="9"/>
        <v>1080</v>
      </c>
      <c r="AC61" s="63">
        <f t="shared" si="10"/>
        <v>236263.62397999997</v>
      </c>
      <c r="AD61" s="63">
        <f t="shared" si="11"/>
        <v>106941.92423999999</v>
      </c>
      <c r="AE61" s="63">
        <f t="shared" si="12"/>
        <v>0</v>
      </c>
      <c r="AF61" s="63">
        <f t="shared" si="13"/>
        <v>0</v>
      </c>
      <c r="AG61" s="63">
        <f t="shared" si="14"/>
        <v>0</v>
      </c>
      <c r="AH61" s="202">
        <f t="shared" si="15"/>
        <v>344285.54822</v>
      </c>
      <c r="AI61" s="138"/>
      <c r="AJ61" s="63">
        <f t="shared" si="16"/>
        <v>54000</v>
      </c>
      <c r="AK61" s="63">
        <f t="shared" si="17"/>
        <v>259184.52240999998</v>
      </c>
      <c r="AL61" s="63"/>
      <c r="AM61" s="63">
        <f t="shared" si="18"/>
        <v>0</v>
      </c>
      <c r="AN61" s="63">
        <f t="shared" si="19"/>
        <v>0</v>
      </c>
      <c r="AO61" s="63">
        <f t="shared" si="20"/>
        <v>0</v>
      </c>
      <c r="AP61" s="202">
        <f t="shared" si="23"/>
        <v>313184.52240999998</v>
      </c>
      <c r="AQ61" s="63">
        <f t="shared" si="24"/>
        <v>-31101.025810000021</v>
      </c>
      <c r="AR61" s="157">
        <f t="shared" si="22"/>
        <v>-9.0334973311532452E-2</v>
      </c>
      <c r="AT61" s="111">
        <f>VLOOKUP(K61,'G2-8 Summary'!J:P,7,FALSE)</f>
        <v>3</v>
      </c>
      <c r="AU61" s="157">
        <f t="shared" si="25"/>
        <v>0.25</v>
      </c>
      <c r="AW61" s="138">
        <f t="shared" si="26"/>
        <v>-7775.26</v>
      </c>
      <c r="AX61" s="139">
        <f t="shared" si="27"/>
        <v>-2.2599999999999999E-2</v>
      </c>
      <c r="BC61" s="109"/>
    </row>
    <row r="62" spans="1:55" s="167" customFormat="1" x14ac:dyDescent="0.25">
      <c r="A62" s="167" t="s">
        <v>164</v>
      </c>
      <c r="B62" s="167" t="s">
        <v>155</v>
      </c>
      <c r="C62" s="167" t="s">
        <v>162</v>
      </c>
      <c r="D62" s="167" t="s">
        <v>166</v>
      </c>
      <c r="E62" s="167" t="s">
        <v>96</v>
      </c>
      <c r="F62" s="167" t="str">
        <f>INDEX('Rate Design (Consol)'!$B$48:$B$66,MATCH('Bill Impact Detail'!G62,'Rate Design (Consol)'!$C$48:$C$66,0))</f>
        <v>GS-8</v>
      </c>
      <c r="G62" s="167" t="s">
        <v>267</v>
      </c>
      <c r="H62" s="167" t="str">
        <f>INDEX('Rate Design (Consol)'!$D$48:$D$66,MATCH('Bill Impact Detail'!I62,'Rate Design (Consol)'!$E$48:$E$66,0))</f>
        <v>GS-8-A</v>
      </c>
      <c r="I62" s="167" t="s">
        <v>272</v>
      </c>
      <c r="J62" s="167" t="str">
        <f>VLOOKUP(I62,'Rate Design (Consol)'!$E$48:$F$66,2,FALSE)</f>
        <v>&gt; 1,000,000 &lt; = 1,500,000</v>
      </c>
      <c r="K62" s="169" t="str">
        <f t="shared" si="6"/>
        <v>FPUC-FPUC - Large Volume Transportation Service-GS-8-A</v>
      </c>
      <c r="L62" s="169">
        <v>12</v>
      </c>
      <c r="M62" s="169" t="s">
        <v>257</v>
      </c>
      <c r="N62" s="138">
        <f>VLOOKUP(K62,'G2-8 Summary'!J:O,6,FALSE)</f>
        <v>1082083</v>
      </c>
      <c r="O62" s="63">
        <f>INDEX('G2-8 Summary'!S:S,MATCH('Bill Impact Detail'!K62,'G2-8 Summary'!J:J,0))</f>
        <v>90</v>
      </c>
      <c r="P62" s="63">
        <f>SUMIFS('Rate Design (Consol)'!K:K,'Rate Design (Consol)'!A:A,M62,'Rate Design (Consol)'!D:D,H62)</f>
        <v>9500</v>
      </c>
      <c r="Q62" s="63"/>
      <c r="R62" s="142">
        <f t="shared" si="8"/>
        <v>0.51373999999999997</v>
      </c>
      <c r="S62" s="141">
        <f>INDEX('G2-8 Summary'!V:V,MATCH('Bill Impact Detail'!K62,'G2-8 Summary'!J:J,0))</f>
        <v>0.35365999999999997</v>
      </c>
      <c r="T62" s="141">
        <f>SUMIFS('Rate Design (Consol)'!L:L,'Rate Design (Consol)'!A:A,M62,'Rate Design (Consol)'!D:D,H62)</f>
        <v>0.36796999999999996</v>
      </c>
      <c r="U62" s="141"/>
      <c r="W62" s="64">
        <f>VLOOKUP($K62,'G2-8 Summary'!$J:$AA,15,FALSE)</f>
        <v>0.16008</v>
      </c>
      <c r="X62" s="64"/>
      <c r="Y62" s="64"/>
      <c r="Z62" s="64"/>
      <c r="AB62" s="63">
        <f t="shared" si="9"/>
        <v>1080</v>
      </c>
      <c r="AC62" s="63">
        <f t="shared" si="10"/>
        <v>382689.47378</v>
      </c>
      <c r="AD62" s="63">
        <f t="shared" si="11"/>
        <v>173219.84664</v>
      </c>
      <c r="AE62" s="63">
        <f t="shared" si="12"/>
        <v>0</v>
      </c>
      <c r="AF62" s="63">
        <f t="shared" si="13"/>
        <v>0</v>
      </c>
      <c r="AG62" s="63">
        <f t="shared" si="14"/>
        <v>0</v>
      </c>
      <c r="AH62" s="202">
        <f t="shared" si="15"/>
        <v>556989.32042</v>
      </c>
      <c r="AI62" s="138"/>
      <c r="AJ62" s="63">
        <f t="shared" si="16"/>
        <v>114000</v>
      </c>
      <c r="AK62" s="63">
        <f t="shared" si="17"/>
        <v>398174.08150999999</v>
      </c>
      <c r="AL62" s="63"/>
      <c r="AM62" s="63">
        <f t="shared" si="18"/>
        <v>0</v>
      </c>
      <c r="AN62" s="63">
        <f t="shared" si="19"/>
        <v>0</v>
      </c>
      <c r="AO62" s="63">
        <f t="shared" si="20"/>
        <v>0</v>
      </c>
      <c r="AP62" s="202">
        <f t="shared" si="23"/>
        <v>512174.08150999999</v>
      </c>
      <c r="AQ62" s="63">
        <f t="shared" si="24"/>
        <v>-44815.238910000015</v>
      </c>
      <c r="AR62" s="157">
        <f t="shared" si="22"/>
        <v>-8.0459781304616229E-2</v>
      </c>
      <c r="AT62" s="111">
        <f>VLOOKUP(K62,'G2-8 Summary'!J:P,7,FALSE)</f>
        <v>2</v>
      </c>
      <c r="AU62" s="157">
        <f t="shared" si="25"/>
        <v>0.25</v>
      </c>
      <c r="AW62" s="138">
        <f t="shared" si="26"/>
        <v>-11203.81</v>
      </c>
      <c r="AX62" s="139">
        <f t="shared" si="27"/>
        <v>-2.01E-2</v>
      </c>
      <c r="BC62" s="109"/>
    </row>
    <row r="63" spans="1:55" s="167" customFormat="1" x14ac:dyDescent="0.25">
      <c r="A63" s="167" t="s">
        <v>164</v>
      </c>
      <c r="B63" s="167" t="s">
        <v>155</v>
      </c>
      <c r="C63" s="167" t="s">
        <v>162</v>
      </c>
      <c r="D63" s="167" t="s">
        <v>166</v>
      </c>
      <c r="E63" s="167" t="s">
        <v>96</v>
      </c>
      <c r="F63" s="167" t="str">
        <f>INDEX('Rate Design (Consol)'!$B$48:$B$66,MATCH('Bill Impact Detail'!G63,'Rate Design (Consol)'!$C$48:$C$66,0))</f>
        <v>GS-8</v>
      </c>
      <c r="G63" s="167" t="s">
        <v>267</v>
      </c>
      <c r="H63" s="167" t="str">
        <f>INDEX('Rate Design (Consol)'!$D$48:$D$66,MATCH('Bill Impact Detail'!I63,'Rate Design (Consol)'!$E$48:$E$66,0))</f>
        <v>GS-8-B</v>
      </c>
      <c r="I63" s="167" t="s">
        <v>273</v>
      </c>
      <c r="J63" s="167" t="str">
        <f>VLOOKUP(I63,'Rate Design (Consol)'!$E$48:$F$66,2,FALSE)</f>
        <v>&gt; 1,500,000 &lt; = 2,000,000</v>
      </c>
      <c r="K63" s="169" t="str">
        <f t="shared" si="6"/>
        <v>FPUC-FPUC - Large Volume Transportation Service-GS-8-B</v>
      </c>
      <c r="L63" s="169">
        <v>12</v>
      </c>
      <c r="M63" s="169" t="s">
        <v>257</v>
      </c>
      <c r="N63" s="138">
        <f>VLOOKUP(K63,'G2-8 Summary'!J:O,6,FALSE)</f>
        <v>1699351</v>
      </c>
      <c r="O63" s="63">
        <f>INDEX('G2-8 Summary'!S:S,MATCH('Bill Impact Detail'!K63,'G2-8 Summary'!J:J,0))</f>
        <v>90</v>
      </c>
      <c r="P63" s="63">
        <f>SUMIFS('Rate Design (Consol)'!K:K,'Rate Design (Consol)'!A:A,M63,'Rate Design (Consol)'!D:D,H63)</f>
        <v>9500</v>
      </c>
      <c r="Q63" s="63"/>
      <c r="R63" s="142">
        <f t="shared" ref="R63" si="28">S63+W63</f>
        <v>0.51373999999999997</v>
      </c>
      <c r="S63" s="141">
        <f>INDEX('G2-8 Summary'!V:V,MATCH('Bill Impact Detail'!K63,'G2-8 Summary'!J:J,0))</f>
        <v>0.35365999999999997</v>
      </c>
      <c r="T63" s="141">
        <f>SUMIFS('Rate Design (Consol)'!L:L,'Rate Design (Consol)'!A:A,M63,'Rate Design (Consol)'!D:D,H63)</f>
        <v>0.34796999999999995</v>
      </c>
      <c r="U63" s="141"/>
      <c r="W63" s="64">
        <f>VLOOKUP($K63,'G2-8 Summary'!$J:$AA,15,FALSE)</f>
        <v>0.16008</v>
      </c>
      <c r="X63" s="64"/>
      <c r="Y63" s="64"/>
      <c r="Z63" s="64"/>
      <c r="AB63" s="63">
        <f t="shared" si="9"/>
        <v>1080</v>
      </c>
      <c r="AC63" s="63">
        <f t="shared" si="10"/>
        <v>600992.47465999995</v>
      </c>
      <c r="AD63" s="63">
        <f t="shared" si="11"/>
        <v>272032.10807999998</v>
      </c>
      <c r="AE63" s="63">
        <f t="shared" si="12"/>
        <v>0</v>
      </c>
      <c r="AF63" s="63">
        <f t="shared" si="13"/>
        <v>0</v>
      </c>
      <c r="AG63" s="63">
        <f t="shared" si="14"/>
        <v>0</v>
      </c>
      <c r="AH63" s="202">
        <f t="shared" si="15"/>
        <v>874104.58273999998</v>
      </c>
      <c r="AI63" s="138"/>
      <c r="AJ63" s="63">
        <f t="shared" si="16"/>
        <v>114000</v>
      </c>
      <c r="AK63" s="63">
        <f t="shared" si="17"/>
        <v>591323.16746999987</v>
      </c>
      <c r="AL63" s="63"/>
      <c r="AM63" s="63">
        <f t="shared" ref="AM63" si="29">$N63*X63</f>
        <v>0</v>
      </c>
      <c r="AN63" s="63">
        <f t="shared" ref="AN63" si="30">$N63*Y63</f>
        <v>0</v>
      </c>
      <c r="AO63" s="63">
        <f t="shared" ref="AO63" si="31">$N63*Z63</f>
        <v>0</v>
      </c>
      <c r="AP63" s="202">
        <f t="shared" ref="AP63" si="32">SUM(AJ63:AO63)</f>
        <v>705323.16746999987</v>
      </c>
      <c r="AQ63" s="63">
        <f t="shared" ref="AQ63" si="33">AP63-AH63</f>
        <v>-168781.41527000011</v>
      </c>
      <c r="AR63" s="157">
        <f t="shared" ref="AR63" si="34">IFERROR(AQ63/AH63,0)</f>
        <v>-0.19309064224435452</v>
      </c>
      <c r="AT63" s="111">
        <f>VLOOKUP(K63,'G2-8 Summary'!J:P,7,FALSE)</f>
        <v>1</v>
      </c>
      <c r="AU63" s="157">
        <f t="shared" si="25"/>
        <v>0.125</v>
      </c>
      <c r="AW63" s="138">
        <f t="shared" si="26"/>
        <v>-21097.68</v>
      </c>
      <c r="AX63" s="139">
        <f t="shared" si="27"/>
        <v>-2.41E-2</v>
      </c>
      <c r="BC63" s="109"/>
    </row>
    <row r="64" spans="1:55" s="167" customFormat="1" x14ac:dyDescent="0.25">
      <c r="A64" s="167" t="s">
        <v>164</v>
      </c>
      <c r="B64" s="167" t="s">
        <v>155</v>
      </c>
      <c r="C64" s="167" t="s">
        <v>162</v>
      </c>
      <c r="D64" s="167" t="s">
        <v>166</v>
      </c>
      <c r="E64" s="167" t="s">
        <v>96</v>
      </c>
      <c r="F64" s="167" t="str">
        <f>INDEX('Rate Design (Consol)'!$B$48:$B$66,MATCH('Bill Impact Detail'!G64,'Rate Design (Consol)'!$C$48:$C$66,0))</f>
        <v>GS-1</v>
      </c>
      <c r="G64" s="167" t="s">
        <v>11</v>
      </c>
      <c r="H64" s="167" t="str">
        <f>INDEX('Rate Design (Consol)'!$D$48:$D$66,MATCH('Bill Impact Detail'!I64,'Rate Design (Consol)'!$E$48:$E$66,0))</f>
        <v>GS-1</v>
      </c>
      <c r="I64" s="167" t="str">
        <f t="shared" ref="I64:I80" si="35">G64</f>
        <v>General Service - 1</v>
      </c>
      <c r="J64" s="167" t="str">
        <f>VLOOKUP(I64,'Rate Design (Consol)'!$E$48:$F$66,2,FALSE)</f>
        <v>&lt; = 1000</v>
      </c>
      <c r="K64" s="169" t="str">
        <f t="shared" si="6"/>
        <v>FPUC-FPUC - Large Volume Transportation Service-GS-1</v>
      </c>
      <c r="L64" s="169">
        <v>5</v>
      </c>
      <c r="M64" s="169" t="s">
        <v>257</v>
      </c>
      <c r="N64" s="138">
        <f>VLOOKUP(K64,'G2-8 Summary'!J:O,6,FALSE)</f>
        <v>469</v>
      </c>
      <c r="O64" s="63">
        <f>INDEX('G2-8 Summary'!S:S,MATCH('Bill Impact Detail'!K64,'G2-8 Summary'!J:J,0))</f>
        <v>90</v>
      </c>
      <c r="P64" s="63">
        <f>SUMIFS('Rate Design (Consol)'!K:K,'Rate Design (Consol)'!A:A,M64,'Rate Design (Consol)'!D:D,H64)</f>
        <v>40</v>
      </c>
      <c r="Q64" s="63"/>
      <c r="R64" s="142">
        <f t="shared" si="8"/>
        <v>0.51373999999999997</v>
      </c>
      <c r="S64" s="141">
        <f>INDEX('G2-8 Summary'!V:V,MATCH('Bill Impact Detail'!K64,'G2-8 Summary'!J:J,0))</f>
        <v>0.35365999999999997</v>
      </c>
      <c r="T64" s="141">
        <f>SUMIFS('Rate Design (Consol)'!L:L,'Rate Design (Consol)'!A:A,M64,'Rate Design (Consol)'!D:D,H64)</f>
        <v>0.70123999999999997</v>
      </c>
      <c r="U64" s="141"/>
      <c r="W64" s="64">
        <f>VLOOKUP($K64,'G2-8 Summary'!$J:$AA,15,FALSE)</f>
        <v>0.16008</v>
      </c>
      <c r="X64" s="64"/>
      <c r="Y64" s="64"/>
      <c r="Z64" s="64"/>
      <c r="AB64" s="63">
        <f t="shared" si="9"/>
        <v>1080</v>
      </c>
      <c r="AC64" s="63">
        <f t="shared" si="10"/>
        <v>165.86653999999999</v>
      </c>
      <c r="AD64" s="63">
        <f t="shared" si="11"/>
        <v>75.077520000000007</v>
      </c>
      <c r="AE64" s="63">
        <f t="shared" si="12"/>
        <v>0</v>
      </c>
      <c r="AF64" s="63">
        <f t="shared" si="13"/>
        <v>0</v>
      </c>
      <c r="AG64" s="63">
        <f t="shared" si="14"/>
        <v>0</v>
      </c>
      <c r="AH64" s="202">
        <f t="shared" si="15"/>
        <v>1320.94406</v>
      </c>
      <c r="AI64" s="138"/>
      <c r="AJ64" s="63">
        <f t="shared" si="16"/>
        <v>480</v>
      </c>
      <c r="AK64" s="63">
        <f t="shared" si="17"/>
        <v>328.88155999999998</v>
      </c>
      <c r="AL64" s="63"/>
      <c r="AM64" s="63">
        <f t="shared" si="18"/>
        <v>0</v>
      </c>
      <c r="AN64" s="63">
        <f t="shared" si="19"/>
        <v>0</v>
      </c>
      <c r="AO64" s="63">
        <f t="shared" si="20"/>
        <v>0</v>
      </c>
      <c r="AP64" s="202">
        <f t="shared" si="23"/>
        <v>808.88156000000004</v>
      </c>
      <c r="AQ64" s="63">
        <f t="shared" si="24"/>
        <v>-512.0625</v>
      </c>
      <c r="AR64" s="157">
        <f t="shared" si="22"/>
        <v>-0.38764889105144995</v>
      </c>
      <c r="AT64" s="111">
        <f>VLOOKUP(K64,'G2-8 Summary'!J:P,7,FALSE)</f>
        <v>20</v>
      </c>
      <c r="AU64" s="157">
        <f t="shared" si="25"/>
        <v>9.4206311822892137E-3</v>
      </c>
      <c r="AW64" s="138">
        <f t="shared" si="26"/>
        <v>-4.82</v>
      </c>
      <c r="AX64" s="139">
        <f t="shared" si="27"/>
        <v>-3.7000000000000002E-3</v>
      </c>
      <c r="BC64" s="109"/>
    </row>
    <row r="65" spans="1:55" s="167" customFormat="1" x14ac:dyDescent="0.25">
      <c r="A65" s="167" t="s">
        <v>164</v>
      </c>
      <c r="B65" s="167" t="s">
        <v>155</v>
      </c>
      <c r="C65" s="167" t="s">
        <v>170</v>
      </c>
      <c r="D65" s="167" t="s">
        <v>166</v>
      </c>
      <c r="E65" s="167" t="s">
        <v>122</v>
      </c>
      <c r="F65" s="167" t="str">
        <f>INDEX('Rate Design (Consol)'!$B$48:$B$66,MATCH('Bill Impact Detail'!G65,'Rate Design (Consol)'!$C$48:$C$66,0))</f>
        <v>COM - NGV</v>
      </c>
      <c r="G65" s="167" t="s">
        <v>19</v>
      </c>
      <c r="H65" s="167" t="str">
        <f>INDEX('Rate Design (Consol)'!$D$48:$D$66,MATCH('Bill Impact Detail'!I65,'Rate Design (Consol)'!$E$48:$E$66,0))</f>
        <v>COM - NGV</v>
      </c>
      <c r="I65" s="167" t="str">
        <f t="shared" si="35"/>
        <v>Commercial - NGV</v>
      </c>
      <c r="J65" s="167" t="str">
        <f>VLOOKUP(I65,'Rate Design (Consol)'!$E$48:$F$66,2,FALSE)</f>
        <v>n/a</v>
      </c>
      <c r="K65" s="169" t="str">
        <f t="shared" si="6"/>
        <v>FPUC-FPUC - Natural Gas Vehicle Transportation Service-COM - NGV</v>
      </c>
      <c r="L65" s="169">
        <v>14</v>
      </c>
      <c r="M65" s="169" t="s">
        <v>257</v>
      </c>
      <c r="N65" s="138">
        <f>VLOOKUP(K65,'G2-8 Summary'!J:O,6,FALSE)</f>
        <v>461073</v>
      </c>
      <c r="O65" s="63">
        <f>INDEX('G2-8 Summary'!S:S,MATCH('Bill Impact Detail'!K65,'G2-8 Summary'!J:J,0))</f>
        <v>100</v>
      </c>
      <c r="P65" s="63">
        <f>SUMIFS('Rate Design (Consol)'!K:K,'Rate Design (Consol)'!A:A,M65,'Rate Design (Consol)'!D:D,H65)</f>
        <v>250</v>
      </c>
      <c r="Q65" s="63"/>
      <c r="R65" s="142">
        <f t="shared" si="8"/>
        <v>0.40077000000000002</v>
      </c>
      <c r="S65" s="141">
        <f>INDEX('G2-8 Summary'!V:V,MATCH('Bill Impact Detail'!K65,'G2-8 Summary'!J:J,0))</f>
        <v>0.17111000000000001</v>
      </c>
      <c r="T65" s="141">
        <f>SUMIFS('Rate Design (Consol)'!L:L,'Rate Design (Consol)'!A:A,M65,'Rate Design (Consol)'!D:D,H65)</f>
        <v>0.49803999999999998</v>
      </c>
      <c r="U65" s="141"/>
      <c r="W65" s="64">
        <f>VLOOKUP($K65,'G2-8 Summary'!$J:$AA,15,FALSE)</f>
        <v>0.22966</v>
      </c>
      <c r="X65" s="64"/>
      <c r="Y65" s="64"/>
      <c r="Z65" s="64"/>
      <c r="AB65" s="63">
        <f t="shared" si="9"/>
        <v>1200</v>
      </c>
      <c r="AC65" s="63">
        <f t="shared" si="10"/>
        <v>78894.201030000011</v>
      </c>
      <c r="AD65" s="63">
        <f t="shared" si="11"/>
        <v>105890.02518</v>
      </c>
      <c r="AE65" s="63">
        <f t="shared" si="12"/>
        <v>0</v>
      </c>
      <c r="AF65" s="63">
        <f t="shared" si="13"/>
        <v>0</v>
      </c>
      <c r="AG65" s="63">
        <f t="shared" si="14"/>
        <v>0</v>
      </c>
      <c r="AH65" s="202">
        <f t="shared" si="15"/>
        <v>185984.22620999999</v>
      </c>
      <c r="AI65" s="138"/>
      <c r="AJ65" s="63">
        <f t="shared" si="16"/>
        <v>3000</v>
      </c>
      <c r="AK65" s="63">
        <f t="shared" si="17"/>
        <v>229632.79691999999</v>
      </c>
      <c r="AL65" s="63"/>
      <c r="AM65" s="63">
        <f t="shared" si="18"/>
        <v>0</v>
      </c>
      <c r="AN65" s="63">
        <f t="shared" si="19"/>
        <v>0</v>
      </c>
      <c r="AO65" s="63">
        <f t="shared" si="20"/>
        <v>0</v>
      </c>
      <c r="AP65" s="202">
        <f t="shared" si="23"/>
        <v>232632.79691999999</v>
      </c>
      <c r="AQ65" s="63">
        <f t="shared" si="24"/>
        <v>46648.57071</v>
      </c>
      <c r="AR65" s="157">
        <f t="shared" si="22"/>
        <v>0.25082003813230802</v>
      </c>
      <c r="AT65" s="111">
        <f>VLOOKUP(K65,'G2-8 Summary'!J:P,7,FALSE)</f>
        <v>2</v>
      </c>
      <c r="AU65" s="157">
        <f t="shared" si="25"/>
        <v>0.66666666666666663</v>
      </c>
      <c r="AW65" s="138">
        <f t="shared" si="26"/>
        <v>31099.05</v>
      </c>
      <c r="AX65" s="139">
        <f t="shared" si="27"/>
        <v>0.16719999999999999</v>
      </c>
      <c r="BC65" s="109"/>
    </row>
    <row r="66" spans="1:55" s="167" customFormat="1" x14ac:dyDescent="0.25">
      <c r="A66" s="167" t="s">
        <v>164</v>
      </c>
      <c r="B66" s="167" t="s">
        <v>152</v>
      </c>
      <c r="C66" s="167" t="s">
        <v>163</v>
      </c>
      <c r="D66" s="167" t="s">
        <v>166</v>
      </c>
      <c r="E66" s="167" t="s">
        <v>72</v>
      </c>
      <c r="F66" s="167" t="str">
        <f>INDEX('Rate Design (Consol)'!$B$48:$B$66,MATCH('Bill Impact Detail'!G66,'Rate Design (Consol)'!$C$48:$C$66,0))</f>
        <v>RES-2</v>
      </c>
      <c r="G66" s="167" t="s">
        <v>9</v>
      </c>
      <c r="H66" s="167" t="str">
        <f>INDEX('Rate Design (Consol)'!$D$48:$D$66,MATCH('Bill Impact Detail'!I66,'Rate Design (Consol)'!$E$48:$E$66,0))</f>
        <v>RES-2</v>
      </c>
      <c r="I66" s="167" t="str">
        <f t="shared" si="35"/>
        <v>Residential - 2</v>
      </c>
      <c r="J66" s="167" t="str">
        <f>VLOOKUP(I66,'Rate Design (Consol)'!$E$48:$F$66,2,FALSE)</f>
        <v>&gt; 100 &lt; = 250</v>
      </c>
      <c r="K66" s="169" t="str">
        <f t="shared" si="6"/>
        <v>FPUC-FPUC - Residential Service-RES-2</v>
      </c>
      <c r="L66" s="169">
        <v>2</v>
      </c>
      <c r="M66" s="169" t="s">
        <v>257</v>
      </c>
      <c r="N66" s="138">
        <f>VLOOKUP(K66,'G2-8 Summary'!J:O,6,FALSE)</f>
        <v>159</v>
      </c>
      <c r="O66" s="63">
        <f>INDEX('G2-8 Summary'!S:S,MATCH('Bill Impact Detail'!K66,'G2-8 Summary'!J:J,0))</f>
        <v>11</v>
      </c>
      <c r="P66" s="63">
        <f>SUMIFS('Rate Design (Consol)'!K:K,'Rate Design (Consol)'!A:A,M66,'Rate Design (Consol)'!D:D,H66)</f>
        <v>19.5</v>
      </c>
      <c r="Q66" s="63"/>
      <c r="R66" s="142">
        <f t="shared" si="8"/>
        <v>0.81469999999999998</v>
      </c>
      <c r="S66" s="141">
        <f>INDEX('G2-8 Summary'!V:V,MATCH('Bill Impact Detail'!K66,'G2-8 Summary'!J:J,0))</f>
        <v>0.49828</v>
      </c>
      <c r="T66" s="141">
        <f>SUMIFS('Rate Design (Consol)'!L:L,'Rate Design (Consol)'!A:A,M66,'Rate Design (Consol)'!D:D,H66)</f>
        <v>0.65271999999999997</v>
      </c>
      <c r="U66" s="141"/>
      <c r="W66" s="64">
        <f>VLOOKUP($K66,'G2-8 Summary'!$J:$AA,15,FALSE)</f>
        <v>0.31642000000000003</v>
      </c>
      <c r="X66" s="64"/>
      <c r="Y66" s="64"/>
      <c r="Z66" s="64"/>
      <c r="AB66" s="63">
        <f t="shared" si="9"/>
        <v>132</v>
      </c>
      <c r="AC66" s="63">
        <f t="shared" si="10"/>
        <v>79.226519999999994</v>
      </c>
      <c r="AD66" s="63">
        <f t="shared" si="11"/>
        <v>50.310780000000008</v>
      </c>
      <c r="AE66" s="63">
        <f t="shared" si="12"/>
        <v>0</v>
      </c>
      <c r="AF66" s="63">
        <f t="shared" si="13"/>
        <v>0</v>
      </c>
      <c r="AG66" s="63">
        <f t="shared" si="14"/>
        <v>0</v>
      </c>
      <c r="AH66" s="202">
        <f t="shared" si="15"/>
        <v>261.53730000000002</v>
      </c>
      <c r="AI66" s="138"/>
      <c r="AJ66" s="63">
        <f t="shared" si="16"/>
        <v>234</v>
      </c>
      <c r="AK66" s="63">
        <f t="shared" si="17"/>
        <v>103.78247999999999</v>
      </c>
      <c r="AL66" s="63"/>
      <c r="AM66" s="63">
        <f t="shared" si="18"/>
        <v>0</v>
      </c>
      <c r="AN66" s="63">
        <f t="shared" si="19"/>
        <v>0</v>
      </c>
      <c r="AO66" s="63">
        <f t="shared" si="20"/>
        <v>0</v>
      </c>
      <c r="AP66" s="202">
        <f t="shared" si="23"/>
        <v>337.78247999999996</v>
      </c>
      <c r="AQ66" s="63">
        <f t="shared" si="24"/>
        <v>76.245179999999948</v>
      </c>
      <c r="AR66" s="157">
        <f t="shared" si="22"/>
        <v>0.29152698295807117</v>
      </c>
      <c r="AT66" s="111">
        <f>VLOOKUP(K66,'G2-8 Summary'!J:P,7,FALSE)</f>
        <v>27852</v>
      </c>
      <c r="AU66" s="157">
        <f t="shared" si="25"/>
        <v>0.75265504661532223</v>
      </c>
      <c r="AW66" s="138">
        <f t="shared" si="26"/>
        <v>57.39</v>
      </c>
      <c r="AX66" s="139">
        <f t="shared" si="27"/>
        <v>0.21940000000000001</v>
      </c>
      <c r="BC66" s="109"/>
    </row>
    <row r="67" spans="1:55" s="167" customFormat="1" x14ac:dyDescent="0.25">
      <c r="A67" s="167" t="s">
        <v>164</v>
      </c>
      <c r="B67" s="167" t="s">
        <v>152</v>
      </c>
      <c r="C67" s="167" t="s">
        <v>163</v>
      </c>
      <c r="D67" s="167" t="s">
        <v>166</v>
      </c>
      <c r="E67" s="167" t="s">
        <v>72</v>
      </c>
      <c r="F67" s="167" t="str">
        <f>INDEX('Rate Design (Consol)'!$B$48:$B$66,MATCH('Bill Impact Detail'!G67,'Rate Design (Consol)'!$C$48:$C$66,0))</f>
        <v>RES-3</v>
      </c>
      <c r="G67" s="167" t="s">
        <v>266</v>
      </c>
      <c r="H67" s="167" t="str">
        <f>INDEX('Rate Design (Consol)'!$D$48:$D$66,MATCH('Bill Impact Detail'!I67,'Rate Design (Consol)'!$E$48:$E$66,0))</f>
        <v>RES-3</v>
      </c>
      <c r="I67" s="167" t="str">
        <f t="shared" si="35"/>
        <v>Residential - 3</v>
      </c>
      <c r="J67" s="167" t="str">
        <f>VLOOKUP(I67,'Rate Design (Consol)'!$E$48:$F$66,2,FALSE)</f>
        <v>n/a</v>
      </c>
      <c r="K67" s="169" t="str">
        <f t="shared" si="6"/>
        <v>FPUC-FPUC - Residential Service-RES-3</v>
      </c>
      <c r="L67" s="169">
        <v>3</v>
      </c>
      <c r="M67" s="169" t="s">
        <v>257</v>
      </c>
      <c r="N67" s="138">
        <f>VLOOKUP(K67,'G2-8 Summary'!J:O,6,FALSE)</f>
        <v>682</v>
      </c>
      <c r="O67" s="63">
        <f>INDEX('G2-8 Summary'!S:S,MATCH('Bill Impact Detail'!K67,'G2-8 Summary'!J:J,0))</f>
        <v>11</v>
      </c>
      <c r="P67" s="63">
        <f>SUMIFS('Rate Design (Consol)'!K:K,'Rate Design (Consol)'!A:A,M67,'Rate Design (Consol)'!D:D,H67)</f>
        <v>26.5</v>
      </c>
      <c r="Q67" s="63"/>
      <c r="R67" s="142">
        <f t="shared" si="8"/>
        <v>0.81469999999999998</v>
      </c>
      <c r="S67" s="141">
        <f>INDEX('G2-8 Summary'!V:V,MATCH('Bill Impact Detail'!K67,'G2-8 Summary'!J:J,0))</f>
        <v>0.49828</v>
      </c>
      <c r="T67" s="141">
        <f>SUMIFS('Rate Design (Consol)'!L:L,'Rate Design (Consol)'!A:A,M67,'Rate Design (Consol)'!D:D,H67)</f>
        <v>0.65386</v>
      </c>
      <c r="U67" s="141"/>
      <c r="W67" s="64">
        <f>VLOOKUP($K67,'G2-8 Summary'!$J:$AA,15,FALSE)</f>
        <v>0.31642000000000003</v>
      </c>
      <c r="X67" s="64"/>
      <c r="Y67" s="64"/>
      <c r="Z67" s="64"/>
      <c r="AB67" s="63">
        <f t="shared" si="9"/>
        <v>132</v>
      </c>
      <c r="AC67" s="63">
        <f t="shared" si="10"/>
        <v>339.82695999999999</v>
      </c>
      <c r="AD67" s="63">
        <f t="shared" si="11"/>
        <v>215.79844000000003</v>
      </c>
      <c r="AE67" s="63">
        <f t="shared" si="12"/>
        <v>0</v>
      </c>
      <c r="AF67" s="63">
        <f t="shared" si="13"/>
        <v>0</v>
      </c>
      <c r="AG67" s="63">
        <f t="shared" si="14"/>
        <v>0</v>
      </c>
      <c r="AH67" s="202">
        <f t="shared" si="15"/>
        <v>687.62540000000001</v>
      </c>
      <c r="AI67" s="138"/>
      <c r="AJ67" s="63">
        <f t="shared" si="16"/>
        <v>318</v>
      </c>
      <c r="AK67" s="63">
        <f t="shared" si="17"/>
        <v>445.93252000000001</v>
      </c>
      <c r="AL67" s="63"/>
      <c r="AM67" s="63">
        <f t="shared" si="18"/>
        <v>0</v>
      </c>
      <c r="AN67" s="63">
        <f t="shared" si="19"/>
        <v>0</v>
      </c>
      <c r="AO67" s="63">
        <f t="shared" si="20"/>
        <v>0</v>
      </c>
      <c r="AP67" s="202">
        <f t="shared" si="23"/>
        <v>763.93252000000007</v>
      </c>
      <c r="AQ67" s="63">
        <f t="shared" si="24"/>
        <v>76.307120000000054</v>
      </c>
      <c r="AR67" s="157">
        <f t="shared" si="22"/>
        <v>0.11097193326482711</v>
      </c>
      <c r="AT67" s="111">
        <f>VLOOKUP(K67,'G2-8 Summary'!J:P,7,FALSE)</f>
        <v>15664</v>
      </c>
      <c r="AU67" s="157">
        <f t="shared" si="25"/>
        <v>0.81038853536137412</v>
      </c>
      <c r="AW67" s="138">
        <f t="shared" si="26"/>
        <v>61.84</v>
      </c>
      <c r="AX67" s="139">
        <f t="shared" si="27"/>
        <v>8.9899999999999994E-2</v>
      </c>
      <c r="BC67" s="109"/>
    </row>
    <row r="68" spans="1:55" s="167" customFormat="1" x14ac:dyDescent="0.25">
      <c r="A68" s="167" t="s">
        <v>164</v>
      </c>
      <c r="B68" s="167" t="s">
        <v>152</v>
      </c>
      <c r="C68" s="167" t="s">
        <v>163</v>
      </c>
      <c r="D68" s="167" t="s">
        <v>166</v>
      </c>
      <c r="E68" s="167" t="s">
        <v>72</v>
      </c>
      <c r="F68" s="167" t="str">
        <f>INDEX('Rate Design (Consol)'!$B$48:$B$66,MATCH('Bill Impact Detail'!G68,'Rate Design (Consol)'!$C$48:$C$66,0))</f>
        <v>RES-1</v>
      </c>
      <c r="G68" s="167" t="s">
        <v>8</v>
      </c>
      <c r="H68" s="167" t="str">
        <f>INDEX('Rate Design (Consol)'!$D$48:$D$66,MATCH('Bill Impact Detail'!I68,'Rate Design (Consol)'!$E$48:$E$66,0))</f>
        <v>RES-1</v>
      </c>
      <c r="I68" s="167" t="str">
        <f t="shared" si="35"/>
        <v>Residential - 1</v>
      </c>
      <c r="J68" s="167" t="str">
        <f>VLOOKUP(I68,'Rate Design (Consol)'!$E$48:$F$66,2,FALSE)</f>
        <v>&lt; = 100</v>
      </c>
      <c r="K68" s="169" t="str">
        <f t="shared" si="6"/>
        <v>FPUC-FPUC - Residential Service-RES-1</v>
      </c>
      <c r="L68" s="169">
        <v>1</v>
      </c>
      <c r="M68" s="169" t="s">
        <v>257</v>
      </c>
      <c r="N68" s="138">
        <f>VLOOKUP(K68,'G2-8 Summary'!J:O,6,FALSE)</f>
        <v>52</v>
      </c>
      <c r="O68" s="63">
        <f>INDEX('G2-8 Summary'!S:S,MATCH('Bill Impact Detail'!K68,'G2-8 Summary'!J:J,0))</f>
        <v>11</v>
      </c>
      <c r="P68" s="63">
        <f>SUMIFS('Rate Design (Consol)'!K:K,'Rate Design (Consol)'!A:A,M68,'Rate Design (Consol)'!D:D,H68)</f>
        <v>16.5</v>
      </c>
      <c r="Q68" s="63"/>
      <c r="R68" s="142">
        <f t="shared" si="8"/>
        <v>0.81469999999999998</v>
      </c>
      <c r="S68" s="141">
        <f>INDEX('G2-8 Summary'!V:V,MATCH('Bill Impact Detail'!K68,'G2-8 Summary'!J:J,0))</f>
        <v>0.49828</v>
      </c>
      <c r="T68" s="141">
        <f>SUMIFS('Rate Design (Consol)'!L:L,'Rate Design (Consol)'!A:A,M68,'Rate Design (Consol)'!D:D,H68)</f>
        <v>0.65229000000000004</v>
      </c>
      <c r="U68" s="141"/>
      <c r="W68" s="64">
        <f>VLOOKUP($K68,'G2-8 Summary'!$J:$AA,15,FALSE)</f>
        <v>0.31642000000000003</v>
      </c>
      <c r="X68" s="64"/>
      <c r="Y68" s="64"/>
      <c r="Z68" s="64"/>
      <c r="AB68" s="63">
        <f t="shared" si="9"/>
        <v>132</v>
      </c>
      <c r="AC68" s="63">
        <f t="shared" si="10"/>
        <v>25.91056</v>
      </c>
      <c r="AD68" s="63">
        <f t="shared" si="11"/>
        <v>16.453840000000003</v>
      </c>
      <c r="AE68" s="63">
        <f t="shared" si="12"/>
        <v>0</v>
      </c>
      <c r="AF68" s="63">
        <f t="shared" si="13"/>
        <v>0</v>
      </c>
      <c r="AG68" s="63">
        <f t="shared" si="14"/>
        <v>0</v>
      </c>
      <c r="AH68" s="202">
        <f t="shared" si="15"/>
        <v>174.36440000000002</v>
      </c>
      <c r="AI68" s="138"/>
      <c r="AJ68" s="63">
        <f t="shared" si="16"/>
        <v>198</v>
      </c>
      <c r="AK68" s="63">
        <f t="shared" si="17"/>
        <v>33.919080000000001</v>
      </c>
      <c r="AL68" s="63"/>
      <c r="AM68" s="63">
        <f t="shared" si="18"/>
        <v>0</v>
      </c>
      <c r="AN68" s="63">
        <f t="shared" si="19"/>
        <v>0</v>
      </c>
      <c r="AO68" s="63">
        <f t="shared" si="20"/>
        <v>0</v>
      </c>
      <c r="AP68" s="110">
        <f t="shared" si="23"/>
        <v>231.91908000000001</v>
      </c>
      <c r="AQ68" s="63">
        <f t="shared" si="24"/>
        <v>57.554679999999991</v>
      </c>
      <c r="AR68" s="157">
        <f t="shared" si="22"/>
        <v>0.33008274624866074</v>
      </c>
      <c r="AT68" s="111">
        <f>VLOOKUP(K68,'G2-8 Summary'!J:P,7,FALSE)</f>
        <v>21117</v>
      </c>
      <c r="AU68" s="157">
        <f t="shared" si="25"/>
        <v>0.75892183288409698</v>
      </c>
      <c r="AW68" s="138">
        <f t="shared" si="26"/>
        <v>43.68</v>
      </c>
      <c r="AX68" s="139">
        <f t="shared" si="27"/>
        <v>0.2505</v>
      </c>
      <c r="BC68" s="109"/>
    </row>
    <row r="69" spans="1:55" s="167" customFormat="1" x14ac:dyDescent="0.25">
      <c r="A69" s="167" t="s">
        <v>164</v>
      </c>
      <c r="B69" s="167" t="s">
        <v>152</v>
      </c>
      <c r="C69" s="167" t="s">
        <v>171</v>
      </c>
      <c r="D69" s="167" t="s">
        <v>166</v>
      </c>
      <c r="E69" s="167" t="s">
        <v>86</v>
      </c>
      <c r="F69" s="167" t="str">
        <f>INDEX('Rate Design (Consol)'!$B$48:$B$66,MATCH('Bill Impact Detail'!G69,'Rate Design (Consol)'!$C$48:$C$66,0))</f>
        <v>RES-SG</v>
      </c>
      <c r="G69" s="167" t="s">
        <v>10</v>
      </c>
      <c r="H69" s="167" t="str">
        <f>INDEX('Rate Design (Consol)'!$D$48:$D$66,MATCH('Bill Impact Detail'!I69,'Rate Design (Consol)'!$E$48:$E$66,0))</f>
        <v>RES-SG</v>
      </c>
      <c r="I69" s="167" t="str">
        <f t="shared" si="35"/>
        <v>Residential Standby Generator</v>
      </c>
      <c r="J69" s="167" t="str">
        <f>VLOOKUP(I69,'Rate Design (Consol)'!$E$48:$F$66,2,FALSE)</f>
        <v>n/a</v>
      </c>
      <c r="K69" s="169" t="str">
        <f t="shared" si="6"/>
        <v>FPUC-FPUC - Residential Standby Generator Service-RES-SG</v>
      </c>
      <c r="L69" s="169">
        <v>4</v>
      </c>
      <c r="M69" s="169" t="s">
        <v>257</v>
      </c>
      <c r="N69" s="138">
        <f>VLOOKUP(K69,'G2-8 Summary'!J:O,6,FALSE)</f>
        <v>109</v>
      </c>
      <c r="O69" s="63">
        <f>INDEX('G2-8 Summary'!S:S,MATCH('Bill Impact Detail'!K69,'G2-8 Summary'!J:J,0))</f>
        <v>21.25</v>
      </c>
      <c r="P69" s="63">
        <f>SUMIFS('Rate Design (Consol)'!K:K,'Rate Design (Consol)'!A:A,M69,'Rate Design (Consol)'!D:D,H69)</f>
        <v>36.5</v>
      </c>
      <c r="Q69" s="63"/>
      <c r="R69" s="142">
        <f t="shared" si="8"/>
        <v>0.81469999999999998</v>
      </c>
      <c r="S69" s="141">
        <f>INDEX('G2-8 Summary'!V:V,MATCH('Bill Impact Detail'!K69,'G2-8 Summary'!J:J,0))</f>
        <v>0.49828</v>
      </c>
      <c r="T69" s="141">
        <f>SUMIFS('Rate Design (Consol)'!L:L,'Rate Design (Consol)'!A:A,M69,'Rate Design (Consol)'!D:D,H69)</f>
        <v>0.65386</v>
      </c>
      <c r="U69" s="141"/>
      <c r="W69" s="64">
        <f>VLOOKUP($K69,'G2-8 Summary'!$J:$AA,15,FALSE)</f>
        <v>0.31642000000000003</v>
      </c>
      <c r="X69" s="64"/>
      <c r="Y69" s="64"/>
      <c r="Z69" s="64"/>
      <c r="AB69" s="63">
        <f t="shared" si="9"/>
        <v>255</v>
      </c>
      <c r="AC69" s="63">
        <f t="shared" si="10"/>
        <v>54.312519999999999</v>
      </c>
      <c r="AD69" s="63">
        <f t="shared" si="11"/>
        <v>34.489780000000003</v>
      </c>
      <c r="AE69" s="63">
        <f t="shared" si="12"/>
        <v>0</v>
      </c>
      <c r="AF69" s="63">
        <f t="shared" si="13"/>
        <v>0</v>
      </c>
      <c r="AG69" s="63">
        <f t="shared" si="14"/>
        <v>0</v>
      </c>
      <c r="AH69" s="202">
        <f t="shared" si="15"/>
        <v>343.8023</v>
      </c>
      <c r="AI69" s="138"/>
      <c r="AJ69" s="63">
        <f t="shared" si="16"/>
        <v>438</v>
      </c>
      <c r="AK69" s="63">
        <f t="shared" si="17"/>
        <v>71.270740000000004</v>
      </c>
      <c r="AL69" s="63"/>
      <c r="AM69" s="63">
        <f t="shared" si="18"/>
        <v>0</v>
      </c>
      <c r="AN69" s="63">
        <f t="shared" si="19"/>
        <v>0</v>
      </c>
      <c r="AO69" s="63">
        <f t="shared" si="20"/>
        <v>0</v>
      </c>
      <c r="AP69" s="202">
        <f t="shared" si="23"/>
        <v>509.27073999999999</v>
      </c>
      <c r="AQ69" s="63">
        <f t="shared" si="24"/>
        <v>165.46843999999999</v>
      </c>
      <c r="AR69" s="157">
        <f t="shared" si="22"/>
        <v>0.4812895085344106</v>
      </c>
      <c r="AT69" s="111">
        <f>VLOOKUP(K69,'G2-8 Summary'!J:P,7,FALSE)</f>
        <v>883</v>
      </c>
      <c r="AU69" s="157">
        <f t="shared" si="25"/>
        <v>1</v>
      </c>
      <c r="AW69" s="138">
        <f t="shared" si="26"/>
        <v>165.47</v>
      </c>
      <c r="AX69" s="139">
        <f t="shared" si="27"/>
        <v>0.48130000000000001</v>
      </c>
      <c r="BC69" s="109"/>
    </row>
    <row r="70" spans="1:55" s="167" customFormat="1" x14ac:dyDescent="0.25">
      <c r="A70" s="167" t="s">
        <v>172</v>
      </c>
      <c r="B70" s="167" t="s">
        <v>155</v>
      </c>
      <c r="C70" s="167" t="s">
        <v>173</v>
      </c>
      <c r="D70" s="167" t="s">
        <v>174</v>
      </c>
      <c r="E70" s="167" t="s">
        <v>95</v>
      </c>
      <c r="F70" s="167" t="str">
        <f>INDEX('Rate Design (Consol)'!$B$48:$B$66,MATCH('Bill Impact Detail'!G70,'Rate Design (Consol)'!$C$48:$C$66,0))</f>
        <v>GS-2</v>
      </c>
      <c r="G70" s="167" t="s">
        <v>12</v>
      </c>
      <c r="H70" s="167" t="str">
        <f>INDEX('Rate Design (Consol)'!$D$48:$D$66,MATCH('Bill Impact Detail'!I70,'Rate Design (Consol)'!$E$48:$E$66,0))</f>
        <v>GS-2</v>
      </c>
      <c r="I70" s="167" t="str">
        <f t="shared" si="35"/>
        <v>General Service - 2</v>
      </c>
      <c r="J70" s="167" t="str">
        <f>VLOOKUP(I70,'Rate Design (Consol)'!$E$48:$F$66,2,FALSE)</f>
        <v>&gt; 1000 &lt; = 5,000</v>
      </c>
      <c r="K70" s="169" t="str">
        <f t="shared" si="6"/>
        <v>CFG-CFG - Firm Transportation Service - 1 (Fixed Non-Residential)-GS-2</v>
      </c>
      <c r="L70" s="169">
        <v>6</v>
      </c>
      <c r="M70" s="169" t="s">
        <v>257</v>
      </c>
      <c r="N70" s="138">
        <f>VLOOKUP(K70,'G2-8 Summary'!J:O,6,FALSE)</f>
        <v>1515</v>
      </c>
      <c r="O70" s="63">
        <f>INDEX('G2-8 Summary'!S:S,MATCH('Bill Impact Detail'!K70,'G2-8 Summary'!J:J,0))</f>
        <v>29</v>
      </c>
      <c r="P70" s="63">
        <f>SUMIFS('Rate Design (Consol)'!K:K,'Rate Design (Consol)'!A:A,M70,'Rate Design (Consol)'!D:D,H70)</f>
        <v>70</v>
      </c>
      <c r="Q70" s="63"/>
      <c r="R70" s="142">
        <f t="shared" si="8"/>
        <v>0.11405000000000003</v>
      </c>
      <c r="S70" s="141">
        <f>INDEX('G2-8 Summary'!V:V,MATCH('Bill Impact Detail'!K70,'G2-8 Summary'!J:J,0))</f>
        <v>0</v>
      </c>
      <c r="T70" s="141">
        <f>SUMIFS('Rate Design (Consol)'!L:L,'Rate Design (Consol)'!A:A,M70,'Rate Design (Consol)'!D:D,H70)</f>
        <v>0.69901999999999997</v>
      </c>
      <c r="U70" s="141"/>
      <c r="W70" s="64">
        <f>VLOOKUP($K70,'G2-8 Summary'!$J:$AA,15,FALSE)</f>
        <v>0.11405000000000003</v>
      </c>
      <c r="X70" s="64"/>
      <c r="Y70" s="64"/>
      <c r="Z70" s="64"/>
      <c r="AB70" s="63">
        <f t="shared" si="9"/>
        <v>348</v>
      </c>
      <c r="AC70" s="63">
        <f t="shared" si="10"/>
        <v>0</v>
      </c>
      <c r="AD70" s="63">
        <f t="shared" si="11"/>
        <v>172.78575000000004</v>
      </c>
      <c r="AE70" s="63">
        <f t="shared" si="12"/>
        <v>0</v>
      </c>
      <c r="AF70" s="63">
        <f t="shared" si="13"/>
        <v>0</v>
      </c>
      <c r="AG70" s="63">
        <f t="shared" si="14"/>
        <v>0</v>
      </c>
      <c r="AH70" s="202">
        <f t="shared" si="15"/>
        <v>520.78575000000001</v>
      </c>
      <c r="AI70" s="138"/>
      <c r="AJ70" s="63">
        <f t="shared" si="16"/>
        <v>840</v>
      </c>
      <c r="AK70" s="63">
        <f t="shared" si="17"/>
        <v>1059.0153</v>
      </c>
      <c r="AL70" s="63"/>
      <c r="AM70" s="63">
        <f t="shared" si="18"/>
        <v>0</v>
      </c>
      <c r="AN70" s="63">
        <f t="shared" si="19"/>
        <v>0</v>
      </c>
      <c r="AO70" s="63">
        <f t="shared" si="20"/>
        <v>0</v>
      </c>
      <c r="AP70" s="202">
        <f t="shared" si="23"/>
        <v>1899.0153</v>
      </c>
      <c r="AQ70" s="63">
        <f t="shared" si="24"/>
        <v>1378.22955</v>
      </c>
      <c r="AR70" s="157">
        <f t="shared" si="22"/>
        <v>2.6464425149881694</v>
      </c>
      <c r="AT70" s="111">
        <f>VLOOKUP(K70,'G2-8 Summary'!J:P,7,FALSE)</f>
        <v>2</v>
      </c>
      <c r="AU70" s="157">
        <f t="shared" si="25"/>
        <v>8.0840743734842356E-4</v>
      </c>
      <c r="AW70" s="138">
        <f t="shared" si="26"/>
        <v>1.1100000000000001</v>
      </c>
      <c r="AX70" s="139">
        <f t="shared" si="27"/>
        <v>2.0999999999999999E-3</v>
      </c>
      <c r="BC70" s="109"/>
    </row>
    <row r="71" spans="1:55" s="167" customFormat="1" x14ac:dyDescent="0.25">
      <c r="A71" s="167" t="s">
        <v>172</v>
      </c>
      <c r="B71" s="167" t="s">
        <v>155</v>
      </c>
      <c r="C71" s="167" t="s">
        <v>173</v>
      </c>
      <c r="D71" s="167" t="s">
        <v>174</v>
      </c>
      <c r="E71" s="167" t="s">
        <v>95</v>
      </c>
      <c r="F71" s="167" t="str">
        <f>INDEX('Rate Design (Consol)'!$B$48:$B$66,MATCH('Bill Impact Detail'!G71,'Rate Design (Consol)'!$C$48:$C$66,0))</f>
        <v>GS-1</v>
      </c>
      <c r="G71" s="167" t="s">
        <v>11</v>
      </c>
      <c r="H71" s="167" t="str">
        <f>INDEX('Rate Design (Consol)'!$D$48:$D$66,MATCH('Bill Impact Detail'!I71,'Rate Design (Consol)'!$E$48:$E$66,0))</f>
        <v>GS-1</v>
      </c>
      <c r="I71" s="167" t="str">
        <f t="shared" si="35"/>
        <v>General Service - 1</v>
      </c>
      <c r="J71" s="167" t="str">
        <f>VLOOKUP(I71,'Rate Design (Consol)'!$E$48:$F$66,2,FALSE)</f>
        <v>&lt; = 1000</v>
      </c>
      <c r="K71" s="169" t="str">
        <f t="shared" si="6"/>
        <v>CFG-CFG - Firm Transportation Service - 1 (Fixed Non-Residential)-GS-1</v>
      </c>
      <c r="L71" s="169">
        <v>5</v>
      </c>
      <c r="M71" s="169" t="s">
        <v>257</v>
      </c>
      <c r="N71" s="138">
        <f>VLOOKUP(K71,'G2-8 Summary'!J:O,6,FALSE)</f>
        <v>62</v>
      </c>
      <c r="O71" s="63">
        <f>INDEX('G2-8 Summary'!S:S,MATCH('Bill Impact Detail'!K71,'G2-8 Summary'!J:J,0))</f>
        <v>29</v>
      </c>
      <c r="P71" s="63">
        <f>SUMIFS('Rate Design (Consol)'!K:K,'Rate Design (Consol)'!A:A,M71,'Rate Design (Consol)'!D:D,H71)</f>
        <v>40</v>
      </c>
      <c r="Q71" s="63"/>
      <c r="R71" s="142">
        <f t="shared" si="8"/>
        <v>0.11405000000000003</v>
      </c>
      <c r="S71" s="141">
        <f>INDEX('G2-8 Summary'!V:V,MATCH('Bill Impact Detail'!K71,'G2-8 Summary'!J:J,0))</f>
        <v>0</v>
      </c>
      <c r="T71" s="141">
        <f>SUMIFS('Rate Design (Consol)'!L:L,'Rate Design (Consol)'!A:A,M71,'Rate Design (Consol)'!D:D,H71)</f>
        <v>0.70123999999999997</v>
      </c>
      <c r="U71" s="141"/>
      <c r="W71" s="64">
        <f>VLOOKUP($K71,'G2-8 Summary'!$J:$AA,15,FALSE)</f>
        <v>0.11405000000000003</v>
      </c>
      <c r="X71" s="64"/>
      <c r="Y71" s="64"/>
      <c r="Z71" s="64"/>
      <c r="AB71" s="63">
        <f t="shared" si="9"/>
        <v>348</v>
      </c>
      <c r="AC71" s="63">
        <f t="shared" si="10"/>
        <v>0</v>
      </c>
      <c r="AD71" s="63">
        <f t="shared" si="11"/>
        <v>7.0711000000000013</v>
      </c>
      <c r="AE71" s="63">
        <f t="shared" si="12"/>
        <v>0</v>
      </c>
      <c r="AF71" s="63">
        <f t="shared" si="13"/>
        <v>0</v>
      </c>
      <c r="AG71" s="63">
        <f t="shared" si="14"/>
        <v>0</v>
      </c>
      <c r="AH71" s="202">
        <f t="shared" si="15"/>
        <v>355.0711</v>
      </c>
      <c r="AI71" s="138"/>
      <c r="AJ71" s="63">
        <f t="shared" si="16"/>
        <v>480</v>
      </c>
      <c r="AK71" s="63">
        <f t="shared" si="17"/>
        <v>43.476880000000001</v>
      </c>
      <c r="AL71" s="63"/>
      <c r="AM71" s="63">
        <f t="shared" si="18"/>
        <v>0</v>
      </c>
      <c r="AN71" s="63">
        <f t="shared" si="19"/>
        <v>0</v>
      </c>
      <c r="AO71" s="63">
        <f t="shared" si="20"/>
        <v>0</v>
      </c>
      <c r="AP71" s="202">
        <f t="shared" si="23"/>
        <v>523.47688000000005</v>
      </c>
      <c r="AQ71" s="63">
        <f t="shared" si="24"/>
        <v>168.40578000000005</v>
      </c>
      <c r="AR71" s="157">
        <f t="shared" si="22"/>
        <v>0.47428748777357566</v>
      </c>
      <c r="AT71" s="111">
        <f>VLOOKUP(K71,'G2-8 Summary'!J:P,7,FALSE)</f>
        <v>39</v>
      </c>
      <c r="AU71" s="157">
        <f t="shared" ref="AU71:AU102" si="36">AT71/SUMIFS(AT:AT,G:G,G71,M:M,M71)</f>
        <v>1.8370230805463968E-2</v>
      </c>
      <c r="AW71" s="138">
        <f t="shared" ref="AW71:AW102" si="37">ROUND(AQ71*AU71,2)</f>
        <v>3.09</v>
      </c>
      <c r="AX71" s="139">
        <f t="shared" ref="AX71:AX102" si="38">ROUND(AR71*AU71,4)</f>
        <v>8.6999999999999994E-3</v>
      </c>
      <c r="BC71" s="109"/>
    </row>
    <row r="72" spans="1:55" s="167" customFormat="1" x14ac:dyDescent="0.25">
      <c r="A72" s="167" t="s">
        <v>172</v>
      </c>
      <c r="B72" s="167" t="s">
        <v>152</v>
      </c>
      <c r="C72" s="167" t="s">
        <v>173</v>
      </c>
      <c r="D72" s="167" t="s">
        <v>174</v>
      </c>
      <c r="E72" s="167" t="s">
        <v>79</v>
      </c>
      <c r="F72" s="167" t="str">
        <f>INDEX('Rate Design (Consol)'!$B$48:$B$66,MATCH('Bill Impact Detail'!G72,'Rate Design (Consol)'!$C$48:$C$66,0))</f>
        <v>RES-2</v>
      </c>
      <c r="G72" s="167" t="s">
        <v>9</v>
      </c>
      <c r="H72" s="167" t="str">
        <f>INDEX('Rate Design (Consol)'!$D$48:$D$66,MATCH('Bill Impact Detail'!I72,'Rate Design (Consol)'!$E$48:$E$66,0))</f>
        <v>RES-2</v>
      </c>
      <c r="I72" s="167" t="str">
        <f t="shared" si="35"/>
        <v>Residential - 2</v>
      </c>
      <c r="J72" s="167" t="str">
        <f>VLOOKUP(I72,'Rate Design (Consol)'!$E$48:$F$66,2,FALSE)</f>
        <v>&gt; 100 &lt; = 250</v>
      </c>
      <c r="K72" s="169" t="str">
        <f t="shared" ref="K72:K136" si="39">CONCATENATE(A72,"-",E72,"-",H72)</f>
        <v>CFG-CFG - Firm Transportation Service - 1 (Fixed Residential)-RES-2</v>
      </c>
      <c r="L72" s="169">
        <v>2</v>
      </c>
      <c r="M72" s="169" t="s">
        <v>257</v>
      </c>
      <c r="N72" s="138">
        <f>VLOOKUP(K72,'G2-8 Summary'!J:O,6,FALSE)</f>
        <v>172</v>
      </c>
      <c r="O72" s="63">
        <f>INDEX('G2-8 Summary'!S:S,MATCH('Bill Impact Detail'!K72,'G2-8 Summary'!J:J,0))</f>
        <v>29</v>
      </c>
      <c r="P72" s="63">
        <f>SUMIFS('Rate Design (Consol)'!K:K,'Rate Design (Consol)'!A:A,M72,'Rate Design (Consol)'!D:D,H72)</f>
        <v>19.5</v>
      </c>
      <c r="Q72" s="63"/>
      <c r="R72" s="142">
        <f t="shared" si="8"/>
        <v>0.11405000000000003</v>
      </c>
      <c r="S72" s="141">
        <f>INDEX('G2-8 Summary'!V:V,MATCH('Bill Impact Detail'!K72,'G2-8 Summary'!J:J,0))</f>
        <v>0</v>
      </c>
      <c r="T72" s="141">
        <f>SUMIFS('Rate Design (Consol)'!L:L,'Rate Design (Consol)'!A:A,M72,'Rate Design (Consol)'!D:D,H72)</f>
        <v>0.65271999999999997</v>
      </c>
      <c r="U72" s="141"/>
      <c r="W72" s="64">
        <f>VLOOKUP($K72,'G2-8 Summary'!$J:$AA,15,FALSE)</f>
        <v>0.11405000000000003</v>
      </c>
      <c r="X72" s="64"/>
      <c r="Y72" s="64"/>
      <c r="Z72" s="64"/>
      <c r="AB72" s="63">
        <f t="shared" ref="AB72:AB136" si="40">O72*12</f>
        <v>348</v>
      </c>
      <c r="AC72" s="63">
        <f t="shared" ref="AC72:AC136" si="41">N72*S72</f>
        <v>0</v>
      </c>
      <c r="AD72" s="63">
        <f t="shared" ref="AD72:AD136" si="42">$N72*W72</f>
        <v>19.616600000000005</v>
      </c>
      <c r="AE72" s="63">
        <f t="shared" ref="AE72:AE136" si="43">$N72*X72</f>
        <v>0</v>
      </c>
      <c r="AF72" s="63">
        <f t="shared" ref="AF72:AF136" si="44">$N72*Y72</f>
        <v>0</v>
      </c>
      <c r="AG72" s="63">
        <f t="shared" ref="AG72:AG136" si="45">$N72*Z72</f>
        <v>0</v>
      </c>
      <c r="AH72" s="202">
        <f t="shared" ref="AH72:AH136" si="46">SUM(AB72:AG72)</f>
        <v>367.61660000000001</v>
      </c>
      <c r="AI72" s="138"/>
      <c r="AJ72" s="63">
        <f t="shared" ref="AJ72:AJ136" si="47">P72*12</f>
        <v>234</v>
      </c>
      <c r="AK72" s="63">
        <f t="shared" ref="AK72:AK136" si="48">N72*T72</f>
        <v>112.26783999999999</v>
      </c>
      <c r="AL72" s="63"/>
      <c r="AM72" s="63">
        <f t="shared" si="18"/>
        <v>0</v>
      </c>
      <c r="AN72" s="63">
        <f t="shared" si="19"/>
        <v>0</v>
      </c>
      <c r="AO72" s="63">
        <f t="shared" si="20"/>
        <v>0</v>
      </c>
      <c r="AP72" s="202">
        <f t="shared" si="23"/>
        <v>346.26783999999998</v>
      </c>
      <c r="AQ72" s="63">
        <f t="shared" ref="AQ72:AQ104" si="49">AP72-AH72</f>
        <v>-21.348760000000027</v>
      </c>
      <c r="AR72" s="157">
        <f t="shared" si="22"/>
        <v>-5.8073438468230286E-2</v>
      </c>
      <c r="AT72" s="111">
        <f>VLOOKUP(K72,'G2-8 Summary'!J:P,7,FALSE)</f>
        <v>91</v>
      </c>
      <c r="AU72" s="157">
        <f t="shared" si="36"/>
        <v>2.4591271449804081E-3</v>
      </c>
      <c r="AW72" s="138">
        <f t="shared" si="37"/>
        <v>-0.05</v>
      </c>
      <c r="AX72" s="139">
        <f t="shared" si="38"/>
        <v>-1E-4</v>
      </c>
      <c r="BC72" s="109"/>
    </row>
    <row r="73" spans="1:55" s="167" customFormat="1" x14ac:dyDescent="0.25">
      <c r="A73" s="167" t="s">
        <v>172</v>
      </c>
      <c r="B73" s="167" t="s">
        <v>152</v>
      </c>
      <c r="C73" s="167" t="s">
        <v>173</v>
      </c>
      <c r="D73" s="167" t="s">
        <v>174</v>
      </c>
      <c r="E73" s="167" t="s">
        <v>79</v>
      </c>
      <c r="F73" s="167" t="str">
        <f>INDEX('Rate Design (Consol)'!$B$48:$B$66,MATCH('Bill Impact Detail'!G73,'Rate Design (Consol)'!$C$48:$C$66,0))</f>
        <v>RES-3</v>
      </c>
      <c r="G73" s="167" t="s">
        <v>266</v>
      </c>
      <c r="H73" s="167" t="str">
        <f>INDEX('Rate Design (Consol)'!$D$48:$D$66,MATCH('Bill Impact Detail'!I73,'Rate Design (Consol)'!$E$48:$E$66,0))</f>
        <v>RES-3</v>
      </c>
      <c r="I73" s="167" t="str">
        <f t="shared" si="35"/>
        <v>Residential - 3</v>
      </c>
      <c r="J73" s="167" t="str">
        <f>VLOOKUP(I73,'Rate Design (Consol)'!$E$48:$F$66,2,FALSE)</f>
        <v>n/a</v>
      </c>
      <c r="K73" s="169" t="str">
        <f t="shared" si="39"/>
        <v>CFG-CFG - Firm Transportation Service - 1 (Fixed Residential)-RES-3</v>
      </c>
      <c r="L73" s="169">
        <v>3</v>
      </c>
      <c r="M73" s="169" t="s">
        <v>257</v>
      </c>
      <c r="N73" s="138">
        <f>VLOOKUP(K73,'G2-8 Summary'!J:O,6,FALSE)</f>
        <v>419</v>
      </c>
      <c r="O73" s="63">
        <f>INDEX('G2-8 Summary'!S:S,MATCH('Bill Impact Detail'!K73,'G2-8 Summary'!J:J,0))</f>
        <v>29</v>
      </c>
      <c r="P73" s="63">
        <f>SUMIFS('Rate Design (Consol)'!K:K,'Rate Design (Consol)'!A:A,M73,'Rate Design (Consol)'!D:D,H73)</f>
        <v>26.5</v>
      </c>
      <c r="Q73" s="63"/>
      <c r="R73" s="142">
        <f t="shared" ref="R73:R137" si="50">S73+W73</f>
        <v>0.11405000000000003</v>
      </c>
      <c r="S73" s="141">
        <f>INDEX('G2-8 Summary'!V:V,MATCH('Bill Impact Detail'!K73,'G2-8 Summary'!J:J,0))</f>
        <v>0</v>
      </c>
      <c r="T73" s="141">
        <f>SUMIFS('Rate Design (Consol)'!L:L,'Rate Design (Consol)'!A:A,M73,'Rate Design (Consol)'!D:D,H73)</f>
        <v>0.65386</v>
      </c>
      <c r="U73" s="141"/>
      <c r="W73" s="64">
        <f>VLOOKUP($K73,'G2-8 Summary'!$J:$AA,15,FALSE)</f>
        <v>0.11405000000000003</v>
      </c>
      <c r="X73" s="64"/>
      <c r="Y73" s="64"/>
      <c r="Z73" s="64"/>
      <c r="AB73" s="63">
        <f t="shared" si="40"/>
        <v>348</v>
      </c>
      <c r="AC73" s="63">
        <f t="shared" si="41"/>
        <v>0</v>
      </c>
      <c r="AD73" s="63">
        <f t="shared" si="42"/>
        <v>47.786950000000012</v>
      </c>
      <c r="AE73" s="63">
        <f t="shared" si="43"/>
        <v>0</v>
      </c>
      <c r="AF73" s="63">
        <f t="shared" si="44"/>
        <v>0</v>
      </c>
      <c r="AG73" s="63">
        <f t="shared" si="45"/>
        <v>0</v>
      </c>
      <c r="AH73" s="202">
        <f t="shared" si="46"/>
        <v>395.78694999999999</v>
      </c>
      <c r="AI73" s="138"/>
      <c r="AJ73" s="63">
        <f t="shared" si="47"/>
        <v>318</v>
      </c>
      <c r="AK73" s="63">
        <f t="shared" si="48"/>
        <v>273.96733999999998</v>
      </c>
      <c r="AL73" s="63"/>
      <c r="AM73" s="63">
        <f t="shared" ref="AM73:AM137" si="51">$N73*X73</f>
        <v>0</v>
      </c>
      <c r="AN73" s="63">
        <f t="shared" ref="AN73:AN137" si="52">$N73*Y73</f>
        <v>0</v>
      </c>
      <c r="AO73" s="63">
        <f t="shared" ref="AO73:AO137" si="53">$N73*Z73</f>
        <v>0</v>
      </c>
      <c r="AP73" s="202">
        <f t="shared" si="23"/>
        <v>591.96733999999992</v>
      </c>
      <c r="AQ73" s="63">
        <f t="shared" si="49"/>
        <v>196.18038999999993</v>
      </c>
      <c r="AR73" s="157">
        <f t="shared" ref="AR73:AR137" si="54">IFERROR(AQ73/AH73,0)</f>
        <v>0.49567169913004949</v>
      </c>
      <c r="AT73" s="111">
        <f>VLOOKUP(K73,'G2-8 Summary'!J:P,7,FALSE)</f>
        <v>44</v>
      </c>
      <c r="AU73" s="157">
        <f t="shared" si="36"/>
        <v>2.2763722903409384E-3</v>
      </c>
      <c r="AW73" s="138">
        <f t="shared" si="37"/>
        <v>0.45</v>
      </c>
      <c r="AX73" s="139">
        <f t="shared" si="38"/>
        <v>1.1000000000000001E-3</v>
      </c>
      <c r="BC73" s="109"/>
    </row>
    <row r="74" spans="1:55" s="167" customFormat="1" x14ac:dyDescent="0.25">
      <c r="A74" s="167" t="s">
        <v>172</v>
      </c>
      <c r="B74" s="167" t="s">
        <v>152</v>
      </c>
      <c r="C74" s="167" t="s">
        <v>173</v>
      </c>
      <c r="D74" s="167" t="s">
        <v>174</v>
      </c>
      <c r="E74" s="167" t="s">
        <v>79</v>
      </c>
      <c r="F74" s="167" t="str">
        <f>INDEX('Rate Design (Consol)'!$B$48:$B$66,MATCH('Bill Impact Detail'!G74,'Rate Design (Consol)'!$C$48:$C$66,0))</f>
        <v>RES-1</v>
      </c>
      <c r="G74" s="167" t="s">
        <v>8</v>
      </c>
      <c r="H74" s="167" t="str">
        <f>INDEX('Rate Design (Consol)'!$D$48:$D$66,MATCH('Bill Impact Detail'!I74,'Rate Design (Consol)'!$E$48:$E$66,0))</f>
        <v>RES-1</v>
      </c>
      <c r="I74" s="167" t="str">
        <f t="shared" si="35"/>
        <v>Residential - 1</v>
      </c>
      <c r="J74" s="167" t="str">
        <f>VLOOKUP(I74,'Rate Design (Consol)'!$E$48:$F$66,2,FALSE)</f>
        <v>&lt; = 100</v>
      </c>
      <c r="K74" s="169" t="str">
        <f t="shared" si="39"/>
        <v>CFG-CFG - Firm Transportation Service - 1 (Fixed Residential)-RES-1</v>
      </c>
      <c r="L74" s="169">
        <v>1</v>
      </c>
      <c r="M74" s="169" t="s">
        <v>257</v>
      </c>
      <c r="N74" s="138">
        <f>VLOOKUP(K74,'G2-8 Summary'!J:O,6,FALSE)</f>
        <v>53</v>
      </c>
      <c r="O74" s="63">
        <f>INDEX('G2-8 Summary'!S:S,MATCH('Bill Impact Detail'!K74,'G2-8 Summary'!J:J,0))</f>
        <v>29</v>
      </c>
      <c r="P74" s="63">
        <f>SUMIFS('Rate Design (Consol)'!K:K,'Rate Design (Consol)'!A:A,M74,'Rate Design (Consol)'!D:D,H74)</f>
        <v>16.5</v>
      </c>
      <c r="Q74" s="63"/>
      <c r="R74" s="142">
        <f t="shared" si="50"/>
        <v>0.11405000000000003</v>
      </c>
      <c r="S74" s="141">
        <f>INDEX('G2-8 Summary'!V:V,MATCH('Bill Impact Detail'!K74,'G2-8 Summary'!J:J,0))</f>
        <v>0</v>
      </c>
      <c r="T74" s="141">
        <f>SUMIFS('Rate Design (Consol)'!L:L,'Rate Design (Consol)'!A:A,M74,'Rate Design (Consol)'!D:D,H74)</f>
        <v>0.65229000000000004</v>
      </c>
      <c r="U74" s="141"/>
      <c r="W74" s="64">
        <f>VLOOKUP($K74,'G2-8 Summary'!$J:$AA,15,FALSE)</f>
        <v>0.11405000000000003</v>
      </c>
      <c r="X74" s="64"/>
      <c r="Y74" s="64"/>
      <c r="Z74" s="64"/>
      <c r="AB74" s="63">
        <f t="shared" si="40"/>
        <v>348</v>
      </c>
      <c r="AC74" s="63">
        <f t="shared" si="41"/>
        <v>0</v>
      </c>
      <c r="AD74" s="63">
        <f t="shared" si="42"/>
        <v>6.0446500000000016</v>
      </c>
      <c r="AE74" s="63">
        <f t="shared" si="43"/>
        <v>0</v>
      </c>
      <c r="AF74" s="63">
        <f t="shared" si="44"/>
        <v>0</v>
      </c>
      <c r="AG74" s="63">
        <f t="shared" si="45"/>
        <v>0</v>
      </c>
      <c r="AH74" s="202">
        <f t="shared" si="46"/>
        <v>354.04464999999999</v>
      </c>
      <c r="AI74" s="138"/>
      <c r="AJ74" s="63">
        <f t="shared" si="47"/>
        <v>198</v>
      </c>
      <c r="AK74" s="63">
        <f t="shared" si="48"/>
        <v>34.571370000000002</v>
      </c>
      <c r="AL74" s="63"/>
      <c r="AM74" s="63">
        <f t="shared" si="51"/>
        <v>0</v>
      </c>
      <c r="AN74" s="63">
        <f t="shared" si="52"/>
        <v>0</v>
      </c>
      <c r="AO74" s="63">
        <f t="shared" si="53"/>
        <v>0</v>
      </c>
      <c r="AP74" s="202">
        <f t="shared" si="23"/>
        <v>232.57137</v>
      </c>
      <c r="AQ74" s="63">
        <f t="shared" si="49"/>
        <v>-121.47327999999999</v>
      </c>
      <c r="AR74" s="157">
        <f t="shared" si="54"/>
        <v>-0.34310158337373547</v>
      </c>
      <c r="AT74" s="111">
        <f>VLOOKUP(K74,'G2-8 Summary'!J:P,7,FALSE)</f>
        <v>39</v>
      </c>
      <c r="AU74" s="157">
        <f t="shared" si="36"/>
        <v>1.4016172506738545E-3</v>
      </c>
      <c r="AW74" s="138">
        <f t="shared" si="37"/>
        <v>-0.17</v>
      </c>
      <c r="AX74" s="139">
        <f t="shared" si="38"/>
        <v>-5.0000000000000001E-4</v>
      </c>
      <c r="BC74" s="109"/>
    </row>
    <row r="75" spans="1:55" s="167" customFormat="1" x14ac:dyDescent="0.25">
      <c r="A75" s="167" t="s">
        <v>172</v>
      </c>
      <c r="B75" s="167" t="s">
        <v>155</v>
      </c>
      <c r="C75" s="167" t="s">
        <v>173</v>
      </c>
      <c r="D75" s="167" t="s">
        <v>174</v>
      </c>
      <c r="E75" s="167" t="s">
        <v>89</v>
      </c>
      <c r="F75" s="167" t="str">
        <f>INDEX('Rate Design (Consol)'!$B$48:$B$66,MATCH('Bill Impact Detail'!G75,'Rate Design (Consol)'!$C$48:$C$66,0))</f>
        <v>GS-2</v>
      </c>
      <c r="G75" s="167" t="s">
        <v>12</v>
      </c>
      <c r="H75" s="167" t="str">
        <f>INDEX('Rate Design (Consol)'!$D$48:$D$66,MATCH('Bill Impact Detail'!I75,'Rate Design (Consol)'!$E$48:$E$66,0))</f>
        <v>GS-2</v>
      </c>
      <c r="I75" s="167" t="str">
        <f t="shared" si="35"/>
        <v>General Service - 2</v>
      </c>
      <c r="J75" s="167" t="str">
        <f>VLOOKUP(I75,'Rate Design (Consol)'!$E$48:$F$66,2,FALSE)</f>
        <v>&gt; 1000 &lt; = 5,000</v>
      </c>
      <c r="K75" s="169" t="str">
        <f t="shared" si="39"/>
        <v>CFG-CFG - Firm Transportation Service - 1 Non-Residential-GS-2</v>
      </c>
      <c r="L75" s="169">
        <v>6</v>
      </c>
      <c r="M75" s="169" t="s">
        <v>257</v>
      </c>
      <c r="N75" s="138">
        <f>VLOOKUP(K75,'G2-8 Summary'!J:O,6,FALSE)</f>
        <v>1799</v>
      </c>
      <c r="O75" s="63">
        <f>INDEX('G2-8 Summary'!S:S,MATCH('Bill Impact Detail'!K75,'G2-8 Summary'!J:J,0))</f>
        <v>19</v>
      </c>
      <c r="P75" s="63">
        <f>SUMIFS('Rate Design (Consol)'!K:K,'Rate Design (Consol)'!A:A,M75,'Rate Design (Consol)'!D:D,H75)</f>
        <v>70</v>
      </c>
      <c r="Q75" s="63"/>
      <c r="R75" s="142">
        <f t="shared" si="50"/>
        <v>0.57715000000000005</v>
      </c>
      <c r="S75" s="141">
        <f>INDEX('G2-8 Summary'!V:V,MATCH('Bill Impact Detail'!K75,'G2-8 Summary'!J:J,0))</f>
        <v>0.46310000000000001</v>
      </c>
      <c r="T75" s="141">
        <f>SUMIFS('Rate Design (Consol)'!L:L,'Rate Design (Consol)'!A:A,M75,'Rate Design (Consol)'!D:D,H75)</f>
        <v>0.69901999999999997</v>
      </c>
      <c r="U75" s="141"/>
      <c r="W75" s="64">
        <f>VLOOKUP($K75,'G2-8 Summary'!$J:$AA,15,FALSE)</f>
        <v>0.11405000000000003</v>
      </c>
      <c r="X75" s="64"/>
      <c r="Y75" s="64"/>
      <c r="Z75" s="64"/>
      <c r="AB75" s="63">
        <f t="shared" si="40"/>
        <v>228</v>
      </c>
      <c r="AC75" s="63">
        <f t="shared" si="41"/>
        <v>833.11689999999999</v>
      </c>
      <c r="AD75" s="63">
        <f t="shared" si="42"/>
        <v>205.17595000000006</v>
      </c>
      <c r="AE75" s="63">
        <f t="shared" si="43"/>
        <v>0</v>
      </c>
      <c r="AF75" s="63">
        <f t="shared" si="44"/>
        <v>0</v>
      </c>
      <c r="AG75" s="63">
        <f t="shared" si="45"/>
        <v>0</v>
      </c>
      <c r="AH75" s="202">
        <f t="shared" si="46"/>
        <v>1266.29285</v>
      </c>
      <c r="AI75" s="138"/>
      <c r="AJ75" s="63">
        <f t="shared" si="47"/>
        <v>840</v>
      </c>
      <c r="AK75" s="63">
        <f t="shared" si="48"/>
        <v>1257.5369799999999</v>
      </c>
      <c r="AL75" s="63"/>
      <c r="AM75" s="63">
        <f t="shared" si="51"/>
        <v>0</v>
      </c>
      <c r="AN75" s="63">
        <f t="shared" si="52"/>
        <v>0</v>
      </c>
      <c r="AO75" s="63">
        <f t="shared" si="53"/>
        <v>0</v>
      </c>
      <c r="AP75" s="202">
        <f t="shared" si="23"/>
        <v>2097.5369799999999</v>
      </c>
      <c r="AQ75" s="63">
        <f t="shared" si="49"/>
        <v>831.24412999999981</v>
      </c>
      <c r="AR75" s="157">
        <f t="shared" si="54"/>
        <v>0.65643909305813408</v>
      </c>
      <c r="AT75" s="111">
        <f>VLOOKUP(K75,'G2-8 Summary'!J:P,7,FALSE)</f>
        <v>10</v>
      </c>
      <c r="AU75" s="157">
        <f t="shared" si="36"/>
        <v>4.0420371867421184E-3</v>
      </c>
      <c r="AW75" s="138">
        <f t="shared" si="37"/>
        <v>3.36</v>
      </c>
      <c r="AX75" s="139">
        <f t="shared" si="38"/>
        <v>2.7000000000000001E-3</v>
      </c>
      <c r="BC75" s="109"/>
    </row>
    <row r="76" spans="1:55" s="167" customFormat="1" x14ac:dyDescent="0.25">
      <c r="A76" s="167" t="s">
        <v>172</v>
      </c>
      <c r="B76" s="167" t="s">
        <v>155</v>
      </c>
      <c r="C76" s="167" t="s">
        <v>173</v>
      </c>
      <c r="D76" s="167" t="s">
        <v>174</v>
      </c>
      <c r="E76" s="167" t="s">
        <v>89</v>
      </c>
      <c r="F76" s="167" t="str">
        <f>INDEX('Rate Design (Consol)'!$B$48:$B$66,MATCH('Bill Impact Detail'!G76,'Rate Design (Consol)'!$C$48:$C$66,0))</f>
        <v>GS-1</v>
      </c>
      <c r="G76" s="167" t="s">
        <v>11</v>
      </c>
      <c r="H76" s="167" t="str">
        <f>INDEX('Rate Design (Consol)'!$D$48:$D$66,MATCH('Bill Impact Detail'!I76,'Rate Design (Consol)'!$E$48:$E$66,0))</f>
        <v>GS-1</v>
      </c>
      <c r="I76" s="167" t="str">
        <f t="shared" si="35"/>
        <v>General Service - 1</v>
      </c>
      <c r="J76" s="167" t="str">
        <f>VLOOKUP(I76,'Rate Design (Consol)'!$E$48:$F$66,2,FALSE)</f>
        <v>&lt; = 1000</v>
      </c>
      <c r="K76" s="169" t="str">
        <f t="shared" si="39"/>
        <v>CFG-CFG - Firm Transportation Service - 1 Non-Residential-GS-1</v>
      </c>
      <c r="L76" s="169">
        <v>5</v>
      </c>
      <c r="M76" s="169" t="s">
        <v>257</v>
      </c>
      <c r="N76" s="138">
        <f>VLOOKUP(K76,'G2-8 Summary'!J:O,6,FALSE)</f>
        <v>137</v>
      </c>
      <c r="O76" s="63">
        <f>INDEX('G2-8 Summary'!S:S,MATCH('Bill Impact Detail'!K76,'G2-8 Summary'!J:J,0))</f>
        <v>19</v>
      </c>
      <c r="P76" s="63">
        <f>SUMIFS('Rate Design (Consol)'!K:K,'Rate Design (Consol)'!A:A,M76,'Rate Design (Consol)'!D:D,H76)</f>
        <v>40</v>
      </c>
      <c r="Q76" s="63"/>
      <c r="R76" s="142">
        <f t="shared" si="50"/>
        <v>0.57715000000000005</v>
      </c>
      <c r="S76" s="141">
        <f>INDEX('G2-8 Summary'!V:V,MATCH('Bill Impact Detail'!K76,'G2-8 Summary'!J:J,0))</f>
        <v>0.46310000000000001</v>
      </c>
      <c r="T76" s="141">
        <f>SUMIFS('Rate Design (Consol)'!L:L,'Rate Design (Consol)'!A:A,M76,'Rate Design (Consol)'!D:D,H76)</f>
        <v>0.70123999999999997</v>
      </c>
      <c r="U76" s="141"/>
      <c r="W76" s="64">
        <f>VLOOKUP($K76,'G2-8 Summary'!$J:$AA,15,FALSE)</f>
        <v>0.11405000000000003</v>
      </c>
      <c r="X76" s="64"/>
      <c r="Y76" s="64"/>
      <c r="Z76" s="64"/>
      <c r="AB76" s="63">
        <f t="shared" si="40"/>
        <v>228</v>
      </c>
      <c r="AC76" s="63">
        <f t="shared" si="41"/>
        <v>63.444700000000005</v>
      </c>
      <c r="AD76" s="63">
        <f t="shared" si="42"/>
        <v>15.624850000000004</v>
      </c>
      <c r="AE76" s="63">
        <f t="shared" si="43"/>
        <v>0</v>
      </c>
      <c r="AF76" s="63">
        <f t="shared" si="44"/>
        <v>0</v>
      </c>
      <c r="AG76" s="63">
        <f t="shared" si="45"/>
        <v>0</v>
      </c>
      <c r="AH76" s="202">
        <f t="shared" si="46"/>
        <v>307.06954999999999</v>
      </c>
      <c r="AI76" s="138"/>
      <c r="AJ76" s="63">
        <f t="shared" si="47"/>
        <v>480</v>
      </c>
      <c r="AK76" s="63">
        <f t="shared" si="48"/>
        <v>96.069879999999998</v>
      </c>
      <c r="AL76" s="63"/>
      <c r="AM76" s="63">
        <f t="shared" si="51"/>
        <v>0</v>
      </c>
      <c r="AN76" s="63">
        <f t="shared" si="52"/>
        <v>0</v>
      </c>
      <c r="AO76" s="63">
        <f t="shared" si="53"/>
        <v>0</v>
      </c>
      <c r="AP76" s="202">
        <f t="shared" si="23"/>
        <v>576.06988000000001</v>
      </c>
      <c r="AQ76" s="63">
        <f t="shared" si="49"/>
        <v>269.00033000000002</v>
      </c>
      <c r="AR76" s="157">
        <f t="shared" si="54"/>
        <v>0.87602411245270018</v>
      </c>
      <c r="AT76" s="111">
        <f>VLOOKUP(K76,'G2-8 Summary'!J:P,7,FALSE)</f>
        <v>194</v>
      </c>
      <c r="AU76" s="157">
        <f t="shared" si="36"/>
        <v>9.1380122468205371E-2</v>
      </c>
      <c r="AW76" s="138">
        <f t="shared" si="37"/>
        <v>24.58</v>
      </c>
      <c r="AX76" s="139">
        <f t="shared" si="38"/>
        <v>8.0100000000000005E-2</v>
      </c>
      <c r="BC76" s="109"/>
    </row>
    <row r="77" spans="1:55" s="167" customFormat="1" x14ac:dyDescent="0.25">
      <c r="A77" s="167" t="s">
        <v>172</v>
      </c>
      <c r="B77" s="167" t="s">
        <v>152</v>
      </c>
      <c r="C77" s="167" t="s">
        <v>173</v>
      </c>
      <c r="D77" s="167" t="s">
        <v>174</v>
      </c>
      <c r="E77" s="167" t="s">
        <v>73</v>
      </c>
      <c r="F77" s="167" t="str">
        <f>INDEX('Rate Design (Consol)'!$B$48:$B$66,MATCH('Bill Impact Detail'!G77,'Rate Design (Consol)'!$C$48:$C$66,0))</f>
        <v>RES-2</v>
      </c>
      <c r="G77" s="167" t="s">
        <v>9</v>
      </c>
      <c r="H77" s="167" t="str">
        <f>INDEX('Rate Design (Consol)'!$D$48:$D$66,MATCH('Bill Impact Detail'!I77,'Rate Design (Consol)'!$E$48:$E$66,0))</f>
        <v>RES-2</v>
      </c>
      <c r="I77" s="167" t="str">
        <f t="shared" si="35"/>
        <v>Residential - 2</v>
      </c>
      <c r="J77" s="167" t="str">
        <f>VLOOKUP(I77,'Rate Design (Consol)'!$E$48:$F$66,2,FALSE)</f>
        <v>&gt; 100 &lt; = 250</v>
      </c>
      <c r="K77" s="169" t="str">
        <f t="shared" si="39"/>
        <v>CFG-CFG - Firm Transportation Service - 1 Residential-RES-2</v>
      </c>
      <c r="L77" s="169">
        <v>2</v>
      </c>
      <c r="M77" s="169" t="s">
        <v>257</v>
      </c>
      <c r="N77" s="138">
        <f>VLOOKUP(K77,'G2-8 Summary'!J:O,6,FALSE)</f>
        <v>163</v>
      </c>
      <c r="O77" s="63">
        <f>INDEX('G2-8 Summary'!S:S,MATCH('Bill Impact Detail'!K77,'G2-8 Summary'!J:J,0))</f>
        <v>19</v>
      </c>
      <c r="P77" s="63">
        <f>SUMIFS('Rate Design (Consol)'!K:K,'Rate Design (Consol)'!A:A,M77,'Rate Design (Consol)'!D:D,H77)</f>
        <v>19.5</v>
      </c>
      <c r="Q77" s="63"/>
      <c r="R77" s="142">
        <f t="shared" si="50"/>
        <v>0.57715000000000005</v>
      </c>
      <c r="S77" s="141">
        <f>INDEX('G2-8 Summary'!V:V,MATCH('Bill Impact Detail'!K77,'G2-8 Summary'!J:J,0))</f>
        <v>0.46310000000000001</v>
      </c>
      <c r="T77" s="141">
        <f>SUMIFS('Rate Design (Consol)'!L:L,'Rate Design (Consol)'!A:A,M77,'Rate Design (Consol)'!D:D,H77)</f>
        <v>0.65271999999999997</v>
      </c>
      <c r="U77" s="141"/>
      <c r="W77" s="64">
        <f>VLOOKUP($K77,'G2-8 Summary'!$J:$AA,15,FALSE)</f>
        <v>0.11405000000000003</v>
      </c>
      <c r="X77" s="64"/>
      <c r="Y77" s="64"/>
      <c r="Z77" s="64"/>
      <c r="AB77" s="63">
        <f t="shared" si="40"/>
        <v>228</v>
      </c>
      <c r="AC77" s="63">
        <f t="shared" si="41"/>
        <v>75.485299999999995</v>
      </c>
      <c r="AD77" s="63">
        <f t="shared" si="42"/>
        <v>18.590150000000005</v>
      </c>
      <c r="AE77" s="63">
        <f t="shared" si="43"/>
        <v>0</v>
      </c>
      <c r="AF77" s="63">
        <f t="shared" si="44"/>
        <v>0</v>
      </c>
      <c r="AG77" s="63">
        <f t="shared" si="45"/>
        <v>0</v>
      </c>
      <c r="AH77" s="202">
        <f t="shared" si="46"/>
        <v>322.07544999999999</v>
      </c>
      <c r="AI77" s="138"/>
      <c r="AJ77" s="63">
        <f t="shared" si="47"/>
        <v>234</v>
      </c>
      <c r="AK77" s="63">
        <f t="shared" si="48"/>
        <v>106.39336</v>
      </c>
      <c r="AL77" s="63"/>
      <c r="AM77" s="63">
        <f t="shared" si="51"/>
        <v>0</v>
      </c>
      <c r="AN77" s="63">
        <f t="shared" si="52"/>
        <v>0</v>
      </c>
      <c r="AO77" s="63">
        <f t="shared" si="53"/>
        <v>0</v>
      </c>
      <c r="AP77" s="202">
        <f t="shared" si="23"/>
        <v>340.39336000000003</v>
      </c>
      <c r="AQ77" s="63">
        <f t="shared" si="49"/>
        <v>18.31791000000004</v>
      </c>
      <c r="AR77" s="157">
        <f t="shared" si="54"/>
        <v>5.6874592583818606E-2</v>
      </c>
      <c r="AT77" s="111">
        <f>VLOOKUP(K77,'G2-8 Summary'!J:P,7,FALSE)</f>
        <v>7307</v>
      </c>
      <c r="AU77" s="157">
        <f t="shared" si="36"/>
        <v>0.19745980272936089</v>
      </c>
      <c r="AW77" s="138">
        <f t="shared" si="37"/>
        <v>3.62</v>
      </c>
      <c r="AX77" s="139">
        <f t="shared" si="38"/>
        <v>1.12E-2</v>
      </c>
      <c r="BC77" s="109"/>
    </row>
    <row r="78" spans="1:55" s="167" customFormat="1" x14ac:dyDescent="0.25">
      <c r="A78" s="167" t="s">
        <v>172</v>
      </c>
      <c r="B78" s="167" t="s">
        <v>152</v>
      </c>
      <c r="C78" s="167" t="s">
        <v>173</v>
      </c>
      <c r="D78" s="167" t="s">
        <v>174</v>
      </c>
      <c r="E78" s="167" t="s">
        <v>73</v>
      </c>
      <c r="F78" s="167" t="str">
        <f>INDEX('Rate Design (Consol)'!$B$48:$B$66,MATCH('Bill Impact Detail'!G78,'Rate Design (Consol)'!$C$48:$C$66,0))</f>
        <v>RES-3</v>
      </c>
      <c r="G78" s="167" t="s">
        <v>266</v>
      </c>
      <c r="H78" s="167" t="str">
        <f>INDEX('Rate Design (Consol)'!$D$48:$D$66,MATCH('Bill Impact Detail'!I78,'Rate Design (Consol)'!$E$48:$E$66,0))</f>
        <v>RES-3</v>
      </c>
      <c r="I78" s="167" t="str">
        <f t="shared" si="35"/>
        <v>Residential - 3</v>
      </c>
      <c r="J78" s="167" t="str">
        <f>VLOOKUP(I78,'Rate Design (Consol)'!$E$48:$F$66,2,FALSE)</f>
        <v>n/a</v>
      </c>
      <c r="K78" s="169" t="str">
        <f t="shared" si="39"/>
        <v>CFG-CFG - Firm Transportation Service - 1 Residential-RES-3</v>
      </c>
      <c r="L78" s="169">
        <v>3</v>
      </c>
      <c r="M78" s="169" t="s">
        <v>257</v>
      </c>
      <c r="N78" s="138">
        <f>VLOOKUP(K78,'G2-8 Summary'!J:O,6,FALSE)</f>
        <v>503</v>
      </c>
      <c r="O78" s="63">
        <f>INDEX('G2-8 Summary'!S:S,MATCH('Bill Impact Detail'!K78,'G2-8 Summary'!J:J,0))</f>
        <v>19</v>
      </c>
      <c r="P78" s="63">
        <f>SUMIFS('Rate Design (Consol)'!K:K,'Rate Design (Consol)'!A:A,M78,'Rate Design (Consol)'!D:D,H78)</f>
        <v>26.5</v>
      </c>
      <c r="Q78" s="63"/>
      <c r="R78" s="142">
        <f t="shared" si="50"/>
        <v>0.57715000000000005</v>
      </c>
      <c r="S78" s="141">
        <f>INDEX('G2-8 Summary'!V:V,MATCH('Bill Impact Detail'!K78,'G2-8 Summary'!J:J,0))</f>
        <v>0.46310000000000001</v>
      </c>
      <c r="T78" s="141">
        <f>SUMIFS('Rate Design (Consol)'!L:L,'Rate Design (Consol)'!A:A,M78,'Rate Design (Consol)'!D:D,H78)</f>
        <v>0.65386</v>
      </c>
      <c r="U78" s="141"/>
      <c r="W78" s="64">
        <f>VLOOKUP($K78,'G2-8 Summary'!$J:$AA,15,FALSE)</f>
        <v>0.11405000000000003</v>
      </c>
      <c r="X78" s="64"/>
      <c r="Y78" s="64"/>
      <c r="Z78" s="64"/>
      <c r="AB78" s="63">
        <f t="shared" si="40"/>
        <v>228</v>
      </c>
      <c r="AC78" s="63">
        <f t="shared" si="41"/>
        <v>232.9393</v>
      </c>
      <c r="AD78" s="63">
        <f t="shared" si="42"/>
        <v>57.367150000000017</v>
      </c>
      <c r="AE78" s="63">
        <f t="shared" si="43"/>
        <v>0</v>
      </c>
      <c r="AF78" s="63">
        <f t="shared" si="44"/>
        <v>0</v>
      </c>
      <c r="AG78" s="63">
        <f t="shared" si="45"/>
        <v>0</v>
      </c>
      <c r="AH78" s="202">
        <f t="shared" si="46"/>
        <v>518.30645000000004</v>
      </c>
      <c r="AI78" s="138"/>
      <c r="AJ78" s="63">
        <f t="shared" si="47"/>
        <v>318</v>
      </c>
      <c r="AK78" s="63">
        <f t="shared" si="48"/>
        <v>328.89157999999998</v>
      </c>
      <c r="AL78" s="63"/>
      <c r="AM78" s="63">
        <f t="shared" si="51"/>
        <v>0</v>
      </c>
      <c r="AN78" s="63">
        <f t="shared" si="52"/>
        <v>0</v>
      </c>
      <c r="AO78" s="63">
        <f t="shared" si="53"/>
        <v>0</v>
      </c>
      <c r="AP78" s="202">
        <f t="shared" si="23"/>
        <v>646.89157999999998</v>
      </c>
      <c r="AQ78" s="63">
        <f t="shared" si="49"/>
        <v>128.58512999999994</v>
      </c>
      <c r="AR78" s="157">
        <f t="shared" si="54"/>
        <v>0.24808707281184697</v>
      </c>
      <c r="AT78" s="111">
        <f>VLOOKUP(K78,'G2-8 Summary'!J:P,7,FALSE)</f>
        <v>2493</v>
      </c>
      <c r="AU78" s="157">
        <f t="shared" si="36"/>
        <v>0.12897718454136273</v>
      </c>
      <c r="AW78" s="138">
        <f t="shared" si="37"/>
        <v>16.579999999999998</v>
      </c>
      <c r="AX78" s="139">
        <f t="shared" si="38"/>
        <v>3.2000000000000001E-2</v>
      </c>
      <c r="BC78" s="109"/>
    </row>
    <row r="79" spans="1:55" s="167" customFormat="1" x14ac:dyDescent="0.25">
      <c r="A79" s="167" t="s">
        <v>172</v>
      </c>
      <c r="B79" s="167" t="s">
        <v>152</v>
      </c>
      <c r="C79" s="167" t="s">
        <v>173</v>
      </c>
      <c r="D79" s="167" t="s">
        <v>174</v>
      </c>
      <c r="E79" s="167" t="s">
        <v>73</v>
      </c>
      <c r="F79" s="167" t="str">
        <f>INDEX('Rate Design (Consol)'!$B$48:$B$66,MATCH('Bill Impact Detail'!G79,'Rate Design (Consol)'!$C$48:$C$66,0))</f>
        <v>RES-1</v>
      </c>
      <c r="G79" s="167" t="s">
        <v>8</v>
      </c>
      <c r="H79" s="167" t="str">
        <f>INDEX('Rate Design (Consol)'!$D$48:$D$66,MATCH('Bill Impact Detail'!I79,'Rate Design (Consol)'!$E$48:$E$66,0))</f>
        <v>RES-1</v>
      </c>
      <c r="I79" s="167" t="str">
        <f t="shared" si="35"/>
        <v>Residential - 1</v>
      </c>
      <c r="J79" s="167" t="str">
        <f>VLOOKUP(I79,'Rate Design (Consol)'!$E$48:$F$66,2,FALSE)</f>
        <v>&lt; = 100</v>
      </c>
      <c r="K79" s="169" t="str">
        <f t="shared" si="39"/>
        <v>CFG-CFG - Firm Transportation Service - 1 Residential-RES-1</v>
      </c>
      <c r="L79" s="169">
        <v>1</v>
      </c>
      <c r="M79" s="169" t="s">
        <v>257</v>
      </c>
      <c r="N79" s="138">
        <f>VLOOKUP(K79,'G2-8 Summary'!J:O,6,FALSE)</f>
        <v>60</v>
      </c>
      <c r="O79" s="63">
        <f>INDEX('G2-8 Summary'!S:S,MATCH('Bill Impact Detail'!K79,'G2-8 Summary'!J:J,0))</f>
        <v>19</v>
      </c>
      <c r="P79" s="63">
        <f>SUMIFS('Rate Design (Consol)'!K:K,'Rate Design (Consol)'!A:A,M79,'Rate Design (Consol)'!D:D,H79)</f>
        <v>16.5</v>
      </c>
      <c r="Q79" s="63"/>
      <c r="R79" s="142">
        <f t="shared" si="50"/>
        <v>0.57715000000000005</v>
      </c>
      <c r="S79" s="141">
        <f>INDEX('G2-8 Summary'!V:V,MATCH('Bill Impact Detail'!K79,'G2-8 Summary'!J:J,0))</f>
        <v>0.46310000000000001</v>
      </c>
      <c r="T79" s="141">
        <f>SUMIFS('Rate Design (Consol)'!L:L,'Rate Design (Consol)'!A:A,M79,'Rate Design (Consol)'!D:D,H79)</f>
        <v>0.65229000000000004</v>
      </c>
      <c r="U79" s="141"/>
      <c r="W79" s="64">
        <f>VLOOKUP($K79,'G2-8 Summary'!$J:$AA,15,FALSE)</f>
        <v>0.11405000000000003</v>
      </c>
      <c r="X79" s="64"/>
      <c r="Y79" s="64"/>
      <c r="Z79" s="64"/>
      <c r="AB79" s="63">
        <f t="shared" si="40"/>
        <v>228</v>
      </c>
      <c r="AC79" s="63">
        <f t="shared" si="41"/>
        <v>27.786000000000001</v>
      </c>
      <c r="AD79" s="63">
        <f t="shared" si="42"/>
        <v>6.8430000000000017</v>
      </c>
      <c r="AE79" s="63">
        <f t="shared" si="43"/>
        <v>0</v>
      </c>
      <c r="AF79" s="63">
        <f t="shared" si="44"/>
        <v>0</v>
      </c>
      <c r="AG79" s="63">
        <f t="shared" si="45"/>
        <v>0</v>
      </c>
      <c r="AH79" s="202">
        <f t="shared" si="46"/>
        <v>262.62900000000002</v>
      </c>
      <c r="AI79" s="138"/>
      <c r="AJ79" s="63">
        <f t="shared" si="47"/>
        <v>198</v>
      </c>
      <c r="AK79" s="63">
        <f t="shared" si="48"/>
        <v>39.1374</v>
      </c>
      <c r="AL79" s="63"/>
      <c r="AM79" s="63">
        <f t="shared" si="51"/>
        <v>0</v>
      </c>
      <c r="AN79" s="63">
        <f t="shared" si="52"/>
        <v>0</v>
      </c>
      <c r="AO79" s="63">
        <f t="shared" si="53"/>
        <v>0</v>
      </c>
      <c r="AP79" s="202">
        <f t="shared" si="23"/>
        <v>237.13740000000001</v>
      </c>
      <c r="AQ79" s="63">
        <f t="shared" si="49"/>
        <v>-25.491600000000005</v>
      </c>
      <c r="AR79" s="157">
        <f t="shared" si="54"/>
        <v>-9.7063157534011874E-2</v>
      </c>
      <c r="AT79" s="111">
        <f>VLOOKUP(K79,'G2-8 Summary'!J:P,7,FALSE)</f>
        <v>4907</v>
      </c>
      <c r="AU79" s="157">
        <f t="shared" si="36"/>
        <v>0.17635220125786163</v>
      </c>
      <c r="AW79" s="138">
        <f t="shared" si="37"/>
        <v>-4.5</v>
      </c>
      <c r="AX79" s="139">
        <f t="shared" si="38"/>
        <v>-1.7100000000000001E-2</v>
      </c>
      <c r="BC79" s="109"/>
    </row>
    <row r="80" spans="1:55" s="167" customFormat="1" x14ac:dyDescent="0.25">
      <c r="A80" s="167" t="s">
        <v>172</v>
      </c>
      <c r="B80" s="167" t="s">
        <v>155</v>
      </c>
      <c r="C80" s="167" t="s">
        <v>175</v>
      </c>
      <c r="D80" s="167" t="s">
        <v>174</v>
      </c>
      <c r="E80" s="167" t="s">
        <v>120</v>
      </c>
      <c r="F80" s="167" t="str">
        <f>INDEX('Rate Design (Consol)'!$B$48:$B$66,MATCH('Bill Impact Detail'!G80,'Rate Design (Consol)'!$C$48:$C$66,0))</f>
        <v>GS-7</v>
      </c>
      <c r="G80" s="167" t="s">
        <v>17</v>
      </c>
      <c r="H80" s="167" t="str">
        <f>INDEX('Rate Design (Consol)'!$D$48:$D$66,MATCH('Bill Impact Detail'!I80,'Rate Design (Consol)'!$E$48:$E$66,0))</f>
        <v>GS-7</v>
      </c>
      <c r="I80" s="167" t="str">
        <f t="shared" si="35"/>
        <v>General Service - 7</v>
      </c>
      <c r="J80" s="167" t="str">
        <f>VLOOKUP(I80,'Rate Design (Consol)'!$E$48:$F$66,2,FALSE)</f>
        <v>&gt; 500,000 &lt; = 1,000,000</v>
      </c>
      <c r="K80" s="169" t="str">
        <f t="shared" si="39"/>
        <v>CFG-CFG - Firm Transportation Service - 10-GS-7</v>
      </c>
      <c r="L80" s="169">
        <v>11</v>
      </c>
      <c r="M80" s="169" t="s">
        <v>257</v>
      </c>
      <c r="N80" s="138">
        <f>VLOOKUP(K80,'G2-8 Summary'!J:O,6,FALSE)</f>
        <v>927657</v>
      </c>
      <c r="O80" s="63">
        <f>INDEX('G2-8 Summary'!S:S,MATCH('Bill Impact Detail'!K80,'G2-8 Summary'!J:J,0))</f>
        <v>3000</v>
      </c>
      <c r="P80" s="63">
        <f>SUMIFS('Rate Design (Consol)'!K:K,'Rate Design (Consol)'!A:A,M80,'Rate Design (Consol)'!D:D,H80)</f>
        <v>4500</v>
      </c>
      <c r="Q80" s="63"/>
      <c r="R80" s="142">
        <f t="shared" si="50"/>
        <v>0.15711000000000003</v>
      </c>
      <c r="S80" s="141">
        <f>INDEX('G2-8 Summary'!V:V,MATCH('Bill Impact Detail'!K80,'G2-8 Summary'!J:J,0))</f>
        <v>8.3180000000000004E-2</v>
      </c>
      <c r="T80" s="141">
        <f>SUMIFS('Rate Design (Consol)'!L:L,'Rate Design (Consol)'!A:A,M80,'Rate Design (Consol)'!D:D,H80)</f>
        <v>0.38796999999999998</v>
      </c>
      <c r="U80" s="141"/>
      <c r="W80" s="64">
        <f>VLOOKUP($K80,'G2-8 Summary'!$J:$AA,15,FALSE)</f>
        <v>7.393000000000001E-2</v>
      </c>
      <c r="X80" s="64"/>
      <c r="Y80" s="64"/>
      <c r="Z80" s="64"/>
      <c r="AB80" s="63">
        <f t="shared" si="40"/>
        <v>36000</v>
      </c>
      <c r="AC80" s="63">
        <f t="shared" si="41"/>
        <v>77162.509260000006</v>
      </c>
      <c r="AD80" s="63">
        <f t="shared" si="42"/>
        <v>68581.682010000004</v>
      </c>
      <c r="AE80" s="63">
        <f t="shared" si="43"/>
        <v>0</v>
      </c>
      <c r="AF80" s="63">
        <f t="shared" si="44"/>
        <v>0</v>
      </c>
      <c r="AG80" s="63">
        <f t="shared" si="45"/>
        <v>0</v>
      </c>
      <c r="AH80" s="202">
        <f t="shared" si="46"/>
        <v>181744.19127000001</v>
      </c>
      <c r="AI80" s="138"/>
      <c r="AJ80" s="63">
        <f t="shared" si="47"/>
        <v>54000</v>
      </c>
      <c r="AK80" s="63">
        <f t="shared" si="48"/>
        <v>359903.08629000001</v>
      </c>
      <c r="AL80" s="63"/>
      <c r="AM80" s="63">
        <f t="shared" si="51"/>
        <v>0</v>
      </c>
      <c r="AN80" s="63">
        <f t="shared" si="52"/>
        <v>0</v>
      </c>
      <c r="AO80" s="63">
        <f t="shared" si="53"/>
        <v>0</v>
      </c>
      <c r="AP80" s="202">
        <f t="shared" si="23"/>
        <v>413903.08629000001</v>
      </c>
      <c r="AQ80" s="63">
        <f t="shared" si="49"/>
        <v>232158.89502</v>
      </c>
      <c r="AR80" s="157">
        <f t="shared" si="54"/>
        <v>1.2773937554631591</v>
      </c>
      <c r="AT80" s="111">
        <f>VLOOKUP(K80,'G2-8 Summary'!J:P,7,FALSE)</f>
        <v>2</v>
      </c>
      <c r="AU80" s="157">
        <f t="shared" si="36"/>
        <v>0.16666666666666666</v>
      </c>
      <c r="AW80" s="138">
        <f t="shared" si="37"/>
        <v>38693.15</v>
      </c>
      <c r="AX80" s="139">
        <f t="shared" si="38"/>
        <v>0.21290000000000001</v>
      </c>
      <c r="BC80" s="109"/>
    </row>
    <row r="81" spans="1:55" s="167" customFormat="1" x14ac:dyDescent="0.25">
      <c r="A81" s="167" t="s">
        <v>172</v>
      </c>
      <c r="B81" s="167" t="s">
        <v>155</v>
      </c>
      <c r="C81" s="167" t="s">
        <v>175</v>
      </c>
      <c r="D81" s="167" t="s">
        <v>174</v>
      </c>
      <c r="E81" s="167" t="s">
        <v>120</v>
      </c>
      <c r="F81" s="167" t="str">
        <f>INDEX('Rate Design (Consol)'!$B$48:$B$66,MATCH('Bill Impact Detail'!G81,'Rate Design (Consol)'!$C$48:$C$66,0))</f>
        <v>GS-8</v>
      </c>
      <c r="G81" s="167" t="s">
        <v>267</v>
      </c>
      <c r="H81" s="167" t="str">
        <f>INDEX('Rate Design (Consol)'!$D$48:$D$66,MATCH('Bill Impact Detail'!I81,'Rate Design (Consol)'!$E$48:$E$66,0))</f>
        <v>GS-8-B</v>
      </c>
      <c r="I81" s="167" t="s">
        <v>273</v>
      </c>
      <c r="J81" s="167" t="str">
        <f>VLOOKUP(I81,'Rate Design (Consol)'!$E$48:$F$66,2,FALSE)</f>
        <v>&gt; 1,500,000 &lt; = 2,000,000</v>
      </c>
      <c r="K81" s="169" t="str">
        <f t="shared" si="39"/>
        <v>CFG-CFG - Firm Transportation Service - 10-GS-8-B</v>
      </c>
      <c r="L81" s="169">
        <v>12</v>
      </c>
      <c r="M81" s="169" t="s">
        <v>257</v>
      </c>
      <c r="N81" s="138">
        <f>VLOOKUP(K81,'G2-8 Summary'!J:O,6,FALSE)</f>
        <v>1775576</v>
      </c>
      <c r="O81" s="63">
        <f>INDEX('G2-8 Summary'!S:S,MATCH('Bill Impact Detail'!K81,'G2-8 Summary'!J:J,0))</f>
        <v>3000</v>
      </c>
      <c r="P81" s="63">
        <f>SUMIFS('Rate Design (Consol)'!K:K,'Rate Design (Consol)'!A:A,M81,'Rate Design (Consol)'!D:D,H81)</f>
        <v>9500</v>
      </c>
      <c r="Q81" s="63"/>
      <c r="R81" s="142">
        <f t="shared" si="50"/>
        <v>0.15711000000000003</v>
      </c>
      <c r="S81" s="141">
        <f>INDEX('G2-8 Summary'!V:V,MATCH('Bill Impact Detail'!K81,'G2-8 Summary'!J:J,0))</f>
        <v>8.3180000000000004E-2</v>
      </c>
      <c r="T81" s="141">
        <f>SUMIFS('Rate Design (Consol)'!L:L,'Rate Design (Consol)'!A:A,M81,'Rate Design (Consol)'!D:D,H81)</f>
        <v>0.34796999999999995</v>
      </c>
      <c r="U81" s="141"/>
      <c r="W81" s="64">
        <f>VLOOKUP($K81,'G2-8 Summary'!$J:$AA,15,FALSE)</f>
        <v>7.393000000000001E-2</v>
      </c>
      <c r="X81" s="64"/>
      <c r="Y81" s="64"/>
      <c r="Z81" s="64"/>
      <c r="AB81" s="63">
        <f t="shared" si="40"/>
        <v>36000</v>
      </c>
      <c r="AC81" s="63">
        <f t="shared" si="41"/>
        <v>147692.41168000002</v>
      </c>
      <c r="AD81" s="63">
        <f t="shared" si="42"/>
        <v>131268.33368000001</v>
      </c>
      <c r="AE81" s="63">
        <f t="shared" si="43"/>
        <v>0</v>
      </c>
      <c r="AF81" s="63">
        <f t="shared" si="44"/>
        <v>0</v>
      </c>
      <c r="AG81" s="63">
        <f t="shared" si="45"/>
        <v>0</v>
      </c>
      <c r="AH81" s="202">
        <f t="shared" si="46"/>
        <v>314960.74536000006</v>
      </c>
      <c r="AI81" s="138"/>
      <c r="AJ81" s="63">
        <f t="shared" si="47"/>
        <v>114000</v>
      </c>
      <c r="AK81" s="63">
        <f t="shared" si="48"/>
        <v>617847.18071999995</v>
      </c>
      <c r="AL81" s="63"/>
      <c r="AM81" s="63">
        <f t="shared" si="51"/>
        <v>0</v>
      </c>
      <c r="AN81" s="63">
        <f t="shared" si="52"/>
        <v>0</v>
      </c>
      <c r="AO81" s="63">
        <f t="shared" si="53"/>
        <v>0</v>
      </c>
      <c r="AP81" s="202">
        <f t="shared" si="23"/>
        <v>731847.18071999995</v>
      </c>
      <c r="AQ81" s="63">
        <f t="shared" si="49"/>
        <v>416886.43535999989</v>
      </c>
      <c r="AR81" s="157">
        <f t="shared" si="54"/>
        <v>1.3236139471396626</v>
      </c>
      <c r="AT81" s="111">
        <f>VLOOKUP(K81,'G2-8 Summary'!J:P,7,FALSE)</f>
        <v>1</v>
      </c>
      <c r="AU81" s="157">
        <f t="shared" si="36"/>
        <v>0.125</v>
      </c>
      <c r="AW81" s="138">
        <f t="shared" si="37"/>
        <v>52110.8</v>
      </c>
      <c r="AX81" s="139">
        <f t="shared" si="38"/>
        <v>0.16550000000000001</v>
      </c>
      <c r="BC81" s="109"/>
    </row>
    <row r="82" spans="1:55" s="167" customFormat="1" x14ac:dyDescent="0.25">
      <c r="A82" s="167" t="s">
        <v>172</v>
      </c>
      <c r="B82" s="167" t="s">
        <v>155</v>
      </c>
      <c r="C82" s="167" t="s">
        <v>176</v>
      </c>
      <c r="D82" s="167" t="s">
        <v>174</v>
      </c>
      <c r="E82" s="167" t="s">
        <v>121</v>
      </c>
      <c r="F82" s="167" t="str">
        <f>INDEX('Rate Design (Consol)'!$B$48:$B$66,MATCH('Bill Impact Detail'!G82,'Rate Design (Consol)'!$C$48:$C$66,0))</f>
        <v>GS-8</v>
      </c>
      <c r="G82" s="167" t="s">
        <v>267</v>
      </c>
      <c r="H82" s="167" t="str">
        <f>INDEX('Rate Design (Consol)'!$D$48:$D$66,MATCH('Bill Impact Detail'!I82,'Rate Design (Consol)'!$E$48:$E$66,0))</f>
        <v>GS-8-B</v>
      </c>
      <c r="I82" s="167" t="s">
        <v>273</v>
      </c>
      <c r="J82" s="167" t="str">
        <f>VLOOKUP(I82,'Rate Design (Consol)'!$E$48:$F$66,2,FALSE)</f>
        <v>&gt; 1,500,000 &lt; = 2,000,000</v>
      </c>
      <c r="K82" s="169" t="str">
        <f t="shared" si="39"/>
        <v>CFG-CFG - Firm Transportation Service - 11-GS-8-B</v>
      </c>
      <c r="L82" s="169">
        <v>12</v>
      </c>
      <c r="M82" s="169" t="s">
        <v>257</v>
      </c>
      <c r="N82" s="138">
        <f>VLOOKUP(K82,'G2-8 Summary'!J:O,6,FALSE)</f>
        <v>1527249</v>
      </c>
      <c r="O82" s="63">
        <f>INDEX('G2-8 Summary'!S:S,MATCH('Bill Impact Detail'!K82,'G2-8 Summary'!J:J,0))</f>
        <v>5500</v>
      </c>
      <c r="P82" s="63">
        <f>SUMIFS('Rate Design (Consol)'!K:K,'Rate Design (Consol)'!A:A,M82,'Rate Design (Consol)'!D:D,H82)</f>
        <v>9500</v>
      </c>
      <c r="Q82" s="63"/>
      <c r="R82" s="142">
        <f t="shared" si="50"/>
        <v>0.12304999999999999</v>
      </c>
      <c r="S82" s="141">
        <f>INDEX('G2-8 Summary'!V:V,MATCH('Bill Impact Detail'!K82,'G2-8 Summary'!J:J,0))</f>
        <v>6.9769999999999999E-2</v>
      </c>
      <c r="T82" s="141">
        <f>SUMIFS('Rate Design (Consol)'!L:L,'Rate Design (Consol)'!A:A,M82,'Rate Design (Consol)'!D:D,H82)</f>
        <v>0.34796999999999995</v>
      </c>
      <c r="U82" s="141"/>
      <c r="W82" s="64">
        <f>VLOOKUP($K82,'G2-8 Summary'!$J:$AA,15,FALSE)</f>
        <v>5.3280000000000001E-2</v>
      </c>
      <c r="X82" s="64"/>
      <c r="Y82" s="64"/>
      <c r="Z82" s="64"/>
      <c r="AB82" s="63">
        <f t="shared" si="40"/>
        <v>66000</v>
      </c>
      <c r="AC82" s="63">
        <f t="shared" si="41"/>
        <v>106556.16273</v>
      </c>
      <c r="AD82" s="63">
        <f t="shared" si="42"/>
        <v>81371.826719999997</v>
      </c>
      <c r="AE82" s="63">
        <f t="shared" si="43"/>
        <v>0</v>
      </c>
      <c r="AF82" s="63">
        <f t="shared" si="44"/>
        <v>0</v>
      </c>
      <c r="AG82" s="63">
        <f t="shared" si="45"/>
        <v>0</v>
      </c>
      <c r="AH82" s="202">
        <f t="shared" si="46"/>
        <v>253927.98944999999</v>
      </c>
      <c r="AI82" s="138"/>
      <c r="AJ82" s="63">
        <f t="shared" si="47"/>
        <v>114000</v>
      </c>
      <c r="AK82" s="63">
        <f t="shared" si="48"/>
        <v>531436.83452999988</v>
      </c>
      <c r="AL82" s="63"/>
      <c r="AM82" s="63">
        <f t="shared" si="51"/>
        <v>0</v>
      </c>
      <c r="AN82" s="63">
        <f t="shared" si="52"/>
        <v>0</v>
      </c>
      <c r="AO82" s="63">
        <f t="shared" si="53"/>
        <v>0</v>
      </c>
      <c r="AP82" s="202">
        <f t="shared" si="23"/>
        <v>645436.83452999988</v>
      </c>
      <c r="AQ82" s="63">
        <f t="shared" si="49"/>
        <v>391508.84507999988</v>
      </c>
      <c r="AR82" s="157">
        <f t="shared" si="54"/>
        <v>1.5418105185174571</v>
      </c>
      <c r="AT82" s="111">
        <f>VLOOKUP(K82,'G2-8 Summary'!J:P,7,FALSE)</f>
        <v>1</v>
      </c>
      <c r="AU82" s="157">
        <f t="shared" si="36"/>
        <v>0.125</v>
      </c>
      <c r="AW82" s="138">
        <f t="shared" si="37"/>
        <v>48938.61</v>
      </c>
      <c r="AX82" s="139">
        <f t="shared" si="38"/>
        <v>0.19270000000000001</v>
      </c>
      <c r="BC82" s="109"/>
    </row>
    <row r="83" spans="1:55" s="167" customFormat="1" x14ac:dyDescent="0.25">
      <c r="A83" s="167" t="s">
        <v>172</v>
      </c>
      <c r="B83" s="167" t="s">
        <v>155</v>
      </c>
      <c r="C83" s="167" t="s">
        <v>177</v>
      </c>
      <c r="D83" s="167" t="s">
        <v>174</v>
      </c>
      <c r="E83" s="167" t="s">
        <v>119</v>
      </c>
      <c r="F83" s="167" t="str">
        <f>INDEX('Rate Design (Consol)'!$B$48:$B$66,MATCH('Bill Impact Detail'!G83,'Rate Design (Consol)'!$C$48:$C$66,0))</f>
        <v>GS-7</v>
      </c>
      <c r="G83" s="167" t="s">
        <v>17</v>
      </c>
      <c r="H83" s="167" t="str">
        <f>INDEX('Rate Design (Consol)'!$D$48:$D$66,MATCH('Bill Impact Detail'!I83,'Rate Design (Consol)'!$E$48:$E$66,0))</f>
        <v>GS-7</v>
      </c>
      <c r="I83" s="167" t="str">
        <f>G83</f>
        <v>General Service - 7</v>
      </c>
      <c r="J83" s="167" t="str">
        <f>VLOOKUP(I83,'Rate Design (Consol)'!$E$48:$F$66,2,FALSE)</f>
        <v>&gt; 500,000 &lt; = 1,000,000</v>
      </c>
      <c r="K83" s="169" t="str">
        <f t="shared" si="39"/>
        <v>CFG-CFG - Firm Transportation Service - 12-GS-7</v>
      </c>
      <c r="L83" s="169">
        <v>11</v>
      </c>
      <c r="M83" s="169" t="s">
        <v>257</v>
      </c>
      <c r="N83" s="138">
        <f>VLOOKUP(K83,'G2-8 Summary'!J:O,6,FALSE)</f>
        <v>727860</v>
      </c>
      <c r="O83" s="63">
        <f>INDEX('G2-8 Summary'!S:S,MATCH('Bill Impact Detail'!K83,'G2-8 Summary'!J:J,0))</f>
        <v>9000</v>
      </c>
      <c r="P83" s="63">
        <f>SUMIFS('Rate Design (Consol)'!K:K,'Rate Design (Consol)'!A:A,M83,'Rate Design (Consol)'!D:D,H83)</f>
        <v>4500</v>
      </c>
      <c r="Q83" s="63"/>
      <c r="R83" s="142">
        <f t="shared" si="50"/>
        <v>9.8318000000000003E-2</v>
      </c>
      <c r="S83" s="141">
        <f>INDEX('G2-8 Summary'!V:V,MATCH('Bill Impact Detail'!K83,'G2-8 Summary'!J:J,0))</f>
        <v>6.1238000000000001E-2</v>
      </c>
      <c r="T83" s="141">
        <f>SUMIFS('Rate Design (Consol)'!L:L,'Rate Design (Consol)'!A:A,M83,'Rate Design (Consol)'!D:D,H83)</f>
        <v>0.38796999999999998</v>
      </c>
      <c r="U83" s="141"/>
      <c r="W83" s="64">
        <f>VLOOKUP($K83,'G2-8 Summary'!$J:$AA,15,FALSE)</f>
        <v>3.7080000000000002E-2</v>
      </c>
      <c r="X83" s="64"/>
      <c r="Y83" s="64"/>
      <c r="Z83" s="64"/>
      <c r="AB83" s="63">
        <f t="shared" si="40"/>
        <v>108000</v>
      </c>
      <c r="AC83" s="63">
        <f t="shared" si="41"/>
        <v>44572.69068</v>
      </c>
      <c r="AD83" s="63">
        <f t="shared" si="42"/>
        <v>26989.0488</v>
      </c>
      <c r="AE83" s="63">
        <f t="shared" si="43"/>
        <v>0</v>
      </c>
      <c r="AF83" s="63">
        <f t="shared" si="44"/>
        <v>0</v>
      </c>
      <c r="AG83" s="63">
        <f t="shared" si="45"/>
        <v>0</v>
      </c>
      <c r="AH83" s="202">
        <f t="shared" si="46"/>
        <v>179561.73947999999</v>
      </c>
      <c r="AI83" s="138"/>
      <c r="AJ83" s="63">
        <f t="shared" si="47"/>
        <v>54000</v>
      </c>
      <c r="AK83" s="63">
        <f t="shared" si="48"/>
        <v>282387.84419999999</v>
      </c>
      <c r="AL83" s="63"/>
      <c r="AM83" s="63">
        <f t="shared" si="51"/>
        <v>0</v>
      </c>
      <c r="AN83" s="63">
        <f t="shared" si="52"/>
        <v>0</v>
      </c>
      <c r="AO83" s="63">
        <f t="shared" si="53"/>
        <v>0</v>
      </c>
      <c r="AP83" s="202">
        <f t="shared" si="23"/>
        <v>336387.84419999999</v>
      </c>
      <c r="AQ83" s="63">
        <f t="shared" si="49"/>
        <v>156826.10472</v>
      </c>
      <c r="AR83" s="157">
        <f t="shared" si="54"/>
        <v>0.87338263248150183</v>
      </c>
      <c r="AT83" s="111">
        <f>VLOOKUP(K83,'G2-8 Summary'!J:P,7,FALSE)</f>
        <v>2</v>
      </c>
      <c r="AU83" s="157">
        <f t="shared" si="36"/>
        <v>0.16666666666666666</v>
      </c>
      <c r="AW83" s="138">
        <f t="shared" si="37"/>
        <v>26137.68</v>
      </c>
      <c r="AX83" s="139">
        <f t="shared" si="38"/>
        <v>0.14560000000000001</v>
      </c>
      <c r="BC83" s="109"/>
    </row>
    <row r="84" spans="1:55" s="167" customFormat="1" x14ac:dyDescent="0.25">
      <c r="A84" s="167" t="s">
        <v>172</v>
      </c>
      <c r="B84" s="167" t="s">
        <v>155</v>
      </c>
      <c r="C84" s="167" t="s">
        <v>177</v>
      </c>
      <c r="D84" s="167" t="s">
        <v>174</v>
      </c>
      <c r="E84" s="167" t="s">
        <v>119</v>
      </c>
      <c r="F84" s="167" t="str">
        <f>INDEX('Rate Design (Consol)'!$B$48:$B$66,MATCH('Bill Impact Detail'!G84,'Rate Design (Consol)'!$C$48:$C$66,0))</f>
        <v>GS-8</v>
      </c>
      <c r="G84" s="167" t="s">
        <v>267</v>
      </c>
      <c r="H84" s="167" t="str">
        <f>INDEX('Rate Design (Consol)'!$D$48:$D$66,MATCH('Bill Impact Detail'!I84,'Rate Design (Consol)'!$E$48:$E$66,0))</f>
        <v>GS-8-D</v>
      </c>
      <c r="I84" s="167" t="s">
        <v>287</v>
      </c>
      <c r="J84" s="167" t="str">
        <f>VLOOKUP(I84,'Rate Design (Consol)'!$E$48:$F$66,2,FALSE)</f>
        <v>&gt; 4,000,000</v>
      </c>
      <c r="K84" s="169" t="str">
        <f t="shared" si="39"/>
        <v>CFG-CFG - Firm Transportation Service - 12-GS-8-D</v>
      </c>
      <c r="L84" s="169">
        <v>12</v>
      </c>
      <c r="M84" s="169" t="s">
        <v>257</v>
      </c>
      <c r="N84" s="138">
        <f>VLOOKUP(K84,'G2-8 Summary'!J:O,6,FALSE)</f>
        <v>6667307</v>
      </c>
      <c r="O84" s="63">
        <f>INDEX('G2-8 Summary'!S:S,MATCH('Bill Impact Detail'!K84,'G2-8 Summary'!J:J,0))</f>
        <v>9000</v>
      </c>
      <c r="P84" s="63">
        <f>SUMIFS('Rate Design (Consol)'!K:K,'Rate Design (Consol)'!A:A,M84,'Rate Design (Consol)'!D:D,H84)</f>
        <v>9500</v>
      </c>
      <c r="Q84" s="63"/>
      <c r="R84" s="143">
        <f t="shared" si="50"/>
        <v>9.8318000000000003E-2</v>
      </c>
      <c r="S84" s="141">
        <f>INDEX('G2-8 Summary'!V:V,MATCH('Bill Impact Detail'!K84,'G2-8 Summary'!J:J,0))</f>
        <v>6.1238000000000001E-2</v>
      </c>
      <c r="T84" s="141">
        <f>SUMIFS('Rate Design (Consol)'!L:L,'Rate Design (Consol)'!A:A,M84,'Rate Design (Consol)'!D:D,H84)</f>
        <v>0.17322000000000001</v>
      </c>
      <c r="U84" s="141"/>
      <c r="W84" s="64">
        <f>VLOOKUP($K84,'G2-8 Summary'!$J:$AA,15,FALSE)</f>
        <v>3.7080000000000002E-2</v>
      </c>
      <c r="X84" s="64"/>
      <c r="Y84" s="64"/>
      <c r="Z84" s="64"/>
      <c r="AB84" s="63">
        <f t="shared" si="40"/>
        <v>108000</v>
      </c>
      <c r="AC84" s="63">
        <f t="shared" si="41"/>
        <v>408292.54606600001</v>
      </c>
      <c r="AD84" s="63">
        <f t="shared" si="42"/>
        <v>247223.74356</v>
      </c>
      <c r="AE84" s="63">
        <f t="shared" si="43"/>
        <v>0</v>
      </c>
      <c r="AF84" s="63">
        <f t="shared" si="44"/>
        <v>0</v>
      </c>
      <c r="AG84" s="63">
        <f t="shared" si="45"/>
        <v>0</v>
      </c>
      <c r="AH84" s="202">
        <f t="shared" si="46"/>
        <v>763516.28962599998</v>
      </c>
      <c r="AI84" s="138"/>
      <c r="AJ84" s="63">
        <f t="shared" si="47"/>
        <v>114000</v>
      </c>
      <c r="AK84" s="63">
        <f t="shared" si="48"/>
        <v>1154910.91854</v>
      </c>
      <c r="AL84" s="63"/>
      <c r="AM84" s="63">
        <f t="shared" si="51"/>
        <v>0</v>
      </c>
      <c r="AN84" s="63">
        <f t="shared" si="52"/>
        <v>0</v>
      </c>
      <c r="AO84" s="63">
        <f t="shared" si="53"/>
        <v>0</v>
      </c>
      <c r="AP84" s="202">
        <f t="shared" si="23"/>
        <v>1268910.91854</v>
      </c>
      <c r="AQ84" s="63">
        <f t="shared" si="49"/>
        <v>505394.628914</v>
      </c>
      <c r="AR84" s="157">
        <f t="shared" si="54"/>
        <v>0.66193038155290962</v>
      </c>
      <c r="AT84" s="111">
        <f>VLOOKUP(K84,'G2-8 Summary'!J:P,7,FALSE)</f>
        <v>2</v>
      </c>
      <c r="AU84" s="157">
        <f t="shared" si="36"/>
        <v>0.25</v>
      </c>
      <c r="AW84" s="138">
        <f t="shared" si="37"/>
        <v>126348.66</v>
      </c>
      <c r="AX84" s="139">
        <f t="shared" si="38"/>
        <v>0.16550000000000001</v>
      </c>
      <c r="BC84" s="109"/>
    </row>
    <row r="85" spans="1:55" s="167" customFormat="1" x14ac:dyDescent="0.25">
      <c r="A85" s="167" t="s">
        <v>172</v>
      </c>
      <c r="B85" s="167" t="s">
        <v>155</v>
      </c>
      <c r="C85" s="167" t="s">
        <v>177</v>
      </c>
      <c r="D85" s="167" t="s">
        <v>174</v>
      </c>
      <c r="E85" s="167" t="s">
        <v>119</v>
      </c>
      <c r="F85" s="167" t="str">
        <f>INDEX('Rate Design (Consol)'!$B$48:$B$66,MATCH('Bill Impact Detail'!G85,'Rate Design (Consol)'!$C$48:$C$66,0))</f>
        <v>GS-8</v>
      </c>
      <c r="G85" s="167" t="s">
        <v>267</v>
      </c>
      <c r="H85" s="167" t="str">
        <f>INDEX('Rate Design (Consol)'!$D$48:$D$66,MATCH('Bill Impact Detail'!I85,'Rate Design (Consol)'!$E$48:$E$66,0))</f>
        <v>GS-8-C</v>
      </c>
      <c r="I85" s="167" t="s">
        <v>274</v>
      </c>
      <c r="J85" s="167" t="str">
        <f>VLOOKUP(I85,'Rate Design (Consol)'!$E$48:$F$66,2,FALSE)</f>
        <v>&gt; 2,000,000 &lt; = 4,000,000</v>
      </c>
      <c r="K85" s="169" t="str">
        <f t="shared" ref="K85" si="55">CONCATENATE(A85,"-",E85,"-",H85)</f>
        <v>CFG-CFG - Firm Transportation Service - 12-GS-8-C</v>
      </c>
      <c r="L85" s="169">
        <v>12</v>
      </c>
      <c r="M85" s="169" t="s">
        <v>257</v>
      </c>
      <c r="N85" s="138">
        <f>VLOOKUP(K85,'G2-8 Summary'!J:O,6,FALSE)</f>
        <v>2236699</v>
      </c>
      <c r="O85" s="63">
        <f>INDEX('G2-8 Summary'!S:S,MATCH('Bill Impact Detail'!K85,'G2-8 Summary'!J:J,0))</f>
        <v>9000</v>
      </c>
      <c r="P85" s="63">
        <f>SUMIFS('Rate Design (Consol)'!K:K,'Rate Design (Consol)'!A:A,M85,'Rate Design (Consol)'!D:D,H85)</f>
        <v>9500</v>
      </c>
      <c r="Q85" s="63"/>
      <c r="R85" s="142">
        <f t="shared" ref="R85" si="56">S85+W85</f>
        <v>9.8318000000000003E-2</v>
      </c>
      <c r="S85" s="141">
        <f>INDEX('G2-8 Summary'!V:V,MATCH('Bill Impact Detail'!K85,'G2-8 Summary'!J:J,0))</f>
        <v>6.1238000000000001E-2</v>
      </c>
      <c r="T85" s="141">
        <f>SUMIFS('Rate Design (Consol)'!L:L,'Rate Design (Consol)'!A:A,M85,'Rate Design (Consol)'!D:D,H85)</f>
        <v>0.18051</v>
      </c>
      <c r="U85" s="141"/>
      <c r="W85" s="64">
        <f>VLOOKUP($K85,'G2-8 Summary'!$J:$AA,15,FALSE)</f>
        <v>3.7080000000000002E-2</v>
      </c>
      <c r="X85" s="64"/>
      <c r="Y85" s="64"/>
      <c r="Z85" s="64"/>
      <c r="AB85" s="63">
        <f t="shared" ref="AB85" si="57">O85*12</f>
        <v>108000</v>
      </c>
      <c r="AC85" s="63">
        <f t="shared" ref="AC85" si="58">N85*S85</f>
        <v>136970.97336199999</v>
      </c>
      <c r="AD85" s="63">
        <f t="shared" ref="AD85" si="59">$N85*W85</f>
        <v>82936.798920000001</v>
      </c>
      <c r="AE85" s="63">
        <f t="shared" ref="AE85" si="60">$N85*X85</f>
        <v>0</v>
      </c>
      <c r="AF85" s="63">
        <f t="shared" ref="AF85" si="61">$N85*Y85</f>
        <v>0</v>
      </c>
      <c r="AG85" s="63">
        <f t="shared" ref="AG85" si="62">$N85*Z85</f>
        <v>0</v>
      </c>
      <c r="AH85" s="202">
        <f t="shared" ref="AH85" si="63">SUM(AB85:AG85)</f>
        <v>327907.77228199999</v>
      </c>
      <c r="AI85" s="138"/>
      <c r="AJ85" s="63">
        <f t="shared" ref="AJ85" si="64">P85*12</f>
        <v>114000</v>
      </c>
      <c r="AK85" s="63">
        <f t="shared" ref="AK85" si="65">N85*T85</f>
        <v>403746.53649000003</v>
      </c>
      <c r="AL85" s="63"/>
      <c r="AM85" s="63">
        <f t="shared" ref="AM85" si="66">$N85*X85</f>
        <v>0</v>
      </c>
      <c r="AN85" s="63">
        <f t="shared" ref="AN85" si="67">$N85*Y85</f>
        <v>0</v>
      </c>
      <c r="AO85" s="63">
        <f t="shared" ref="AO85" si="68">$N85*Z85</f>
        <v>0</v>
      </c>
      <c r="AP85" s="202">
        <f t="shared" ref="AP85" si="69">SUM(AJ85:AO85)</f>
        <v>517746.53649000003</v>
      </c>
      <c r="AQ85" s="63">
        <f t="shared" ref="AQ85" si="70">AP85-AH85</f>
        <v>189838.76420800004</v>
      </c>
      <c r="AR85" s="157">
        <f t="shared" ref="AR85" si="71">IFERROR(AQ85/AH85,0)</f>
        <v>0.57893950755378587</v>
      </c>
      <c r="AT85" s="111">
        <f>VLOOKUP(K85,'G2-8 Summary'!J:P,7,FALSE)</f>
        <v>1</v>
      </c>
      <c r="AU85" s="157">
        <f t="shared" si="36"/>
        <v>0.125</v>
      </c>
      <c r="AW85" s="138">
        <f t="shared" si="37"/>
        <v>23729.85</v>
      </c>
      <c r="AX85" s="139">
        <f t="shared" si="38"/>
        <v>7.2400000000000006E-2</v>
      </c>
      <c r="BC85" s="109"/>
    </row>
    <row r="86" spans="1:55" s="167" customFormat="1" x14ac:dyDescent="0.25">
      <c r="A86" s="167" t="s">
        <v>172</v>
      </c>
      <c r="B86" s="167" t="s">
        <v>155</v>
      </c>
      <c r="C86" s="167" t="s">
        <v>178</v>
      </c>
      <c r="D86" s="167" t="s">
        <v>174</v>
      </c>
      <c r="E86" s="167" t="s">
        <v>103</v>
      </c>
      <c r="F86" s="167" t="str">
        <f>INDEX('Rate Design (Consol)'!$B$48:$B$66,MATCH('Bill Impact Detail'!G86,'Rate Design (Consol)'!$C$48:$C$66,0))</f>
        <v>GS-1</v>
      </c>
      <c r="G86" s="167" t="s">
        <v>11</v>
      </c>
      <c r="H86" s="167" t="str">
        <f>INDEX('Rate Design (Consol)'!$D$48:$D$66,MATCH('Bill Impact Detail'!I86,'Rate Design (Consol)'!$E$48:$E$66,0))</f>
        <v>GS-1</v>
      </c>
      <c r="I86" s="167" t="str">
        <f t="shared" ref="I86:I149" si="72">G86</f>
        <v>General Service - 1</v>
      </c>
      <c r="J86" s="167" t="str">
        <f>VLOOKUP(I86,'Rate Design (Consol)'!$E$48:$F$66,2,FALSE)</f>
        <v>&lt; = 1000</v>
      </c>
      <c r="K86" s="169" t="str">
        <f t="shared" si="39"/>
        <v>CFG-CFG - Firm Transportation Service - 2 (Fixed Non-Residential)-GS-1</v>
      </c>
      <c r="L86" s="169">
        <v>5</v>
      </c>
      <c r="M86" s="169" t="s">
        <v>257</v>
      </c>
      <c r="N86" s="138">
        <f>VLOOKUP(K86,'G2-8 Summary'!J:O,6,FALSE)</f>
        <v>588</v>
      </c>
      <c r="O86" s="63">
        <f>INDEX('G2-8 Summary'!S:S,MATCH('Bill Impact Detail'!K86,'G2-8 Summary'!J:J,0))</f>
        <v>48</v>
      </c>
      <c r="P86" s="63">
        <f>SUMIFS('Rate Design (Consol)'!K:K,'Rate Design (Consol)'!A:A,M86,'Rate Design (Consol)'!D:D,H86)</f>
        <v>40</v>
      </c>
      <c r="Q86" s="63"/>
      <c r="R86" s="142">
        <f t="shared" si="50"/>
        <v>0.15536</v>
      </c>
      <c r="S86" s="141">
        <f>INDEX('G2-8 Summary'!V:V,MATCH('Bill Impact Detail'!K86,'G2-8 Summary'!J:J,0))</f>
        <v>0</v>
      </c>
      <c r="T86" s="141">
        <f>SUMIFS('Rate Design (Consol)'!L:L,'Rate Design (Consol)'!A:A,M86,'Rate Design (Consol)'!D:D,H86)</f>
        <v>0.70123999999999997</v>
      </c>
      <c r="U86" s="141"/>
      <c r="W86" s="64">
        <f>VLOOKUP($K86,'G2-8 Summary'!$J:$AA,15,FALSE)</f>
        <v>0.15536</v>
      </c>
      <c r="X86" s="64"/>
      <c r="Y86" s="64"/>
      <c r="Z86" s="64"/>
      <c r="AB86" s="63">
        <f t="shared" si="40"/>
        <v>576</v>
      </c>
      <c r="AC86" s="63">
        <f t="shared" si="41"/>
        <v>0</v>
      </c>
      <c r="AD86" s="63">
        <f t="shared" si="42"/>
        <v>91.351680000000002</v>
      </c>
      <c r="AE86" s="63">
        <f t="shared" si="43"/>
        <v>0</v>
      </c>
      <c r="AF86" s="63">
        <f t="shared" si="44"/>
        <v>0</v>
      </c>
      <c r="AG86" s="63">
        <f t="shared" si="45"/>
        <v>0</v>
      </c>
      <c r="AH86" s="202">
        <f t="shared" si="46"/>
        <v>667.35167999999999</v>
      </c>
      <c r="AI86" s="138"/>
      <c r="AJ86" s="63">
        <f t="shared" si="47"/>
        <v>480</v>
      </c>
      <c r="AK86" s="63">
        <f t="shared" si="48"/>
        <v>412.32911999999999</v>
      </c>
      <c r="AL86" s="63"/>
      <c r="AM86" s="63">
        <f t="shared" si="51"/>
        <v>0</v>
      </c>
      <c r="AN86" s="63">
        <f t="shared" si="52"/>
        <v>0</v>
      </c>
      <c r="AO86" s="63">
        <f t="shared" si="53"/>
        <v>0</v>
      </c>
      <c r="AP86" s="202">
        <f t="shared" si="23"/>
        <v>892.32911999999999</v>
      </c>
      <c r="AQ86" s="63">
        <f t="shared" si="49"/>
        <v>224.97744</v>
      </c>
      <c r="AR86" s="157">
        <f t="shared" si="54"/>
        <v>0.33711976270142902</v>
      </c>
      <c r="AT86" s="111">
        <f>VLOOKUP(K86,'G2-8 Summary'!J:P,7,FALSE)</f>
        <v>6</v>
      </c>
      <c r="AU86" s="157">
        <f t="shared" si="36"/>
        <v>2.8261893546867641E-3</v>
      </c>
      <c r="AW86" s="138">
        <f t="shared" si="37"/>
        <v>0.64</v>
      </c>
      <c r="AX86" s="139">
        <f t="shared" si="38"/>
        <v>1E-3</v>
      </c>
      <c r="BC86" s="109"/>
    </row>
    <row r="87" spans="1:55" s="167" customFormat="1" x14ac:dyDescent="0.25">
      <c r="A87" s="167" t="s">
        <v>172</v>
      </c>
      <c r="B87" s="167" t="s">
        <v>152</v>
      </c>
      <c r="C87" s="167" t="s">
        <v>178</v>
      </c>
      <c r="D87" s="167" t="s">
        <v>174</v>
      </c>
      <c r="E87" s="167" t="s">
        <v>83</v>
      </c>
      <c r="F87" s="167" t="str">
        <f>INDEX('Rate Design (Consol)'!$B$48:$B$66,MATCH('Bill Impact Detail'!G87,'Rate Design (Consol)'!$C$48:$C$66,0))</f>
        <v>RES-2</v>
      </c>
      <c r="G87" s="167" t="s">
        <v>9</v>
      </c>
      <c r="H87" s="167" t="str">
        <f>INDEX('Rate Design (Consol)'!$D$48:$D$66,MATCH('Bill Impact Detail'!I87,'Rate Design (Consol)'!$E$48:$E$66,0))</f>
        <v>RES-2</v>
      </c>
      <c r="I87" s="167" t="str">
        <f t="shared" si="72"/>
        <v>Residential - 2</v>
      </c>
      <c r="J87" s="167" t="str">
        <f>VLOOKUP(I87,'Rate Design (Consol)'!$E$48:$F$66,2,FALSE)</f>
        <v>&gt; 100 &lt; = 250</v>
      </c>
      <c r="K87" s="169" t="str">
        <f t="shared" si="39"/>
        <v>CFG-CFG - Firm Transportation Service - 2 (Fixed Residential)-RES-2</v>
      </c>
      <c r="L87" s="169">
        <v>2</v>
      </c>
      <c r="M87" s="169" t="s">
        <v>257</v>
      </c>
      <c r="N87" s="138">
        <f>VLOOKUP(K87,'G2-8 Summary'!J:O,6,FALSE)</f>
        <v>159</v>
      </c>
      <c r="O87" s="63">
        <f>INDEX('G2-8 Summary'!S:S,MATCH('Bill Impact Detail'!K87,'G2-8 Summary'!J:J,0))</f>
        <v>48</v>
      </c>
      <c r="P87" s="63">
        <f>SUMIFS('Rate Design (Consol)'!K:K,'Rate Design (Consol)'!A:A,M87,'Rate Design (Consol)'!D:D,H87)</f>
        <v>19.5</v>
      </c>
      <c r="Q87" s="63"/>
      <c r="R87" s="142">
        <f t="shared" si="50"/>
        <v>0.15536</v>
      </c>
      <c r="S87" s="141">
        <f>INDEX('G2-8 Summary'!V:V,MATCH('Bill Impact Detail'!K87,'G2-8 Summary'!J:J,0))</f>
        <v>0</v>
      </c>
      <c r="T87" s="141">
        <f>SUMIFS('Rate Design (Consol)'!L:L,'Rate Design (Consol)'!A:A,M87,'Rate Design (Consol)'!D:D,H87)</f>
        <v>0.65271999999999997</v>
      </c>
      <c r="U87" s="141"/>
      <c r="W87" s="64">
        <f>VLOOKUP($K87,'G2-8 Summary'!$J:$AA,15,FALSE)</f>
        <v>0.15536</v>
      </c>
      <c r="X87" s="64"/>
      <c r="Y87" s="64"/>
      <c r="Z87" s="64"/>
      <c r="AB87" s="63">
        <f t="shared" si="40"/>
        <v>576</v>
      </c>
      <c r="AC87" s="63">
        <f t="shared" si="41"/>
        <v>0</v>
      </c>
      <c r="AD87" s="63">
        <f t="shared" si="42"/>
        <v>24.70224</v>
      </c>
      <c r="AE87" s="63">
        <f t="shared" si="43"/>
        <v>0</v>
      </c>
      <c r="AF87" s="63">
        <f t="shared" si="44"/>
        <v>0</v>
      </c>
      <c r="AG87" s="63">
        <f t="shared" si="45"/>
        <v>0</v>
      </c>
      <c r="AH87" s="202">
        <f t="shared" si="46"/>
        <v>600.70223999999996</v>
      </c>
      <c r="AI87" s="138"/>
      <c r="AJ87" s="63">
        <f t="shared" si="47"/>
        <v>234</v>
      </c>
      <c r="AK87" s="63">
        <f t="shared" si="48"/>
        <v>103.78247999999999</v>
      </c>
      <c r="AL87" s="63"/>
      <c r="AM87" s="63">
        <f t="shared" si="51"/>
        <v>0</v>
      </c>
      <c r="AN87" s="63">
        <f t="shared" si="52"/>
        <v>0</v>
      </c>
      <c r="AO87" s="63">
        <f t="shared" si="53"/>
        <v>0</v>
      </c>
      <c r="AP87" s="202">
        <f t="shared" si="23"/>
        <v>337.78247999999996</v>
      </c>
      <c r="AQ87" s="63">
        <f t="shared" si="49"/>
        <v>-262.91976</v>
      </c>
      <c r="AR87" s="157">
        <f t="shared" si="54"/>
        <v>-0.43768733074809246</v>
      </c>
      <c r="AT87" s="111">
        <f>VLOOKUP(K87,'G2-8 Summary'!J:P,7,FALSE)</f>
        <v>3</v>
      </c>
      <c r="AU87" s="157">
        <f t="shared" si="36"/>
        <v>8.1070125658694775E-5</v>
      </c>
      <c r="AW87" s="138">
        <f t="shared" si="37"/>
        <v>-0.02</v>
      </c>
      <c r="AX87" s="139">
        <f t="shared" si="38"/>
        <v>0</v>
      </c>
      <c r="BC87" s="109"/>
    </row>
    <row r="88" spans="1:55" s="167" customFormat="1" x14ac:dyDescent="0.25">
      <c r="A88" s="167" t="s">
        <v>172</v>
      </c>
      <c r="B88" s="167" t="s">
        <v>152</v>
      </c>
      <c r="C88" s="167" t="s">
        <v>178</v>
      </c>
      <c r="D88" s="167" t="s">
        <v>174</v>
      </c>
      <c r="E88" s="167" t="s">
        <v>83</v>
      </c>
      <c r="F88" s="167" t="str">
        <f>INDEX('Rate Design (Consol)'!$B$48:$B$66,MATCH('Bill Impact Detail'!G88,'Rate Design (Consol)'!$C$48:$C$66,0))</f>
        <v>RES-3</v>
      </c>
      <c r="G88" s="167" t="s">
        <v>266</v>
      </c>
      <c r="H88" s="167" t="str">
        <f>INDEX('Rate Design (Consol)'!$D$48:$D$66,MATCH('Bill Impact Detail'!I88,'Rate Design (Consol)'!$E$48:$E$66,0))</f>
        <v>RES-3</v>
      </c>
      <c r="I88" s="167" t="str">
        <f t="shared" si="72"/>
        <v>Residential - 3</v>
      </c>
      <c r="J88" s="167" t="str">
        <f>VLOOKUP(I88,'Rate Design (Consol)'!$E$48:$F$66,2,FALSE)</f>
        <v>n/a</v>
      </c>
      <c r="K88" s="169" t="str">
        <f t="shared" si="39"/>
        <v>CFG-CFG - Firm Transportation Service - 2 (Fixed Residential)-RES-3</v>
      </c>
      <c r="L88" s="169">
        <v>3</v>
      </c>
      <c r="M88" s="169" t="s">
        <v>257</v>
      </c>
      <c r="N88" s="138">
        <f>VLOOKUP(K88,'G2-8 Summary'!J:O,6,FALSE)</f>
        <v>667</v>
      </c>
      <c r="O88" s="63">
        <f>INDEX('G2-8 Summary'!S:S,MATCH('Bill Impact Detail'!K88,'G2-8 Summary'!J:J,0))</f>
        <v>48</v>
      </c>
      <c r="P88" s="63">
        <f>SUMIFS('Rate Design (Consol)'!K:K,'Rate Design (Consol)'!A:A,M88,'Rate Design (Consol)'!D:D,H88)</f>
        <v>26.5</v>
      </c>
      <c r="Q88" s="63"/>
      <c r="R88" s="142">
        <f t="shared" si="50"/>
        <v>0.15536</v>
      </c>
      <c r="S88" s="141">
        <f>INDEX('G2-8 Summary'!V:V,MATCH('Bill Impact Detail'!K88,'G2-8 Summary'!J:J,0))</f>
        <v>0</v>
      </c>
      <c r="T88" s="141">
        <f>SUMIFS('Rate Design (Consol)'!L:L,'Rate Design (Consol)'!A:A,M88,'Rate Design (Consol)'!D:D,H88)</f>
        <v>0.65386</v>
      </c>
      <c r="U88" s="141"/>
      <c r="W88" s="64">
        <f>VLOOKUP($K88,'G2-8 Summary'!$J:$AA,15,FALSE)</f>
        <v>0.15536</v>
      </c>
      <c r="X88" s="64"/>
      <c r="Y88" s="64"/>
      <c r="Z88" s="64"/>
      <c r="AB88" s="63">
        <f t="shared" si="40"/>
        <v>576</v>
      </c>
      <c r="AC88" s="63">
        <f t="shared" si="41"/>
        <v>0</v>
      </c>
      <c r="AD88" s="63">
        <f t="shared" si="42"/>
        <v>103.62512</v>
      </c>
      <c r="AE88" s="63">
        <f t="shared" si="43"/>
        <v>0</v>
      </c>
      <c r="AF88" s="63">
        <f t="shared" si="44"/>
        <v>0</v>
      </c>
      <c r="AG88" s="63">
        <f t="shared" si="45"/>
        <v>0</v>
      </c>
      <c r="AH88" s="202">
        <f t="shared" si="46"/>
        <v>679.62512000000004</v>
      </c>
      <c r="AI88" s="138"/>
      <c r="AJ88" s="63">
        <f t="shared" si="47"/>
        <v>318</v>
      </c>
      <c r="AK88" s="63">
        <f t="shared" si="48"/>
        <v>436.12461999999999</v>
      </c>
      <c r="AL88" s="63"/>
      <c r="AM88" s="63">
        <f t="shared" si="51"/>
        <v>0</v>
      </c>
      <c r="AN88" s="63">
        <f t="shared" si="52"/>
        <v>0</v>
      </c>
      <c r="AO88" s="63">
        <f t="shared" si="53"/>
        <v>0</v>
      </c>
      <c r="AP88" s="202">
        <f t="shared" si="23"/>
        <v>754.12462000000005</v>
      </c>
      <c r="AQ88" s="63">
        <f t="shared" si="49"/>
        <v>74.499500000000012</v>
      </c>
      <c r="AR88" s="157">
        <f t="shared" si="54"/>
        <v>0.10961852028071006</v>
      </c>
      <c r="AT88" s="111">
        <f>VLOOKUP(K88,'G2-8 Summary'!J:P,7,FALSE)</f>
        <v>16</v>
      </c>
      <c r="AU88" s="157">
        <f t="shared" si="36"/>
        <v>8.2777174194215944E-4</v>
      </c>
      <c r="AW88" s="138">
        <f t="shared" si="37"/>
        <v>0.06</v>
      </c>
      <c r="AX88" s="139">
        <f t="shared" si="38"/>
        <v>1E-4</v>
      </c>
      <c r="BC88" s="109"/>
    </row>
    <row r="89" spans="1:55" s="167" customFormat="1" x14ac:dyDescent="0.25">
      <c r="A89" s="167" t="s">
        <v>172</v>
      </c>
      <c r="B89" s="167" t="s">
        <v>152</v>
      </c>
      <c r="C89" s="167" t="s">
        <v>178</v>
      </c>
      <c r="D89" s="167" t="s">
        <v>174</v>
      </c>
      <c r="E89" s="167" t="s">
        <v>83</v>
      </c>
      <c r="F89" s="167" t="str">
        <f>INDEX('Rate Design (Consol)'!$B$48:$B$66,MATCH('Bill Impact Detail'!G89,'Rate Design (Consol)'!$C$48:$C$66,0))</f>
        <v>RES-1</v>
      </c>
      <c r="G89" s="167" t="s">
        <v>8</v>
      </c>
      <c r="H89" s="167" t="str">
        <f>INDEX('Rate Design (Consol)'!$D$48:$D$66,MATCH('Bill Impact Detail'!I89,'Rate Design (Consol)'!$E$48:$E$66,0))</f>
        <v>RES-1</v>
      </c>
      <c r="I89" s="167" t="str">
        <f t="shared" si="72"/>
        <v>Residential - 1</v>
      </c>
      <c r="J89" s="167" t="str">
        <f>VLOOKUP(I89,'Rate Design (Consol)'!$E$48:$F$66,2,FALSE)</f>
        <v>&lt; = 100</v>
      </c>
      <c r="K89" s="169" t="str">
        <f t="shared" si="39"/>
        <v>CFG-CFG - Firm Transportation Service - 2 (Fixed Residential)-RES-1</v>
      </c>
      <c r="L89" s="169">
        <v>1</v>
      </c>
      <c r="M89" s="169" t="s">
        <v>257</v>
      </c>
      <c r="N89" s="138">
        <f>VLOOKUP(K89,'G2-8 Summary'!J:O,6,FALSE)</f>
        <v>7</v>
      </c>
      <c r="O89" s="63">
        <f>INDEX('G2-8 Summary'!S:S,MATCH('Bill Impact Detail'!K89,'G2-8 Summary'!J:J,0))</f>
        <v>48</v>
      </c>
      <c r="P89" s="63">
        <f>SUMIFS('Rate Design (Consol)'!K:K,'Rate Design (Consol)'!A:A,M89,'Rate Design (Consol)'!D:D,H89)</f>
        <v>16.5</v>
      </c>
      <c r="Q89" s="63"/>
      <c r="R89" s="142">
        <f t="shared" si="50"/>
        <v>0.15536</v>
      </c>
      <c r="S89" s="141">
        <f>INDEX('G2-8 Summary'!V:V,MATCH('Bill Impact Detail'!K89,'G2-8 Summary'!J:J,0))</f>
        <v>0</v>
      </c>
      <c r="T89" s="141">
        <f>SUMIFS('Rate Design (Consol)'!L:L,'Rate Design (Consol)'!A:A,M89,'Rate Design (Consol)'!D:D,H89)</f>
        <v>0.65229000000000004</v>
      </c>
      <c r="U89" s="141"/>
      <c r="W89" s="64">
        <f>VLOOKUP($K89,'G2-8 Summary'!$J:$AA,15,FALSE)</f>
        <v>0.15536</v>
      </c>
      <c r="X89" s="64"/>
      <c r="Y89" s="64"/>
      <c r="Z89" s="64"/>
      <c r="AB89" s="63">
        <f t="shared" si="40"/>
        <v>576</v>
      </c>
      <c r="AC89" s="63">
        <f t="shared" si="41"/>
        <v>0</v>
      </c>
      <c r="AD89" s="63">
        <f t="shared" si="42"/>
        <v>1.08752</v>
      </c>
      <c r="AE89" s="63">
        <f t="shared" si="43"/>
        <v>0</v>
      </c>
      <c r="AF89" s="63">
        <f t="shared" si="44"/>
        <v>0</v>
      </c>
      <c r="AG89" s="63">
        <f t="shared" si="45"/>
        <v>0</v>
      </c>
      <c r="AH89" s="202">
        <f t="shared" si="46"/>
        <v>577.08752000000004</v>
      </c>
      <c r="AI89" s="138"/>
      <c r="AJ89" s="63">
        <f t="shared" si="47"/>
        <v>198</v>
      </c>
      <c r="AK89" s="63">
        <f t="shared" si="48"/>
        <v>4.5660300000000005</v>
      </c>
      <c r="AL89" s="63"/>
      <c r="AM89" s="63">
        <f t="shared" si="51"/>
        <v>0</v>
      </c>
      <c r="AN89" s="63">
        <f t="shared" si="52"/>
        <v>0</v>
      </c>
      <c r="AO89" s="63">
        <f t="shared" si="53"/>
        <v>0</v>
      </c>
      <c r="AP89" s="202">
        <f t="shared" si="23"/>
        <v>202.56603000000001</v>
      </c>
      <c r="AQ89" s="63">
        <f t="shared" si="49"/>
        <v>-374.52149000000003</v>
      </c>
      <c r="AR89" s="157">
        <f t="shared" si="54"/>
        <v>-0.64898559927270649</v>
      </c>
      <c r="AT89" s="111">
        <f>VLOOKUP(K89,'G2-8 Summary'!J:P,7,FALSE)</f>
        <v>1</v>
      </c>
      <c r="AU89" s="157">
        <f t="shared" si="36"/>
        <v>3.5938903863432166E-5</v>
      </c>
      <c r="AW89" s="138">
        <f t="shared" si="37"/>
        <v>-0.01</v>
      </c>
      <c r="AX89" s="139">
        <f t="shared" si="38"/>
        <v>0</v>
      </c>
      <c r="BC89" s="109"/>
    </row>
    <row r="90" spans="1:55" s="167" customFormat="1" x14ac:dyDescent="0.25">
      <c r="A90" s="167" t="s">
        <v>172</v>
      </c>
      <c r="B90" s="167" t="s">
        <v>155</v>
      </c>
      <c r="C90" s="167" t="s">
        <v>178</v>
      </c>
      <c r="D90" s="167" t="s">
        <v>174</v>
      </c>
      <c r="E90" s="167" t="s">
        <v>90</v>
      </c>
      <c r="F90" s="167" t="str">
        <f>INDEX('Rate Design (Consol)'!$B$48:$B$66,MATCH('Bill Impact Detail'!G90,'Rate Design (Consol)'!$C$48:$C$66,0))</f>
        <v>GS-2</v>
      </c>
      <c r="G90" s="167" t="s">
        <v>12</v>
      </c>
      <c r="H90" s="167" t="str">
        <f>INDEX('Rate Design (Consol)'!$D$48:$D$66,MATCH('Bill Impact Detail'!I90,'Rate Design (Consol)'!$E$48:$E$66,0))</f>
        <v>GS-2</v>
      </c>
      <c r="I90" s="167" t="str">
        <f t="shared" si="72"/>
        <v>General Service - 2</v>
      </c>
      <c r="J90" s="167" t="str">
        <f>VLOOKUP(I90,'Rate Design (Consol)'!$E$48:$F$66,2,FALSE)</f>
        <v>&gt; 1000 &lt; = 5,000</v>
      </c>
      <c r="K90" s="169" t="str">
        <f t="shared" si="39"/>
        <v>CFG-CFG - Firm Transportation Service - 2 Non-Residential-GS-2</v>
      </c>
      <c r="L90" s="169">
        <v>6</v>
      </c>
      <c r="M90" s="169" t="s">
        <v>257</v>
      </c>
      <c r="N90" s="138">
        <f>VLOOKUP(K90,'G2-8 Summary'!J:O,6,FALSE)</f>
        <v>1415</v>
      </c>
      <c r="O90" s="63">
        <f>INDEX('G2-8 Summary'!S:S,MATCH('Bill Impact Detail'!K90,'G2-8 Summary'!J:J,0))</f>
        <v>34</v>
      </c>
      <c r="P90" s="63">
        <f>SUMIFS('Rate Design (Consol)'!K:K,'Rate Design (Consol)'!A:A,M90,'Rate Design (Consol)'!D:D,H90)</f>
        <v>70</v>
      </c>
      <c r="Q90" s="63"/>
      <c r="R90" s="142">
        <f t="shared" si="50"/>
        <v>0.47495999999999999</v>
      </c>
      <c r="S90" s="141">
        <f>INDEX('G2-8 Summary'!V:V,MATCH('Bill Impact Detail'!K90,'G2-8 Summary'!J:J,0))</f>
        <v>0.3196</v>
      </c>
      <c r="T90" s="141">
        <f>SUMIFS('Rate Design (Consol)'!L:L,'Rate Design (Consol)'!A:A,M90,'Rate Design (Consol)'!D:D,H90)</f>
        <v>0.69901999999999997</v>
      </c>
      <c r="U90" s="141"/>
      <c r="W90" s="64">
        <f>VLOOKUP($K90,'G2-8 Summary'!$J:$AA,15,FALSE)</f>
        <v>0.15536</v>
      </c>
      <c r="X90" s="64"/>
      <c r="Y90" s="64"/>
      <c r="Z90" s="64"/>
      <c r="AB90" s="63">
        <f t="shared" si="40"/>
        <v>408</v>
      </c>
      <c r="AC90" s="63">
        <f t="shared" si="41"/>
        <v>452.23399999999998</v>
      </c>
      <c r="AD90" s="63">
        <f t="shared" si="42"/>
        <v>219.83439999999999</v>
      </c>
      <c r="AE90" s="63">
        <f t="shared" si="43"/>
        <v>0</v>
      </c>
      <c r="AF90" s="63">
        <f t="shared" si="44"/>
        <v>0</v>
      </c>
      <c r="AG90" s="63">
        <f t="shared" si="45"/>
        <v>0</v>
      </c>
      <c r="AH90" s="202">
        <f t="shared" si="46"/>
        <v>1080.0683999999999</v>
      </c>
      <c r="AI90" s="138"/>
      <c r="AJ90" s="63">
        <f t="shared" si="47"/>
        <v>840</v>
      </c>
      <c r="AK90" s="63">
        <f t="shared" si="48"/>
        <v>989.11329999999998</v>
      </c>
      <c r="AL90" s="63"/>
      <c r="AM90" s="63">
        <f t="shared" si="51"/>
        <v>0</v>
      </c>
      <c r="AN90" s="63">
        <f t="shared" si="52"/>
        <v>0</v>
      </c>
      <c r="AO90" s="63">
        <f t="shared" si="53"/>
        <v>0</v>
      </c>
      <c r="AP90" s="202">
        <f t="shared" si="23"/>
        <v>1829.1133</v>
      </c>
      <c r="AQ90" s="63">
        <f t="shared" si="49"/>
        <v>749.0449000000001</v>
      </c>
      <c r="AR90" s="157">
        <f t="shared" si="54"/>
        <v>0.69351616990183229</v>
      </c>
      <c r="AT90" s="111">
        <f>VLOOKUP(K90,'G2-8 Summary'!J:P,7,FALSE)</f>
        <v>19</v>
      </c>
      <c r="AU90" s="157">
        <f t="shared" si="36"/>
        <v>7.679870654810024E-3</v>
      </c>
      <c r="AW90" s="138">
        <f t="shared" si="37"/>
        <v>5.75</v>
      </c>
      <c r="AX90" s="139">
        <f t="shared" si="38"/>
        <v>5.3E-3</v>
      </c>
      <c r="BC90" s="109"/>
    </row>
    <row r="91" spans="1:55" s="167" customFormat="1" x14ac:dyDescent="0.25">
      <c r="A91" s="167" t="s">
        <v>172</v>
      </c>
      <c r="B91" s="167" t="s">
        <v>155</v>
      </c>
      <c r="C91" s="167" t="s">
        <v>178</v>
      </c>
      <c r="D91" s="167" t="s">
        <v>174</v>
      </c>
      <c r="E91" s="167" t="s">
        <v>90</v>
      </c>
      <c r="F91" s="167" t="str">
        <f>INDEX('Rate Design (Consol)'!$B$48:$B$66,MATCH('Bill Impact Detail'!G91,'Rate Design (Consol)'!$C$48:$C$66,0))</f>
        <v>GS-3</v>
      </c>
      <c r="G91" s="167" t="s">
        <v>13</v>
      </c>
      <c r="H91" s="167" t="str">
        <f>INDEX('Rate Design (Consol)'!$D$48:$D$66,MATCH('Bill Impact Detail'!I91,'Rate Design (Consol)'!$E$48:$E$66,0))</f>
        <v>GS-3</v>
      </c>
      <c r="I91" s="167" t="str">
        <f t="shared" si="72"/>
        <v>General Service - 3</v>
      </c>
      <c r="J91" s="167" t="str">
        <f>VLOOKUP(I91,'Rate Design (Consol)'!$E$48:$F$66,2,FALSE)</f>
        <v>&gt; 5,000 &lt; = 10,000</v>
      </c>
      <c r="K91" s="169" t="str">
        <f t="shared" si="39"/>
        <v>CFG-CFG - Firm Transportation Service - 2 Non-Residential-GS-3</v>
      </c>
      <c r="L91" s="169">
        <v>7</v>
      </c>
      <c r="M91" s="169" t="s">
        <v>257</v>
      </c>
      <c r="N91" s="138">
        <f>VLOOKUP(K91,'G2-8 Summary'!J:O,6,FALSE)</f>
        <v>5496</v>
      </c>
      <c r="O91" s="63">
        <f>INDEX('G2-8 Summary'!S:S,MATCH('Bill Impact Detail'!K91,'G2-8 Summary'!J:J,0))</f>
        <v>34</v>
      </c>
      <c r="P91" s="63">
        <f>SUMIFS('Rate Design (Consol)'!K:K,'Rate Design (Consol)'!A:A,M91,'Rate Design (Consol)'!D:D,H91)</f>
        <v>150</v>
      </c>
      <c r="Q91" s="63"/>
      <c r="R91" s="142">
        <f t="shared" si="50"/>
        <v>0.47495999999999999</v>
      </c>
      <c r="S91" s="141">
        <f>INDEX('G2-8 Summary'!V:V,MATCH('Bill Impact Detail'!K91,'G2-8 Summary'!J:J,0))</f>
        <v>0.3196</v>
      </c>
      <c r="T91" s="141">
        <f>SUMIFS('Rate Design (Consol)'!L:L,'Rate Design (Consol)'!A:A,M91,'Rate Design (Consol)'!D:D,H91)</f>
        <v>0.62475000000000003</v>
      </c>
      <c r="U91" s="141"/>
      <c r="W91" s="64">
        <f>VLOOKUP($K91,'G2-8 Summary'!$J:$AA,15,FALSE)</f>
        <v>0.15536</v>
      </c>
      <c r="X91" s="64"/>
      <c r="Y91" s="64"/>
      <c r="Z91" s="64"/>
      <c r="AB91" s="63">
        <f t="shared" si="40"/>
        <v>408</v>
      </c>
      <c r="AC91" s="63">
        <f t="shared" si="41"/>
        <v>1756.5216</v>
      </c>
      <c r="AD91" s="63">
        <f t="shared" si="42"/>
        <v>853.85856000000001</v>
      </c>
      <c r="AE91" s="63">
        <f t="shared" si="43"/>
        <v>0</v>
      </c>
      <c r="AF91" s="63">
        <f t="shared" si="44"/>
        <v>0</v>
      </c>
      <c r="AG91" s="63">
        <f t="shared" si="45"/>
        <v>0</v>
      </c>
      <c r="AH91" s="202">
        <f t="shared" si="46"/>
        <v>3018.3801600000002</v>
      </c>
      <c r="AI91" s="138"/>
      <c r="AJ91" s="63">
        <f t="shared" si="47"/>
        <v>1800</v>
      </c>
      <c r="AK91" s="63">
        <f t="shared" si="48"/>
        <v>3433.6260000000002</v>
      </c>
      <c r="AL91" s="63"/>
      <c r="AM91" s="63">
        <f t="shared" si="51"/>
        <v>0</v>
      </c>
      <c r="AN91" s="63">
        <f t="shared" si="52"/>
        <v>0</v>
      </c>
      <c r="AO91" s="63">
        <f t="shared" si="53"/>
        <v>0</v>
      </c>
      <c r="AP91" s="202">
        <f t="shared" si="23"/>
        <v>5233.6260000000002</v>
      </c>
      <c r="AQ91" s="63">
        <f t="shared" si="49"/>
        <v>2215.24584</v>
      </c>
      <c r="AR91" s="157">
        <f t="shared" si="54"/>
        <v>0.73391876522273458</v>
      </c>
      <c r="AT91" s="111">
        <f>VLOOKUP(K91,'G2-8 Summary'!J:P,7,FALSE)</f>
        <v>1</v>
      </c>
      <c r="AU91" s="157">
        <f t="shared" si="36"/>
        <v>6.2460961898813238E-4</v>
      </c>
      <c r="AW91" s="138">
        <f t="shared" si="37"/>
        <v>1.38</v>
      </c>
      <c r="AX91" s="139">
        <f t="shared" si="38"/>
        <v>5.0000000000000001E-4</v>
      </c>
      <c r="BC91" s="109"/>
    </row>
    <row r="92" spans="1:55" s="167" customFormat="1" x14ac:dyDescent="0.25">
      <c r="A92" s="167" t="s">
        <v>172</v>
      </c>
      <c r="B92" s="167" t="s">
        <v>155</v>
      </c>
      <c r="C92" s="167" t="s">
        <v>178</v>
      </c>
      <c r="D92" s="167" t="s">
        <v>174</v>
      </c>
      <c r="E92" s="167" t="s">
        <v>90</v>
      </c>
      <c r="F92" s="167" t="str">
        <f>INDEX('Rate Design (Consol)'!$B$48:$B$66,MATCH('Bill Impact Detail'!G92,'Rate Design (Consol)'!$C$48:$C$66,0))</f>
        <v>GS-1</v>
      </c>
      <c r="G92" s="167" t="s">
        <v>11</v>
      </c>
      <c r="H92" s="167" t="str">
        <f>INDEX('Rate Design (Consol)'!$D$48:$D$66,MATCH('Bill Impact Detail'!I92,'Rate Design (Consol)'!$E$48:$E$66,0))</f>
        <v>GS-1</v>
      </c>
      <c r="I92" s="167" t="str">
        <f t="shared" si="72"/>
        <v>General Service - 1</v>
      </c>
      <c r="J92" s="167" t="str">
        <f>VLOOKUP(I92,'Rate Design (Consol)'!$E$48:$F$66,2,FALSE)</f>
        <v>&lt; = 1000</v>
      </c>
      <c r="K92" s="169" t="str">
        <f t="shared" si="39"/>
        <v>CFG-CFG - Firm Transportation Service - 2 Non-Residential-GS-1</v>
      </c>
      <c r="L92" s="169">
        <v>5</v>
      </c>
      <c r="M92" s="169" t="s">
        <v>257</v>
      </c>
      <c r="N92" s="138">
        <f>VLOOKUP(K92,'G2-8 Summary'!J:O,6,FALSE)</f>
        <v>457</v>
      </c>
      <c r="O92" s="63">
        <f>INDEX('G2-8 Summary'!S:S,MATCH('Bill Impact Detail'!K92,'G2-8 Summary'!J:J,0))</f>
        <v>34</v>
      </c>
      <c r="P92" s="63">
        <f>SUMIFS('Rate Design (Consol)'!K:K,'Rate Design (Consol)'!A:A,M92,'Rate Design (Consol)'!D:D,H92)</f>
        <v>40</v>
      </c>
      <c r="Q92" s="63"/>
      <c r="R92" s="142">
        <f t="shared" si="50"/>
        <v>0.47495999999999999</v>
      </c>
      <c r="S92" s="141">
        <f>INDEX('G2-8 Summary'!V:V,MATCH('Bill Impact Detail'!K92,'G2-8 Summary'!J:J,0))</f>
        <v>0.3196</v>
      </c>
      <c r="T92" s="141">
        <f>SUMIFS('Rate Design (Consol)'!L:L,'Rate Design (Consol)'!A:A,M92,'Rate Design (Consol)'!D:D,H92)</f>
        <v>0.70123999999999997</v>
      </c>
      <c r="U92" s="141"/>
      <c r="W92" s="64">
        <f>VLOOKUP($K92,'G2-8 Summary'!$J:$AA,15,FALSE)</f>
        <v>0.15536</v>
      </c>
      <c r="X92" s="64"/>
      <c r="Y92" s="64"/>
      <c r="Z92" s="64"/>
      <c r="AB92" s="63">
        <f t="shared" si="40"/>
        <v>408</v>
      </c>
      <c r="AC92" s="63">
        <f t="shared" si="41"/>
        <v>146.05719999999999</v>
      </c>
      <c r="AD92" s="63">
        <f t="shared" si="42"/>
        <v>70.999520000000004</v>
      </c>
      <c r="AE92" s="63">
        <f t="shared" si="43"/>
        <v>0</v>
      </c>
      <c r="AF92" s="63">
        <f t="shared" si="44"/>
        <v>0</v>
      </c>
      <c r="AG92" s="63">
        <f t="shared" si="45"/>
        <v>0</v>
      </c>
      <c r="AH92" s="202">
        <f t="shared" si="46"/>
        <v>625.05671999999993</v>
      </c>
      <c r="AI92" s="138"/>
      <c r="AJ92" s="63">
        <f t="shared" si="47"/>
        <v>480</v>
      </c>
      <c r="AK92" s="63">
        <f t="shared" si="48"/>
        <v>320.46668</v>
      </c>
      <c r="AL92" s="63"/>
      <c r="AM92" s="63">
        <f t="shared" si="51"/>
        <v>0</v>
      </c>
      <c r="AN92" s="63">
        <f t="shared" si="52"/>
        <v>0</v>
      </c>
      <c r="AO92" s="63">
        <f t="shared" si="53"/>
        <v>0</v>
      </c>
      <c r="AP92" s="202">
        <f t="shared" si="23"/>
        <v>800.46668</v>
      </c>
      <c r="AQ92" s="63">
        <f t="shared" si="49"/>
        <v>175.40996000000007</v>
      </c>
      <c r="AR92" s="157">
        <f t="shared" si="54"/>
        <v>0.28063046822374788</v>
      </c>
      <c r="AT92" s="111">
        <f>VLOOKUP(K92,'G2-8 Summary'!J:P,7,FALSE)</f>
        <v>89</v>
      </c>
      <c r="AU92" s="157">
        <f t="shared" si="36"/>
        <v>4.1921808761187E-2</v>
      </c>
      <c r="AW92" s="138">
        <f t="shared" si="37"/>
        <v>7.35</v>
      </c>
      <c r="AX92" s="139">
        <f t="shared" si="38"/>
        <v>1.18E-2</v>
      </c>
      <c r="BC92" s="109"/>
    </row>
    <row r="93" spans="1:55" s="167" customFormat="1" x14ac:dyDescent="0.25">
      <c r="A93" s="167" t="s">
        <v>172</v>
      </c>
      <c r="B93" s="167" t="s">
        <v>152</v>
      </c>
      <c r="C93" s="167" t="s">
        <v>178</v>
      </c>
      <c r="D93" s="167" t="s">
        <v>174</v>
      </c>
      <c r="E93" s="167" t="s">
        <v>78</v>
      </c>
      <c r="F93" s="167" t="str">
        <f>INDEX('Rate Design (Consol)'!$B$48:$B$66,MATCH('Bill Impact Detail'!G93,'Rate Design (Consol)'!$C$48:$C$66,0))</f>
        <v>RES-2</v>
      </c>
      <c r="G93" s="167" t="s">
        <v>9</v>
      </c>
      <c r="H93" s="167" t="str">
        <f>INDEX('Rate Design (Consol)'!$D$48:$D$66,MATCH('Bill Impact Detail'!I93,'Rate Design (Consol)'!$E$48:$E$66,0))</f>
        <v>RES-2</v>
      </c>
      <c r="I93" s="167" t="str">
        <f t="shared" si="72"/>
        <v>Residential - 2</v>
      </c>
      <c r="J93" s="167" t="str">
        <f>VLOOKUP(I93,'Rate Design (Consol)'!$E$48:$F$66,2,FALSE)</f>
        <v>&gt; 100 &lt; = 250</v>
      </c>
      <c r="K93" s="169" t="str">
        <f t="shared" si="39"/>
        <v>CFG-CFG - Firm Transportation Service - 2 Residential-RES-2</v>
      </c>
      <c r="L93" s="169">
        <v>2</v>
      </c>
      <c r="M93" s="169" t="s">
        <v>257</v>
      </c>
      <c r="N93" s="138">
        <f>VLOOKUP(K93,'G2-8 Summary'!J:O,6,FALSE)</f>
        <v>174</v>
      </c>
      <c r="O93" s="63">
        <f>INDEX('G2-8 Summary'!S:S,MATCH('Bill Impact Detail'!K93,'G2-8 Summary'!J:J,0))</f>
        <v>34</v>
      </c>
      <c r="P93" s="63">
        <f>SUMIFS('Rate Design (Consol)'!K:K,'Rate Design (Consol)'!A:A,M93,'Rate Design (Consol)'!D:D,H93)</f>
        <v>19.5</v>
      </c>
      <c r="Q93" s="63"/>
      <c r="R93" s="142">
        <f t="shared" si="50"/>
        <v>0.47495999999999999</v>
      </c>
      <c r="S93" s="141">
        <f>INDEX('G2-8 Summary'!V:V,MATCH('Bill Impact Detail'!K93,'G2-8 Summary'!J:J,0))</f>
        <v>0.3196</v>
      </c>
      <c r="T93" s="141">
        <f>SUMIFS('Rate Design (Consol)'!L:L,'Rate Design (Consol)'!A:A,M93,'Rate Design (Consol)'!D:D,H93)</f>
        <v>0.65271999999999997</v>
      </c>
      <c r="U93" s="141"/>
      <c r="W93" s="64">
        <f>VLOOKUP($K93,'G2-8 Summary'!$J:$AA,15,FALSE)</f>
        <v>0.15536</v>
      </c>
      <c r="X93" s="64"/>
      <c r="Y93" s="64"/>
      <c r="Z93" s="64"/>
      <c r="AB93" s="63">
        <f t="shared" si="40"/>
        <v>408</v>
      </c>
      <c r="AC93" s="63">
        <f t="shared" si="41"/>
        <v>55.610399999999998</v>
      </c>
      <c r="AD93" s="63">
        <f t="shared" si="42"/>
        <v>27.032640000000001</v>
      </c>
      <c r="AE93" s="63">
        <f t="shared" si="43"/>
        <v>0</v>
      </c>
      <c r="AF93" s="63">
        <f t="shared" si="44"/>
        <v>0</v>
      </c>
      <c r="AG93" s="63">
        <f t="shared" si="45"/>
        <v>0</v>
      </c>
      <c r="AH93" s="202">
        <f t="shared" si="46"/>
        <v>490.64304000000004</v>
      </c>
      <c r="AI93" s="138"/>
      <c r="AJ93" s="63">
        <f t="shared" si="47"/>
        <v>234</v>
      </c>
      <c r="AK93" s="63">
        <f t="shared" si="48"/>
        <v>113.57328</v>
      </c>
      <c r="AL93" s="63"/>
      <c r="AM93" s="63">
        <f t="shared" si="51"/>
        <v>0</v>
      </c>
      <c r="AN93" s="63">
        <f t="shared" si="52"/>
        <v>0</v>
      </c>
      <c r="AO93" s="63">
        <f t="shared" si="53"/>
        <v>0</v>
      </c>
      <c r="AP93" s="202">
        <f t="shared" si="23"/>
        <v>347.57328000000001</v>
      </c>
      <c r="AQ93" s="63">
        <f t="shared" si="49"/>
        <v>-143.06976000000003</v>
      </c>
      <c r="AR93" s="157">
        <f t="shared" si="54"/>
        <v>-0.2915964323064687</v>
      </c>
      <c r="AT93" s="111">
        <f>VLOOKUP(K93,'G2-8 Summary'!J:P,7,FALSE)</f>
        <v>127</v>
      </c>
      <c r="AU93" s="157">
        <f t="shared" si="36"/>
        <v>3.4319686528847455E-3</v>
      </c>
      <c r="AW93" s="138">
        <f t="shared" si="37"/>
        <v>-0.49</v>
      </c>
      <c r="AX93" s="139">
        <f t="shared" si="38"/>
        <v>-1E-3</v>
      </c>
      <c r="BC93" s="109"/>
    </row>
    <row r="94" spans="1:55" s="167" customFormat="1" x14ac:dyDescent="0.25">
      <c r="A94" s="167" t="s">
        <v>172</v>
      </c>
      <c r="B94" s="167" t="s">
        <v>152</v>
      </c>
      <c r="C94" s="167" t="s">
        <v>178</v>
      </c>
      <c r="D94" s="167" t="s">
        <v>174</v>
      </c>
      <c r="E94" s="167" t="s">
        <v>78</v>
      </c>
      <c r="F94" s="167" t="str">
        <f>INDEX('Rate Design (Consol)'!$B$48:$B$66,MATCH('Bill Impact Detail'!G94,'Rate Design (Consol)'!$C$48:$C$66,0))</f>
        <v>RES-3</v>
      </c>
      <c r="G94" s="167" t="s">
        <v>266</v>
      </c>
      <c r="H94" s="167" t="str">
        <f>INDEX('Rate Design (Consol)'!$D$48:$D$66,MATCH('Bill Impact Detail'!I94,'Rate Design (Consol)'!$E$48:$E$66,0))</f>
        <v>RES-3</v>
      </c>
      <c r="I94" s="167" t="str">
        <f t="shared" si="72"/>
        <v>Residential - 3</v>
      </c>
      <c r="J94" s="167" t="str">
        <f>VLOOKUP(I94,'Rate Design (Consol)'!$E$48:$F$66,2,FALSE)</f>
        <v>n/a</v>
      </c>
      <c r="K94" s="169" t="str">
        <f t="shared" si="39"/>
        <v>CFG-CFG - Firm Transportation Service - 2 Residential-RES-3</v>
      </c>
      <c r="L94" s="169">
        <v>3</v>
      </c>
      <c r="M94" s="169" t="s">
        <v>257</v>
      </c>
      <c r="N94" s="138">
        <f>VLOOKUP(K94,'G2-8 Summary'!J:O,6,FALSE)</f>
        <v>773</v>
      </c>
      <c r="O94" s="63">
        <f>INDEX('G2-8 Summary'!S:S,MATCH('Bill Impact Detail'!K94,'G2-8 Summary'!J:J,0))</f>
        <v>34</v>
      </c>
      <c r="P94" s="63">
        <f>SUMIFS('Rate Design (Consol)'!K:K,'Rate Design (Consol)'!A:A,M94,'Rate Design (Consol)'!D:D,H94)</f>
        <v>26.5</v>
      </c>
      <c r="Q94" s="63"/>
      <c r="R94" s="142">
        <f t="shared" si="50"/>
        <v>0.47495999999999999</v>
      </c>
      <c r="S94" s="141">
        <f>INDEX('G2-8 Summary'!V:V,MATCH('Bill Impact Detail'!K94,'G2-8 Summary'!J:J,0))</f>
        <v>0.3196</v>
      </c>
      <c r="T94" s="141">
        <f>SUMIFS('Rate Design (Consol)'!L:L,'Rate Design (Consol)'!A:A,M94,'Rate Design (Consol)'!D:D,H94)</f>
        <v>0.65386</v>
      </c>
      <c r="U94" s="141"/>
      <c r="W94" s="64">
        <f>VLOOKUP($K94,'G2-8 Summary'!$J:$AA,15,FALSE)</f>
        <v>0.15536</v>
      </c>
      <c r="X94" s="64"/>
      <c r="Y94" s="64"/>
      <c r="Z94" s="64"/>
      <c r="AB94" s="63">
        <f t="shared" si="40"/>
        <v>408</v>
      </c>
      <c r="AC94" s="63">
        <f t="shared" si="41"/>
        <v>247.05080000000001</v>
      </c>
      <c r="AD94" s="63">
        <f t="shared" si="42"/>
        <v>120.09327999999999</v>
      </c>
      <c r="AE94" s="63">
        <f t="shared" si="43"/>
        <v>0</v>
      </c>
      <c r="AF94" s="63">
        <f t="shared" si="44"/>
        <v>0</v>
      </c>
      <c r="AG94" s="63">
        <f t="shared" si="45"/>
        <v>0</v>
      </c>
      <c r="AH94" s="202">
        <f t="shared" si="46"/>
        <v>775.14408000000003</v>
      </c>
      <c r="AI94" s="138"/>
      <c r="AJ94" s="63">
        <f t="shared" si="47"/>
        <v>318</v>
      </c>
      <c r="AK94" s="63">
        <f t="shared" si="48"/>
        <v>505.43378000000001</v>
      </c>
      <c r="AL94" s="63"/>
      <c r="AM94" s="63">
        <f t="shared" si="51"/>
        <v>0</v>
      </c>
      <c r="AN94" s="63">
        <f t="shared" si="52"/>
        <v>0</v>
      </c>
      <c r="AO94" s="63">
        <f t="shared" si="53"/>
        <v>0</v>
      </c>
      <c r="AP94" s="202">
        <f t="shared" si="23"/>
        <v>823.43378000000007</v>
      </c>
      <c r="AQ94" s="63">
        <f t="shared" si="49"/>
        <v>48.289700000000039</v>
      </c>
      <c r="AR94" s="157">
        <f t="shared" si="54"/>
        <v>6.2297708575675424E-2</v>
      </c>
      <c r="AT94" s="111">
        <f>VLOOKUP(K94,'G2-8 Summary'!J:P,7,FALSE)</f>
        <v>560</v>
      </c>
      <c r="AU94" s="157">
        <f t="shared" si="36"/>
        <v>2.8972010967975581E-2</v>
      </c>
      <c r="AW94" s="138">
        <f t="shared" si="37"/>
        <v>1.4</v>
      </c>
      <c r="AX94" s="139">
        <f t="shared" si="38"/>
        <v>1.8E-3</v>
      </c>
      <c r="BC94" s="109"/>
    </row>
    <row r="95" spans="1:55" s="167" customFormat="1" x14ac:dyDescent="0.25">
      <c r="A95" s="167" t="s">
        <v>172</v>
      </c>
      <c r="B95" s="167" t="s">
        <v>152</v>
      </c>
      <c r="C95" s="167" t="s">
        <v>178</v>
      </c>
      <c r="D95" s="167" t="s">
        <v>174</v>
      </c>
      <c r="E95" s="167" t="s">
        <v>78</v>
      </c>
      <c r="F95" s="167" t="str">
        <f>INDEX('Rate Design (Consol)'!$B$48:$B$66,MATCH('Bill Impact Detail'!G95,'Rate Design (Consol)'!$C$48:$C$66,0))</f>
        <v>RES-1</v>
      </c>
      <c r="G95" s="167" t="s">
        <v>8</v>
      </c>
      <c r="H95" s="167" t="str">
        <f>INDEX('Rate Design (Consol)'!$D$48:$D$66,MATCH('Bill Impact Detail'!I95,'Rate Design (Consol)'!$E$48:$E$66,0))</f>
        <v>RES-1</v>
      </c>
      <c r="I95" s="167" t="str">
        <f t="shared" si="72"/>
        <v>Residential - 1</v>
      </c>
      <c r="J95" s="167" t="str">
        <f>VLOOKUP(I95,'Rate Design (Consol)'!$E$48:$F$66,2,FALSE)</f>
        <v>&lt; = 100</v>
      </c>
      <c r="K95" s="169" t="str">
        <f t="shared" si="39"/>
        <v>CFG-CFG - Firm Transportation Service - 2 Residential-RES-1</v>
      </c>
      <c r="L95" s="169">
        <v>1</v>
      </c>
      <c r="M95" s="169" t="s">
        <v>257</v>
      </c>
      <c r="N95" s="138">
        <f>VLOOKUP(K95,'G2-8 Summary'!J:O,6,FALSE)</f>
        <v>60</v>
      </c>
      <c r="O95" s="63">
        <f>INDEX('G2-8 Summary'!S:S,MATCH('Bill Impact Detail'!K95,'G2-8 Summary'!J:J,0))</f>
        <v>34</v>
      </c>
      <c r="P95" s="63">
        <f>SUMIFS('Rate Design (Consol)'!K:K,'Rate Design (Consol)'!A:A,M95,'Rate Design (Consol)'!D:D,H95)</f>
        <v>16.5</v>
      </c>
      <c r="Q95" s="63"/>
      <c r="R95" s="142">
        <f t="shared" si="50"/>
        <v>0.47495999999999999</v>
      </c>
      <c r="S95" s="141">
        <f>INDEX('G2-8 Summary'!V:V,MATCH('Bill Impact Detail'!K95,'G2-8 Summary'!J:J,0))</f>
        <v>0.3196</v>
      </c>
      <c r="T95" s="141">
        <f>SUMIFS('Rate Design (Consol)'!L:L,'Rate Design (Consol)'!A:A,M95,'Rate Design (Consol)'!D:D,H95)</f>
        <v>0.65229000000000004</v>
      </c>
      <c r="U95" s="141"/>
      <c r="W95" s="64">
        <f>VLOOKUP($K95,'G2-8 Summary'!$J:$AA,15,FALSE)</f>
        <v>0.15536</v>
      </c>
      <c r="X95" s="64"/>
      <c r="Y95" s="64"/>
      <c r="Z95" s="64"/>
      <c r="AB95" s="63">
        <f t="shared" si="40"/>
        <v>408</v>
      </c>
      <c r="AC95" s="63">
        <f t="shared" si="41"/>
        <v>19.175999999999998</v>
      </c>
      <c r="AD95" s="63">
        <f t="shared" si="42"/>
        <v>9.3216000000000001</v>
      </c>
      <c r="AE95" s="63">
        <f t="shared" si="43"/>
        <v>0</v>
      </c>
      <c r="AF95" s="63">
        <f t="shared" si="44"/>
        <v>0</v>
      </c>
      <c r="AG95" s="63">
        <f t="shared" si="45"/>
        <v>0</v>
      </c>
      <c r="AH95" s="202">
        <f t="shared" si="46"/>
        <v>436.49759999999998</v>
      </c>
      <c r="AI95" s="138"/>
      <c r="AJ95" s="63">
        <f t="shared" si="47"/>
        <v>198</v>
      </c>
      <c r="AK95" s="63">
        <f t="shared" si="48"/>
        <v>39.1374</v>
      </c>
      <c r="AL95" s="63"/>
      <c r="AM95" s="63">
        <f t="shared" si="51"/>
        <v>0</v>
      </c>
      <c r="AN95" s="63">
        <f t="shared" si="52"/>
        <v>0</v>
      </c>
      <c r="AO95" s="63">
        <f t="shared" si="53"/>
        <v>0</v>
      </c>
      <c r="AP95" s="202">
        <f t="shared" si="23"/>
        <v>237.13740000000001</v>
      </c>
      <c r="AQ95" s="63">
        <f t="shared" si="49"/>
        <v>-199.36019999999996</v>
      </c>
      <c r="AR95" s="157">
        <f t="shared" si="54"/>
        <v>-0.45672690983867947</v>
      </c>
      <c r="AT95" s="111">
        <f>VLOOKUP(K95,'G2-8 Summary'!J:P,7,FALSE)</f>
        <v>56</v>
      </c>
      <c r="AU95" s="157">
        <f t="shared" si="36"/>
        <v>2.0125786163522012E-3</v>
      </c>
      <c r="AW95" s="138">
        <f t="shared" si="37"/>
        <v>-0.4</v>
      </c>
      <c r="AX95" s="139">
        <f t="shared" si="38"/>
        <v>-8.9999999999999998E-4</v>
      </c>
      <c r="BC95" s="109"/>
    </row>
    <row r="96" spans="1:55" s="167" customFormat="1" x14ac:dyDescent="0.25">
      <c r="A96" s="167" t="s">
        <v>172</v>
      </c>
      <c r="B96" s="167" t="s">
        <v>155</v>
      </c>
      <c r="C96" s="167" t="s">
        <v>179</v>
      </c>
      <c r="D96" s="167" t="s">
        <v>174</v>
      </c>
      <c r="E96" s="167" t="s">
        <v>107</v>
      </c>
      <c r="F96" s="167" t="str">
        <f>INDEX('Rate Design (Consol)'!$B$48:$B$66,MATCH('Bill Impact Detail'!G96,'Rate Design (Consol)'!$C$48:$C$66,0))</f>
        <v>GS-2</v>
      </c>
      <c r="G96" s="167" t="s">
        <v>12</v>
      </c>
      <c r="H96" s="167" t="str">
        <f>INDEX('Rate Design (Consol)'!$D$48:$D$66,MATCH('Bill Impact Detail'!I96,'Rate Design (Consol)'!$E$48:$E$66,0))</f>
        <v>GS-2</v>
      </c>
      <c r="I96" s="167" t="str">
        <f t="shared" si="72"/>
        <v>General Service - 2</v>
      </c>
      <c r="J96" s="167" t="str">
        <f>VLOOKUP(I96,'Rate Design (Consol)'!$E$48:$F$66,2,FALSE)</f>
        <v>&gt; 1000 &lt; = 5,000</v>
      </c>
      <c r="K96" s="169" t="str">
        <f t="shared" si="39"/>
        <v>CFG-CFG - Firm Transportation Service - 2.1 (Fixed Non-Residential)-GS-2</v>
      </c>
      <c r="L96" s="169">
        <v>6</v>
      </c>
      <c r="M96" s="169" t="s">
        <v>257</v>
      </c>
      <c r="N96" s="138">
        <f>VLOOKUP(K96,'G2-8 Summary'!J:O,6,FALSE)</f>
        <v>1433</v>
      </c>
      <c r="O96" s="63">
        <f>INDEX('G2-8 Summary'!S:S,MATCH('Bill Impact Detail'!K96,'G2-8 Summary'!J:J,0))</f>
        <v>87</v>
      </c>
      <c r="P96" s="63">
        <f>SUMIFS('Rate Design (Consol)'!K:K,'Rate Design (Consol)'!A:A,M96,'Rate Design (Consol)'!D:D,H96)</f>
        <v>70</v>
      </c>
      <c r="Q96" s="63"/>
      <c r="R96" s="142">
        <f t="shared" si="50"/>
        <v>0.15931999999999996</v>
      </c>
      <c r="S96" s="141">
        <f>INDEX('G2-8 Summary'!V:V,MATCH('Bill Impact Detail'!K96,'G2-8 Summary'!J:J,0))</f>
        <v>0</v>
      </c>
      <c r="T96" s="141">
        <f>SUMIFS('Rate Design (Consol)'!L:L,'Rate Design (Consol)'!A:A,M96,'Rate Design (Consol)'!D:D,H96)</f>
        <v>0.69901999999999997</v>
      </c>
      <c r="U96" s="141"/>
      <c r="W96" s="64">
        <f>VLOOKUP($K96,'G2-8 Summary'!$J:$AA,15,FALSE)</f>
        <v>0.15931999999999996</v>
      </c>
      <c r="X96" s="64"/>
      <c r="Y96" s="64"/>
      <c r="Z96" s="64"/>
      <c r="AB96" s="63">
        <f t="shared" si="40"/>
        <v>1044</v>
      </c>
      <c r="AC96" s="63">
        <f t="shared" si="41"/>
        <v>0</v>
      </c>
      <c r="AD96" s="63">
        <f t="shared" si="42"/>
        <v>228.30555999999996</v>
      </c>
      <c r="AE96" s="63">
        <f t="shared" si="43"/>
        <v>0</v>
      </c>
      <c r="AF96" s="63">
        <f t="shared" si="44"/>
        <v>0</v>
      </c>
      <c r="AG96" s="63">
        <f t="shared" si="45"/>
        <v>0</v>
      </c>
      <c r="AH96" s="202">
        <f t="shared" si="46"/>
        <v>1272.30556</v>
      </c>
      <c r="AI96" s="138"/>
      <c r="AJ96" s="63">
        <f t="shared" si="47"/>
        <v>840</v>
      </c>
      <c r="AK96" s="63">
        <f t="shared" si="48"/>
        <v>1001.69566</v>
      </c>
      <c r="AL96" s="63"/>
      <c r="AM96" s="63">
        <f t="shared" si="51"/>
        <v>0</v>
      </c>
      <c r="AN96" s="63">
        <f t="shared" si="52"/>
        <v>0</v>
      </c>
      <c r="AO96" s="63">
        <f t="shared" si="53"/>
        <v>0</v>
      </c>
      <c r="AP96" s="202">
        <f t="shared" si="23"/>
        <v>1841.6956599999999</v>
      </c>
      <c r="AQ96" s="63">
        <f t="shared" si="49"/>
        <v>569.39009999999985</v>
      </c>
      <c r="AR96" s="157">
        <f t="shared" si="54"/>
        <v>0.44752622160984651</v>
      </c>
      <c r="AT96" s="111">
        <f>VLOOKUP(K96,'G2-8 Summary'!J:P,7,FALSE)</f>
        <v>8</v>
      </c>
      <c r="AU96" s="157">
        <f t="shared" si="36"/>
        <v>3.2336297493936943E-3</v>
      </c>
      <c r="AW96" s="138">
        <f t="shared" si="37"/>
        <v>1.84</v>
      </c>
      <c r="AX96" s="139">
        <f t="shared" si="38"/>
        <v>1.4E-3</v>
      </c>
      <c r="BC96" s="109"/>
    </row>
    <row r="97" spans="1:55" s="167" customFormat="1" x14ac:dyDescent="0.25">
      <c r="A97" s="167" t="s">
        <v>172</v>
      </c>
      <c r="B97" s="167" t="s">
        <v>155</v>
      </c>
      <c r="C97" s="167" t="s">
        <v>179</v>
      </c>
      <c r="D97" s="167" t="s">
        <v>174</v>
      </c>
      <c r="E97" s="167" t="s">
        <v>107</v>
      </c>
      <c r="F97" s="167" t="str">
        <f>INDEX('Rate Design (Consol)'!$B$48:$B$66,MATCH('Bill Impact Detail'!G97,'Rate Design (Consol)'!$C$48:$C$66,0))</f>
        <v>GS-3</v>
      </c>
      <c r="G97" s="167" t="s">
        <v>13</v>
      </c>
      <c r="H97" s="167" t="str">
        <f>INDEX('Rate Design (Consol)'!$D$48:$D$66,MATCH('Bill Impact Detail'!I97,'Rate Design (Consol)'!$E$48:$E$66,0))</f>
        <v>GS-3</v>
      </c>
      <c r="I97" s="167" t="str">
        <f t="shared" si="72"/>
        <v>General Service - 3</v>
      </c>
      <c r="J97" s="167" t="str">
        <f>VLOOKUP(I97,'Rate Design (Consol)'!$E$48:$F$66,2,FALSE)</f>
        <v>&gt; 5,000 &lt; = 10,000</v>
      </c>
      <c r="K97" s="169" t="str">
        <f t="shared" si="39"/>
        <v>CFG-CFG - Firm Transportation Service - 2.1 (Fixed Non-Residential)-GS-3</v>
      </c>
      <c r="L97" s="169">
        <v>7</v>
      </c>
      <c r="M97" s="169" t="s">
        <v>257</v>
      </c>
      <c r="N97" s="138">
        <f>VLOOKUP(K97,'G2-8 Summary'!J:O,6,FALSE)</f>
        <v>5386</v>
      </c>
      <c r="O97" s="63">
        <f>INDEX('G2-8 Summary'!S:S,MATCH('Bill Impact Detail'!K97,'G2-8 Summary'!J:J,0))</f>
        <v>87</v>
      </c>
      <c r="P97" s="63">
        <f>SUMIFS('Rate Design (Consol)'!K:K,'Rate Design (Consol)'!A:A,M97,'Rate Design (Consol)'!D:D,H97)</f>
        <v>150</v>
      </c>
      <c r="Q97" s="63"/>
      <c r="R97" s="142">
        <f t="shared" si="50"/>
        <v>0.15931999999999996</v>
      </c>
      <c r="S97" s="141">
        <f>INDEX('G2-8 Summary'!V:V,MATCH('Bill Impact Detail'!K97,'G2-8 Summary'!J:J,0))</f>
        <v>0</v>
      </c>
      <c r="T97" s="141">
        <f>SUMIFS('Rate Design (Consol)'!L:L,'Rate Design (Consol)'!A:A,M97,'Rate Design (Consol)'!D:D,H97)</f>
        <v>0.62475000000000003</v>
      </c>
      <c r="U97" s="141"/>
      <c r="W97" s="64">
        <f>VLOOKUP($K97,'G2-8 Summary'!$J:$AA,15,FALSE)</f>
        <v>0.15931999999999996</v>
      </c>
      <c r="X97" s="64"/>
      <c r="Y97" s="64"/>
      <c r="Z97" s="64"/>
      <c r="AB97" s="63">
        <f t="shared" si="40"/>
        <v>1044</v>
      </c>
      <c r="AC97" s="63">
        <f t="shared" si="41"/>
        <v>0</v>
      </c>
      <c r="AD97" s="63">
        <f t="shared" si="42"/>
        <v>858.0975199999998</v>
      </c>
      <c r="AE97" s="63">
        <f t="shared" si="43"/>
        <v>0</v>
      </c>
      <c r="AF97" s="63">
        <f t="shared" si="44"/>
        <v>0</v>
      </c>
      <c r="AG97" s="63">
        <f t="shared" si="45"/>
        <v>0</v>
      </c>
      <c r="AH97" s="202">
        <f t="shared" si="46"/>
        <v>1902.0975199999998</v>
      </c>
      <c r="AI97" s="138"/>
      <c r="AJ97" s="63">
        <f t="shared" si="47"/>
        <v>1800</v>
      </c>
      <c r="AK97" s="63">
        <f t="shared" si="48"/>
        <v>3364.9035000000003</v>
      </c>
      <c r="AL97" s="63"/>
      <c r="AM97" s="63">
        <f t="shared" si="51"/>
        <v>0</v>
      </c>
      <c r="AN97" s="63">
        <f t="shared" si="52"/>
        <v>0</v>
      </c>
      <c r="AO97" s="63">
        <f t="shared" si="53"/>
        <v>0</v>
      </c>
      <c r="AP97" s="202">
        <f t="shared" si="23"/>
        <v>5164.9035000000003</v>
      </c>
      <c r="AQ97" s="63">
        <f t="shared" si="49"/>
        <v>3262.8059800000005</v>
      </c>
      <c r="AR97" s="157">
        <f t="shared" si="54"/>
        <v>1.7153726061322034</v>
      </c>
      <c r="AT97" s="111">
        <f>VLOOKUP(K97,'G2-8 Summary'!J:P,7,FALSE)</f>
        <v>1</v>
      </c>
      <c r="AU97" s="157">
        <f t="shared" si="36"/>
        <v>6.2460961898813238E-4</v>
      </c>
      <c r="AW97" s="138">
        <f t="shared" si="37"/>
        <v>2.04</v>
      </c>
      <c r="AX97" s="139">
        <f t="shared" si="38"/>
        <v>1.1000000000000001E-3</v>
      </c>
      <c r="BC97" s="109"/>
    </row>
    <row r="98" spans="1:55" s="167" customFormat="1" x14ac:dyDescent="0.25">
      <c r="A98" s="167" t="s">
        <v>172</v>
      </c>
      <c r="B98" s="167" t="s">
        <v>155</v>
      </c>
      <c r="C98" s="167" t="s">
        <v>179</v>
      </c>
      <c r="D98" s="167" t="s">
        <v>174</v>
      </c>
      <c r="E98" s="167" t="s">
        <v>107</v>
      </c>
      <c r="F98" s="167" t="str">
        <f>INDEX('Rate Design (Consol)'!$B$48:$B$66,MATCH('Bill Impact Detail'!G98,'Rate Design (Consol)'!$C$48:$C$66,0))</f>
        <v>GS-1</v>
      </c>
      <c r="G98" s="167" t="s">
        <v>11</v>
      </c>
      <c r="H98" s="167" t="str">
        <f>INDEX('Rate Design (Consol)'!$D$48:$D$66,MATCH('Bill Impact Detail'!I98,'Rate Design (Consol)'!$E$48:$E$66,0))</f>
        <v>GS-1</v>
      </c>
      <c r="I98" s="167" t="str">
        <f t="shared" si="72"/>
        <v>General Service - 1</v>
      </c>
      <c r="J98" s="167" t="str">
        <f>VLOOKUP(I98,'Rate Design (Consol)'!$E$48:$F$66,2,FALSE)</f>
        <v>&lt; = 1000</v>
      </c>
      <c r="K98" s="169" t="str">
        <f t="shared" si="39"/>
        <v>CFG-CFG - Firm Transportation Service - 2.1 (Fixed Non-Residential)-GS-1</v>
      </c>
      <c r="L98" s="169">
        <v>5</v>
      </c>
      <c r="M98" s="169" t="s">
        <v>257</v>
      </c>
      <c r="N98" s="138">
        <f>VLOOKUP(K98,'G2-8 Summary'!J:O,6,FALSE)</f>
        <v>715</v>
      </c>
      <c r="O98" s="63">
        <f>INDEX('G2-8 Summary'!S:S,MATCH('Bill Impact Detail'!K98,'G2-8 Summary'!J:J,0))</f>
        <v>87</v>
      </c>
      <c r="P98" s="63">
        <f>SUMIFS('Rate Design (Consol)'!K:K,'Rate Design (Consol)'!A:A,M98,'Rate Design (Consol)'!D:D,H98)</f>
        <v>40</v>
      </c>
      <c r="Q98" s="63"/>
      <c r="R98" s="142">
        <f t="shared" si="50"/>
        <v>0.15931999999999996</v>
      </c>
      <c r="S98" s="141">
        <f>INDEX('G2-8 Summary'!V:V,MATCH('Bill Impact Detail'!K98,'G2-8 Summary'!J:J,0))</f>
        <v>0</v>
      </c>
      <c r="T98" s="141">
        <f>SUMIFS('Rate Design (Consol)'!L:L,'Rate Design (Consol)'!A:A,M98,'Rate Design (Consol)'!D:D,H98)</f>
        <v>0.70123999999999997</v>
      </c>
      <c r="U98" s="141"/>
      <c r="W98" s="64">
        <f>VLOOKUP($K98,'G2-8 Summary'!$J:$AA,15,FALSE)</f>
        <v>0.15931999999999996</v>
      </c>
      <c r="X98" s="64"/>
      <c r="Y98" s="64"/>
      <c r="Z98" s="64"/>
      <c r="AB98" s="63">
        <f t="shared" si="40"/>
        <v>1044</v>
      </c>
      <c r="AC98" s="63">
        <f t="shared" si="41"/>
        <v>0</v>
      </c>
      <c r="AD98" s="63">
        <f t="shared" si="42"/>
        <v>113.91379999999997</v>
      </c>
      <c r="AE98" s="63">
        <f t="shared" si="43"/>
        <v>0</v>
      </c>
      <c r="AF98" s="63">
        <f t="shared" si="44"/>
        <v>0</v>
      </c>
      <c r="AG98" s="63">
        <f t="shared" si="45"/>
        <v>0</v>
      </c>
      <c r="AH98" s="202">
        <f t="shared" si="46"/>
        <v>1157.9138</v>
      </c>
      <c r="AI98" s="138"/>
      <c r="AJ98" s="63">
        <f t="shared" si="47"/>
        <v>480</v>
      </c>
      <c r="AK98" s="63">
        <f t="shared" si="48"/>
        <v>501.38659999999999</v>
      </c>
      <c r="AL98" s="63"/>
      <c r="AM98" s="63">
        <f t="shared" si="51"/>
        <v>0</v>
      </c>
      <c r="AN98" s="63">
        <f t="shared" si="52"/>
        <v>0</v>
      </c>
      <c r="AO98" s="63">
        <f t="shared" si="53"/>
        <v>0</v>
      </c>
      <c r="AP98" s="202">
        <f t="shared" si="23"/>
        <v>981.38660000000004</v>
      </c>
      <c r="AQ98" s="63">
        <f t="shared" si="49"/>
        <v>-176.52719999999999</v>
      </c>
      <c r="AR98" s="157">
        <f t="shared" si="54"/>
        <v>-0.15245279916346102</v>
      </c>
      <c r="AT98" s="111">
        <f>VLOOKUP(K98,'G2-8 Summary'!J:P,7,FALSE)</f>
        <v>2</v>
      </c>
      <c r="AU98" s="157">
        <f t="shared" si="36"/>
        <v>9.4206311822892137E-4</v>
      </c>
      <c r="AW98" s="138">
        <f t="shared" si="37"/>
        <v>-0.17</v>
      </c>
      <c r="AX98" s="139">
        <f t="shared" si="38"/>
        <v>-1E-4</v>
      </c>
      <c r="BC98" s="109"/>
    </row>
    <row r="99" spans="1:55" s="167" customFormat="1" x14ac:dyDescent="0.25">
      <c r="A99" s="167" t="s">
        <v>172</v>
      </c>
      <c r="B99" s="167" t="s">
        <v>152</v>
      </c>
      <c r="C99" s="167" t="s">
        <v>179</v>
      </c>
      <c r="D99" s="167" t="s">
        <v>174</v>
      </c>
      <c r="E99" s="167" t="s">
        <v>85</v>
      </c>
      <c r="F99" s="167" t="str">
        <f>INDEX('Rate Design (Consol)'!$B$48:$B$66,MATCH('Bill Impact Detail'!G99,'Rate Design (Consol)'!$C$48:$C$66,0))</f>
        <v>RES-3</v>
      </c>
      <c r="G99" s="167" t="s">
        <v>266</v>
      </c>
      <c r="H99" s="167" t="str">
        <f>INDEX('Rate Design (Consol)'!$D$48:$D$66,MATCH('Bill Impact Detail'!I99,'Rate Design (Consol)'!$E$48:$E$66,0))</f>
        <v>RES-3</v>
      </c>
      <c r="I99" s="167" t="str">
        <f t="shared" si="72"/>
        <v>Residential - 3</v>
      </c>
      <c r="J99" s="167" t="str">
        <f>VLOOKUP(I99,'Rate Design (Consol)'!$E$48:$F$66,2,FALSE)</f>
        <v>n/a</v>
      </c>
      <c r="K99" s="169" t="str">
        <f t="shared" si="39"/>
        <v>CFG-CFG - Firm Transportation Service - 2.1 (Fixed Residential)-RES-3</v>
      </c>
      <c r="L99" s="169">
        <v>3</v>
      </c>
      <c r="M99" s="169" t="s">
        <v>257</v>
      </c>
      <c r="N99" s="138">
        <f>VLOOKUP(K99,'G2-8 Summary'!J:O,6,FALSE)</f>
        <v>1194</v>
      </c>
      <c r="O99" s="63">
        <f>INDEX('G2-8 Summary'!S:S,MATCH('Bill Impact Detail'!K99,'G2-8 Summary'!J:J,0))</f>
        <v>87</v>
      </c>
      <c r="P99" s="63">
        <f>SUMIFS('Rate Design (Consol)'!K:K,'Rate Design (Consol)'!A:A,M99,'Rate Design (Consol)'!D:D,H99)</f>
        <v>26.5</v>
      </c>
      <c r="Q99" s="63"/>
      <c r="R99" s="142">
        <f t="shared" si="50"/>
        <v>0.15931999999999996</v>
      </c>
      <c r="S99" s="141">
        <f>INDEX('G2-8 Summary'!V:V,MATCH('Bill Impact Detail'!K99,'G2-8 Summary'!J:J,0))</f>
        <v>0</v>
      </c>
      <c r="T99" s="141">
        <f>SUMIFS('Rate Design (Consol)'!L:L,'Rate Design (Consol)'!A:A,M99,'Rate Design (Consol)'!D:D,H99)</f>
        <v>0.65386</v>
      </c>
      <c r="U99" s="141"/>
      <c r="W99" s="64">
        <f>VLOOKUP($K99,'G2-8 Summary'!$J:$AA,15,FALSE)</f>
        <v>0.15931999999999996</v>
      </c>
      <c r="X99" s="64"/>
      <c r="Y99" s="64"/>
      <c r="Z99" s="64"/>
      <c r="AB99" s="63">
        <f t="shared" si="40"/>
        <v>1044</v>
      </c>
      <c r="AC99" s="63">
        <f t="shared" si="41"/>
        <v>0</v>
      </c>
      <c r="AD99" s="63">
        <f t="shared" si="42"/>
        <v>190.22807999999995</v>
      </c>
      <c r="AE99" s="63">
        <f t="shared" si="43"/>
        <v>0</v>
      </c>
      <c r="AF99" s="63">
        <f t="shared" si="44"/>
        <v>0</v>
      </c>
      <c r="AG99" s="63">
        <f t="shared" si="45"/>
        <v>0</v>
      </c>
      <c r="AH99" s="202">
        <f t="shared" si="46"/>
        <v>1234.2280799999999</v>
      </c>
      <c r="AI99" s="138"/>
      <c r="AJ99" s="63">
        <f t="shared" si="47"/>
        <v>318</v>
      </c>
      <c r="AK99" s="63">
        <f t="shared" si="48"/>
        <v>780.70884000000001</v>
      </c>
      <c r="AL99" s="63"/>
      <c r="AM99" s="63">
        <f t="shared" si="51"/>
        <v>0</v>
      </c>
      <c r="AN99" s="63">
        <f t="shared" si="52"/>
        <v>0</v>
      </c>
      <c r="AO99" s="63">
        <f t="shared" si="53"/>
        <v>0</v>
      </c>
      <c r="AP99" s="202">
        <f t="shared" ref="AP99:AP152" si="73">SUM(AJ99:AO99)</f>
        <v>1098.70884</v>
      </c>
      <c r="AQ99" s="63">
        <f t="shared" si="49"/>
        <v>-135.51923999999985</v>
      </c>
      <c r="AR99" s="157">
        <f t="shared" si="54"/>
        <v>-0.1098008076432679</v>
      </c>
      <c r="AT99" s="111">
        <f>VLOOKUP(K99,'G2-8 Summary'!J:P,7,FALSE)</f>
        <v>7</v>
      </c>
      <c r="AU99" s="157">
        <f t="shared" si="36"/>
        <v>3.6215013709969476E-4</v>
      </c>
      <c r="AW99" s="138">
        <f t="shared" si="37"/>
        <v>-0.05</v>
      </c>
      <c r="AX99" s="139">
        <f t="shared" si="38"/>
        <v>0</v>
      </c>
      <c r="BC99" s="109"/>
    </row>
    <row r="100" spans="1:55" s="167" customFormat="1" x14ac:dyDescent="0.25">
      <c r="A100" s="167" t="s">
        <v>172</v>
      </c>
      <c r="B100" s="167" t="s">
        <v>155</v>
      </c>
      <c r="C100" s="167" t="s">
        <v>179</v>
      </c>
      <c r="D100" s="167" t="s">
        <v>174</v>
      </c>
      <c r="E100" s="167" t="s">
        <v>92</v>
      </c>
      <c r="F100" s="167" t="str">
        <f>INDEX('Rate Design (Consol)'!$B$48:$B$66,MATCH('Bill Impact Detail'!G100,'Rate Design (Consol)'!$C$48:$C$66,0))</f>
        <v>GS-2</v>
      </c>
      <c r="G100" s="167" t="s">
        <v>12</v>
      </c>
      <c r="H100" s="167" t="str">
        <f>INDEX('Rate Design (Consol)'!$D$48:$D$66,MATCH('Bill Impact Detail'!I100,'Rate Design (Consol)'!$E$48:$E$66,0))</f>
        <v>GS-2</v>
      </c>
      <c r="I100" s="167" t="str">
        <f t="shared" si="72"/>
        <v>General Service - 2</v>
      </c>
      <c r="J100" s="167" t="str">
        <f>VLOOKUP(I100,'Rate Design (Consol)'!$E$48:$F$66,2,FALSE)</f>
        <v>&gt; 1000 &lt; = 5,000</v>
      </c>
      <c r="K100" s="169" t="str">
        <f t="shared" si="39"/>
        <v>CFG-CFG - Firm Transportation Service - 2.1 Non-Residential-GS-2</v>
      </c>
      <c r="L100" s="169">
        <v>6</v>
      </c>
      <c r="M100" s="169" t="s">
        <v>257</v>
      </c>
      <c r="N100" s="138">
        <f>VLOOKUP(K100,'G2-8 Summary'!J:O,6,FALSE)</f>
        <v>1980</v>
      </c>
      <c r="O100" s="63">
        <f>INDEX('G2-8 Summary'!S:S,MATCH('Bill Impact Detail'!K100,'G2-8 Summary'!J:J,0))</f>
        <v>40</v>
      </c>
      <c r="P100" s="63">
        <f>SUMIFS('Rate Design (Consol)'!K:K,'Rate Design (Consol)'!A:A,M100,'Rate Design (Consol)'!D:D,H100)</f>
        <v>70</v>
      </c>
      <c r="Q100" s="63"/>
      <c r="R100" s="142">
        <f t="shared" si="50"/>
        <v>0.46758999999999995</v>
      </c>
      <c r="S100" s="141">
        <f>INDEX('G2-8 Summary'!V:V,MATCH('Bill Impact Detail'!K100,'G2-8 Summary'!J:J,0))</f>
        <v>0.30826999999999999</v>
      </c>
      <c r="T100" s="141">
        <f>SUMIFS('Rate Design (Consol)'!L:L,'Rate Design (Consol)'!A:A,M100,'Rate Design (Consol)'!D:D,H100)</f>
        <v>0.69901999999999997</v>
      </c>
      <c r="U100" s="141"/>
      <c r="W100" s="64">
        <f>VLOOKUP($K100,'G2-8 Summary'!$J:$AA,15,FALSE)</f>
        <v>0.15931999999999996</v>
      </c>
      <c r="X100" s="64"/>
      <c r="Y100" s="64"/>
      <c r="Z100" s="64"/>
      <c r="AB100" s="63">
        <f t="shared" si="40"/>
        <v>480</v>
      </c>
      <c r="AC100" s="63">
        <f t="shared" si="41"/>
        <v>610.37459999999999</v>
      </c>
      <c r="AD100" s="63">
        <f t="shared" si="42"/>
        <v>315.45359999999994</v>
      </c>
      <c r="AE100" s="63">
        <f t="shared" si="43"/>
        <v>0</v>
      </c>
      <c r="AF100" s="63">
        <f t="shared" si="44"/>
        <v>0</v>
      </c>
      <c r="AG100" s="63">
        <f t="shared" si="45"/>
        <v>0</v>
      </c>
      <c r="AH100" s="202">
        <f t="shared" si="46"/>
        <v>1405.8281999999999</v>
      </c>
      <c r="AI100" s="138"/>
      <c r="AJ100" s="63">
        <f t="shared" si="47"/>
        <v>840</v>
      </c>
      <c r="AK100" s="63">
        <f t="shared" si="48"/>
        <v>1384.0596</v>
      </c>
      <c r="AL100" s="63"/>
      <c r="AM100" s="63">
        <f t="shared" si="51"/>
        <v>0</v>
      </c>
      <c r="AN100" s="63">
        <f t="shared" si="52"/>
        <v>0</v>
      </c>
      <c r="AO100" s="63">
        <f t="shared" si="53"/>
        <v>0</v>
      </c>
      <c r="AP100" s="202">
        <f t="shared" si="73"/>
        <v>2224.0596</v>
      </c>
      <c r="AQ100" s="63">
        <f t="shared" si="49"/>
        <v>818.23140000000012</v>
      </c>
      <c r="AR100" s="157">
        <f t="shared" si="54"/>
        <v>0.58202801736371501</v>
      </c>
      <c r="AT100" s="111">
        <f>VLOOKUP(K100,'G2-8 Summary'!J:P,7,FALSE)</f>
        <v>149</v>
      </c>
      <c r="AU100" s="157">
        <f t="shared" si="36"/>
        <v>6.0226354082457557E-2</v>
      </c>
      <c r="AW100" s="138">
        <f t="shared" si="37"/>
        <v>49.28</v>
      </c>
      <c r="AX100" s="139">
        <f t="shared" si="38"/>
        <v>3.5099999999999999E-2</v>
      </c>
      <c r="BC100" s="109"/>
    </row>
    <row r="101" spans="1:55" s="167" customFormat="1" x14ac:dyDescent="0.25">
      <c r="A101" s="167" t="s">
        <v>172</v>
      </c>
      <c r="B101" s="167" t="s">
        <v>155</v>
      </c>
      <c r="C101" s="167" t="s">
        <v>179</v>
      </c>
      <c r="D101" s="167" t="s">
        <v>174</v>
      </c>
      <c r="E101" s="167" t="s">
        <v>92</v>
      </c>
      <c r="F101" s="167" t="str">
        <f>INDEX('Rate Design (Consol)'!$B$48:$B$66,MATCH('Bill Impact Detail'!G101,'Rate Design (Consol)'!$C$48:$C$66,0))</f>
        <v>GS-3</v>
      </c>
      <c r="G101" s="167" t="s">
        <v>13</v>
      </c>
      <c r="H101" s="167" t="str">
        <f>INDEX('Rate Design (Consol)'!$D$48:$D$66,MATCH('Bill Impact Detail'!I101,'Rate Design (Consol)'!$E$48:$E$66,0))</f>
        <v>GS-3</v>
      </c>
      <c r="I101" s="167" t="str">
        <f t="shared" si="72"/>
        <v>General Service - 3</v>
      </c>
      <c r="J101" s="167" t="str">
        <f>VLOOKUP(I101,'Rate Design (Consol)'!$E$48:$F$66,2,FALSE)</f>
        <v>&gt; 5,000 &lt; = 10,000</v>
      </c>
      <c r="K101" s="169" t="str">
        <f t="shared" si="39"/>
        <v>CFG-CFG - Firm Transportation Service - 2.1 Non-Residential-GS-3</v>
      </c>
      <c r="L101" s="169">
        <v>7</v>
      </c>
      <c r="M101" s="169" t="s">
        <v>257</v>
      </c>
      <c r="N101" s="138">
        <f>VLOOKUP(K101,'G2-8 Summary'!J:O,6,FALSE)</f>
        <v>6726</v>
      </c>
      <c r="O101" s="63">
        <f>INDEX('G2-8 Summary'!S:S,MATCH('Bill Impact Detail'!K101,'G2-8 Summary'!J:J,0))</f>
        <v>40</v>
      </c>
      <c r="P101" s="63">
        <f>SUMIFS('Rate Design (Consol)'!K:K,'Rate Design (Consol)'!A:A,M101,'Rate Design (Consol)'!D:D,H101)</f>
        <v>150</v>
      </c>
      <c r="Q101" s="63"/>
      <c r="R101" s="142">
        <f t="shared" si="50"/>
        <v>0.46758999999999995</v>
      </c>
      <c r="S101" s="141">
        <f>INDEX('G2-8 Summary'!V:V,MATCH('Bill Impact Detail'!K101,'G2-8 Summary'!J:J,0))</f>
        <v>0.30826999999999999</v>
      </c>
      <c r="T101" s="141">
        <f>SUMIFS('Rate Design (Consol)'!L:L,'Rate Design (Consol)'!A:A,M101,'Rate Design (Consol)'!D:D,H101)</f>
        <v>0.62475000000000003</v>
      </c>
      <c r="U101" s="141"/>
      <c r="W101" s="64">
        <f>VLOOKUP($K101,'G2-8 Summary'!$J:$AA,15,FALSE)</f>
        <v>0.15931999999999996</v>
      </c>
      <c r="X101" s="64"/>
      <c r="Y101" s="64"/>
      <c r="Z101" s="64"/>
      <c r="AB101" s="63">
        <f t="shared" si="40"/>
        <v>480</v>
      </c>
      <c r="AC101" s="63">
        <f t="shared" si="41"/>
        <v>2073.4240199999999</v>
      </c>
      <c r="AD101" s="63">
        <f t="shared" si="42"/>
        <v>1071.5863199999997</v>
      </c>
      <c r="AE101" s="63">
        <f t="shared" si="43"/>
        <v>0</v>
      </c>
      <c r="AF101" s="63">
        <f t="shared" si="44"/>
        <v>0</v>
      </c>
      <c r="AG101" s="63">
        <f t="shared" si="45"/>
        <v>0</v>
      </c>
      <c r="AH101" s="202">
        <f t="shared" si="46"/>
        <v>3625.0103399999998</v>
      </c>
      <c r="AI101" s="138"/>
      <c r="AJ101" s="63">
        <f t="shared" si="47"/>
        <v>1800</v>
      </c>
      <c r="AK101" s="63">
        <f t="shared" si="48"/>
        <v>4202.0685000000003</v>
      </c>
      <c r="AL101" s="63"/>
      <c r="AM101" s="63">
        <f t="shared" si="51"/>
        <v>0</v>
      </c>
      <c r="AN101" s="63">
        <f t="shared" si="52"/>
        <v>0</v>
      </c>
      <c r="AO101" s="63">
        <f t="shared" si="53"/>
        <v>0</v>
      </c>
      <c r="AP101" s="202">
        <f t="shared" si="73"/>
        <v>6002.0685000000003</v>
      </c>
      <c r="AQ101" s="63">
        <f t="shared" si="49"/>
        <v>2377.0581600000005</v>
      </c>
      <c r="AR101" s="157">
        <f t="shared" si="54"/>
        <v>0.65573831163196095</v>
      </c>
      <c r="AT101" s="111">
        <f>VLOOKUP(K101,'G2-8 Summary'!J:P,7,FALSE)</f>
        <v>6</v>
      </c>
      <c r="AU101" s="157">
        <f t="shared" si="36"/>
        <v>3.7476577139287947E-3</v>
      </c>
      <c r="AW101" s="138">
        <f t="shared" si="37"/>
        <v>8.91</v>
      </c>
      <c r="AX101" s="139">
        <f t="shared" si="38"/>
        <v>2.5000000000000001E-3</v>
      </c>
      <c r="BC101" s="109"/>
    </row>
    <row r="102" spans="1:55" s="167" customFormat="1" x14ac:dyDescent="0.25">
      <c r="A102" s="167" t="s">
        <v>172</v>
      </c>
      <c r="B102" s="167" t="s">
        <v>155</v>
      </c>
      <c r="C102" s="167" t="s">
        <v>179</v>
      </c>
      <c r="D102" s="167" t="s">
        <v>174</v>
      </c>
      <c r="E102" s="167" t="s">
        <v>92</v>
      </c>
      <c r="F102" s="167" t="str">
        <f>INDEX('Rate Design (Consol)'!$B$48:$B$66,MATCH('Bill Impact Detail'!G102,'Rate Design (Consol)'!$C$48:$C$66,0))</f>
        <v>GS-4</v>
      </c>
      <c r="G102" s="167" t="s">
        <v>14</v>
      </c>
      <c r="H102" s="167" t="str">
        <f>INDEX('Rate Design (Consol)'!$D$48:$D$66,MATCH('Bill Impact Detail'!I102,'Rate Design (Consol)'!$E$48:$E$66,0))</f>
        <v>GS-4</v>
      </c>
      <c r="I102" s="167" t="str">
        <f t="shared" si="72"/>
        <v>General Service - 4</v>
      </c>
      <c r="J102" s="167" t="str">
        <f>VLOOKUP(I102,'Rate Design (Consol)'!$E$48:$F$66,2,FALSE)</f>
        <v>&gt; 10,000 &lt; = 50,000</v>
      </c>
      <c r="K102" s="169" t="str">
        <f t="shared" si="39"/>
        <v>CFG-CFG - Firm Transportation Service - 2.1 Non-Residential-GS-4</v>
      </c>
      <c r="L102" s="169">
        <v>8</v>
      </c>
      <c r="M102" s="169" t="s">
        <v>257</v>
      </c>
      <c r="N102" s="138">
        <f>VLOOKUP(K102,'G2-8 Summary'!J:O,6,FALSE)</f>
        <v>16080</v>
      </c>
      <c r="O102" s="63">
        <f>INDEX('G2-8 Summary'!S:S,MATCH('Bill Impact Detail'!K102,'G2-8 Summary'!J:J,0))</f>
        <v>40</v>
      </c>
      <c r="P102" s="63">
        <f>SUMIFS('Rate Design (Consol)'!K:K,'Rate Design (Consol)'!A:A,M102,'Rate Design (Consol)'!D:D,H102)</f>
        <v>275</v>
      </c>
      <c r="Q102" s="63"/>
      <c r="R102" s="142">
        <f t="shared" si="50"/>
        <v>0.46758999999999995</v>
      </c>
      <c r="S102" s="141">
        <f>INDEX('G2-8 Summary'!V:V,MATCH('Bill Impact Detail'!K102,'G2-8 Summary'!J:J,0))</f>
        <v>0.30826999999999999</v>
      </c>
      <c r="T102" s="141">
        <f>SUMIFS('Rate Design (Consol)'!L:L,'Rate Design (Consol)'!A:A,M102,'Rate Design (Consol)'!D:D,H102)</f>
        <v>0.59182999999999997</v>
      </c>
      <c r="U102" s="141"/>
      <c r="W102" s="64">
        <f>VLOOKUP($K102,'G2-8 Summary'!$J:$AA,15,FALSE)</f>
        <v>0.15931999999999996</v>
      </c>
      <c r="X102" s="64"/>
      <c r="Y102" s="64"/>
      <c r="Z102" s="64"/>
      <c r="AB102" s="63">
        <f t="shared" si="40"/>
        <v>480</v>
      </c>
      <c r="AC102" s="63">
        <f t="shared" si="41"/>
        <v>4956.9816000000001</v>
      </c>
      <c r="AD102" s="63">
        <f t="shared" si="42"/>
        <v>2561.8655999999992</v>
      </c>
      <c r="AE102" s="63">
        <f t="shared" si="43"/>
        <v>0</v>
      </c>
      <c r="AF102" s="63">
        <f t="shared" si="44"/>
        <v>0</v>
      </c>
      <c r="AG102" s="63">
        <f t="shared" si="45"/>
        <v>0</v>
      </c>
      <c r="AH102" s="202">
        <f t="shared" si="46"/>
        <v>7998.8471999999992</v>
      </c>
      <c r="AI102" s="138"/>
      <c r="AJ102" s="63">
        <f t="shared" si="47"/>
        <v>3300</v>
      </c>
      <c r="AK102" s="63">
        <f t="shared" si="48"/>
        <v>9516.6263999999992</v>
      </c>
      <c r="AL102" s="63"/>
      <c r="AM102" s="63">
        <f t="shared" si="51"/>
        <v>0</v>
      </c>
      <c r="AN102" s="63">
        <f t="shared" si="52"/>
        <v>0</v>
      </c>
      <c r="AO102" s="63">
        <f t="shared" si="53"/>
        <v>0</v>
      </c>
      <c r="AP102" s="202">
        <f t="shared" si="73"/>
        <v>12816.626399999999</v>
      </c>
      <c r="AQ102" s="63">
        <f t="shared" si="49"/>
        <v>4817.7791999999999</v>
      </c>
      <c r="AR102" s="157">
        <f t="shared" si="54"/>
        <v>0.60230919275467598</v>
      </c>
      <c r="AT102" s="111">
        <f>VLOOKUP(K102,'G2-8 Summary'!J:P,7,FALSE)</f>
        <v>2</v>
      </c>
      <c r="AU102" s="157">
        <f t="shared" si="36"/>
        <v>1.4336917562724014E-3</v>
      </c>
      <c r="AW102" s="138">
        <f t="shared" si="37"/>
        <v>6.91</v>
      </c>
      <c r="AX102" s="139">
        <f t="shared" si="38"/>
        <v>8.9999999999999998E-4</v>
      </c>
      <c r="BC102" s="109"/>
    </row>
    <row r="103" spans="1:55" s="167" customFormat="1" x14ac:dyDescent="0.25">
      <c r="A103" s="167" t="s">
        <v>172</v>
      </c>
      <c r="B103" s="167" t="s">
        <v>155</v>
      </c>
      <c r="C103" s="167" t="s">
        <v>179</v>
      </c>
      <c r="D103" s="167" t="s">
        <v>174</v>
      </c>
      <c r="E103" s="167" t="s">
        <v>92</v>
      </c>
      <c r="F103" s="167" t="str">
        <f>INDEX('Rate Design (Consol)'!$B$48:$B$66,MATCH('Bill Impact Detail'!G103,'Rate Design (Consol)'!$C$48:$C$66,0))</f>
        <v>GS-1</v>
      </c>
      <c r="G103" s="167" t="s">
        <v>11</v>
      </c>
      <c r="H103" s="167" t="str">
        <f>INDEX('Rate Design (Consol)'!$D$48:$D$66,MATCH('Bill Impact Detail'!I103,'Rate Design (Consol)'!$E$48:$E$66,0))</f>
        <v>GS-1</v>
      </c>
      <c r="I103" s="167" t="str">
        <f t="shared" si="72"/>
        <v>General Service - 1</v>
      </c>
      <c r="J103" s="167" t="str">
        <f>VLOOKUP(I103,'Rate Design (Consol)'!$E$48:$F$66,2,FALSE)</f>
        <v>&lt; = 1000</v>
      </c>
      <c r="K103" s="169" t="str">
        <f t="shared" si="39"/>
        <v>CFG-CFG - Firm Transportation Service - 2.1 Non-Residential-GS-1</v>
      </c>
      <c r="L103" s="169">
        <v>5</v>
      </c>
      <c r="M103" s="169" t="s">
        <v>257</v>
      </c>
      <c r="N103" s="138">
        <f>VLOOKUP(K103,'G2-8 Summary'!J:O,6,FALSE)</f>
        <v>499</v>
      </c>
      <c r="O103" s="63">
        <f>INDEX('G2-8 Summary'!S:S,MATCH('Bill Impact Detail'!K103,'G2-8 Summary'!J:J,0))</f>
        <v>40</v>
      </c>
      <c r="P103" s="63">
        <f>SUMIFS('Rate Design (Consol)'!K:K,'Rate Design (Consol)'!A:A,M103,'Rate Design (Consol)'!D:D,H103)</f>
        <v>40</v>
      </c>
      <c r="Q103" s="63"/>
      <c r="R103" s="142">
        <f t="shared" si="50"/>
        <v>0.46758999999999995</v>
      </c>
      <c r="S103" s="141">
        <f>INDEX('G2-8 Summary'!V:V,MATCH('Bill Impact Detail'!K103,'G2-8 Summary'!J:J,0))</f>
        <v>0.30826999999999999</v>
      </c>
      <c r="T103" s="141">
        <f>SUMIFS('Rate Design (Consol)'!L:L,'Rate Design (Consol)'!A:A,M103,'Rate Design (Consol)'!D:D,H103)</f>
        <v>0.70123999999999997</v>
      </c>
      <c r="U103" s="141"/>
      <c r="W103" s="64">
        <f>VLOOKUP($K103,'G2-8 Summary'!$J:$AA,15,FALSE)</f>
        <v>0.15931999999999996</v>
      </c>
      <c r="X103" s="64"/>
      <c r="Y103" s="64"/>
      <c r="Z103" s="64"/>
      <c r="AB103" s="63">
        <f t="shared" si="40"/>
        <v>480</v>
      </c>
      <c r="AC103" s="63">
        <f t="shared" si="41"/>
        <v>153.82673</v>
      </c>
      <c r="AD103" s="63">
        <f t="shared" si="42"/>
        <v>79.500679999999974</v>
      </c>
      <c r="AE103" s="63">
        <f t="shared" si="43"/>
        <v>0</v>
      </c>
      <c r="AF103" s="63">
        <f t="shared" si="44"/>
        <v>0</v>
      </c>
      <c r="AG103" s="63">
        <f t="shared" si="45"/>
        <v>0</v>
      </c>
      <c r="AH103" s="202">
        <f t="shared" si="46"/>
        <v>713.32740999999999</v>
      </c>
      <c r="AI103" s="138"/>
      <c r="AJ103" s="63">
        <f t="shared" si="47"/>
        <v>480</v>
      </c>
      <c r="AK103" s="63">
        <f t="shared" si="48"/>
        <v>349.91875999999996</v>
      </c>
      <c r="AL103" s="63"/>
      <c r="AM103" s="63">
        <f t="shared" si="51"/>
        <v>0</v>
      </c>
      <c r="AN103" s="63">
        <f t="shared" si="52"/>
        <v>0</v>
      </c>
      <c r="AO103" s="63">
        <f t="shared" si="53"/>
        <v>0</v>
      </c>
      <c r="AP103" s="202">
        <f t="shared" si="73"/>
        <v>829.91876000000002</v>
      </c>
      <c r="AQ103" s="63">
        <f t="shared" si="49"/>
        <v>116.59135000000003</v>
      </c>
      <c r="AR103" s="157">
        <f t="shared" si="54"/>
        <v>0.1634471749795792</v>
      </c>
      <c r="AT103" s="111">
        <f>VLOOKUP(K103,'G2-8 Summary'!J:P,7,FALSE)</f>
        <v>75</v>
      </c>
      <c r="AU103" s="157">
        <f t="shared" ref="AU103:AU134" si="74">AT103/SUMIFS(AT:AT,G:G,G103,M:M,M103)</f>
        <v>3.5327366933584549E-2</v>
      </c>
      <c r="AW103" s="138">
        <f t="shared" ref="AW103:AW134" si="75">ROUND(AQ103*AU103,2)</f>
        <v>4.12</v>
      </c>
      <c r="AX103" s="139">
        <f t="shared" ref="AX103:AX134" si="76">ROUND(AR103*AU103,4)</f>
        <v>5.7999999999999996E-3</v>
      </c>
      <c r="BC103" s="109"/>
    </row>
    <row r="104" spans="1:55" s="167" customFormat="1" x14ac:dyDescent="0.25">
      <c r="A104" s="167" t="s">
        <v>172</v>
      </c>
      <c r="B104" s="167" t="s">
        <v>152</v>
      </c>
      <c r="C104" s="167" t="s">
        <v>179</v>
      </c>
      <c r="D104" s="167" t="s">
        <v>174</v>
      </c>
      <c r="E104" s="167" t="s">
        <v>82</v>
      </c>
      <c r="F104" s="167" t="str">
        <f>INDEX('Rate Design (Consol)'!$B$48:$B$66,MATCH('Bill Impact Detail'!G104,'Rate Design (Consol)'!$C$48:$C$66,0))</f>
        <v>RES-2</v>
      </c>
      <c r="G104" s="167" t="s">
        <v>9</v>
      </c>
      <c r="H104" s="167" t="str">
        <f>INDEX('Rate Design (Consol)'!$D$48:$D$66,MATCH('Bill Impact Detail'!I104,'Rate Design (Consol)'!$E$48:$E$66,0))</f>
        <v>RES-2</v>
      </c>
      <c r="I104" s="167" t="str">
        <f t="shared" si="72"/>
        <v>Residential - 2</v>
      </c>
      <c r="J104" s="167" t="str">
        <f>VLOOKUP(I104,'Rate Design (Consol)'!$E$48:$F$66,2,FALSE)</f>
        <v>&gt; 100 &lt; = 250</v>
      </c>
      <c r="K104" s="169" t="str">
        <f t="shared" si="39"/>
        <v>CFG-CFG - Firm Transportation Service - 2.1 Residential-RES-2</v>
      </c>
      <c r="L104" s="169">
        <v>2</v>
      </c>
      <c r="M104" s="169" t="s">
        <v>257</v>
      </c>
      <c r="N104" s="138">
        <f>VLOOKUP(K104,'G2-8 Summary'!J:O,6,FALSE)</f>
        <v>167</v>
      </c>
      <c r="O104" s="63">
        <f>INDEX('G2-8 Summary'!S:S,MATCH('Bill Impact Detail'!K104,'G2-8 Summary'!J:J,0))</f>
        <v>40</v>
      </c>
      <c r="P104" s="63">
        <f>SUMIFS('Rate Design (Consol)'!K:K,'Rate Design (Consol)'!A:A,M104,'Rate Design (Consol)'!D:D,H104)</f>
        <v>19.5</v>
      </c>
      <c r="Q104" s="63"/>
      <c r="R104" s="142">
        <f t="shared" si="50"/>
        <v>0.46758999999999995</v>
      </c>
      <c r="S104" s="141">
        <f>INDEX('G2-8 Summary'!V:V,MATCH('Bill Impact Detail'!K104,'G2-8 Summary'!J:J,0))</f>
        <v>0.30826999999999999</v>
      </c>
      <c r="T104" s="141">
        <f>SUMIFS('Rate Design (Consol)'!L:L,'Rate Design (Consol)'!A:A,M104,'Rate Design (Consol)'!D:D,H104)</f>
        <v>0.65271999999999997</v>
      </c>
      <c r="U104" s="141"/>
      <c r="W104" s="64">
        <f>VLOOKUP($K104,'G2-8 Summary'!$J:$AA,15,FALSE)</f>
        <v>0.15931999999999996</v>
      </c>
      <c r="X104" s="64"/>
      <c r="Y104" s="64"/>
      <c r="Z104" s="64"/>
      <c r="AB104" s="63">
        <f t="shared" si="40"/>
        <v>480</v>
      </c>
      <c r="AC104" s="63">
        <f t="shared" si="41"/>
        <v>51.481089999999995</v>
      </c>
      <c r="AD104" s="63">
        <f t="shared" si="42"/>
        <v>26.606439999999992</v>
      </c>
      <c r="AE104" s="63">
        <f t="shared" si="43"/>
        <v>0</v>
      </c>
      <c r="AF104" s="63">
        <f t="shared" si="44"/>
        <v>0</v>
      </c>
      <c r="AG104" s="63">
        <f t="shared" si="45"/>
        <v>0</v>
      </c>
      <c r="AH104" s="202">
        <f t="shared" si="46"/>
        <v>558.08753000000002</v>
      </c>
      <c r="AI104" s="138"/>
      <c r="AJ104" s="63">
        <f t="shared" si="47"/>
        <v>234</v>
      </c>
      <c r="AK104" s="63">
        <f t="shared" si="48"/>
        <v>109.00424</v>
      </c>
      <c r="AL104" s="63"/>
      <c r="AM104" s="63">
        <f t="shared" si="51"/>
        <v>0</v>
      </c>
      <c r="AN104" s="63">
        <f t="shared" si="52"/>
        <v>0</v>
      </c>
      <c r="AO104" s="63">
        <f t="shared" si="53"/>
        <v>0</v>
      </c>
      <c r="AP104" s="202">
        <f t="shared" si="73"/>
        <v>343.00423999999998</v>
      </c>
      <c r="AQ104" s="63">
        <f t="shared" si="49"/>
        <v>-215.08329000000003</v>
      </c>
      <c r="AR104" s="157">
        <f t="shared" si="54"/>
        <v>-0.38539347044718958</v>
      </c>
      <c r="AT104" s="111">
        <f>VLOOKUP(K104,'G2-8 Summary'!J:P,7,FALSE)</f>
        <v>51</v>
      </c>
      <c r="AU104" s="157">
        <f t="shared" si="74"/>
        <v>1.3781921361978111E-3</v>
      </c>
      <c r="AW104" s="138">
        <f t="shared" si="75"/>
        <v>-0.3</v>
      </c>
      <c r="AX104" s="139">
        <f t="shared" si="76"/>
        <v>-5.0000000000000001E-4</v>
      </c>
      <c r="BC104" s="109"/>
    </row>
    <row r="105" spans="1:55" s="167" customFormat="1" x14ac:dyDescent="0.25">
      <c r="A105" s="167" t="s">
        <v>172</v>
      </c>
      <c r="B105" s="167" t="s">
        <v>152</v>
      </c>
      <c r="C105" s="167" t="s">
        <v>179</v>
      </c>
      <c r="D105" s="167" t="s">
        <v>174</v>
      </c>
      <c r="E105" s="167" t="s">
        <v>82</v>
      </c>
      <c r="F105" s="167" t="str">
        <f>INDEX('Rate Design (Consol)'!$B$48:$B$66,MATCH('Bill Impact Detail'!G105,'Rate Design (Consol)'!$C$48:$C$66,0))</f>
        <v>RES-3</v>
      </c>
      <c r="G105" s="167" t="s">
        <v>266</v>
      </c>
      <c r="H105" s="167" t="str">
        <f>INDEX('Rate Design (Consol)'!$D$48:$D$66,MATCH('Bill Impact Detail'!I105,'Rate Design (Consol)'!$E$48:$E$66,0))</f>
        <v>RES-3</v>
      </c>
      <c r="I105" s="167" t="str">
        <f t="shared" si="72"/>
        <v>Residential - 3</v>
      </c>
      <c r="J105" s="167" t="str">
        <f>VLOOKUP(I105,'Rate Design (Consol)'!$E$48:$F$66,2,FALSE)</f>
        <v>n/a</v>
      </c>
      <c r="K105" s="169" t="str">
        <f t="shared" si="39"/>
        <v>CFG-CFG - Firm Transportation Service - 2.1 Residential-RES-3</v>
      </c>
      <c r="L105" s="169">
        <v>3</v>
      </c>
      <c r="M105" s="169" t="s">
        <v>257</v>
      </c>
      <c r="N105" s="138">
        <f>VLOOKUP(K105,'G2-8 Summary'!J:O,6,FALSE)</f>
        <v>1035</v>
      </c>
      <c r="O105" s="63">
        <f>INDEX('G2-8 Summary'!S:S,MATCH('Bill Impact Detail'!K105,'G2-8 Summary'!J:J,0))</f>
        <v>40</v>
      </c>
      <c r="P105" s="63">
        <f>SUMIFS('Rate Design (Consol)'!K:K,'Rate Design (Consol)'!A:A,M105,'Rate Design (Consol)'!D:D,H105)</f>
        <v>26.5</v>
      </c>
      <c r="Q105" s="63"/>
      <c r="R105" s="142">
        <f t="shared" si="50"/>
        <v>0.46758999999999995</v>
      </c>
      <c r="S105" s="141">
        <f>INDEX('G2-8 Summary'!V:V,MATCH('Bill Impact Detail'!K105,'G2-8 Summary'!J:J,0))</f>
        <v>0.30826999999999999</v>
      </c>
      <c r="T105" s="141">
        <f>SUMIFS('Rate Design (Consol)'!L:L,'Rate Design (Consol)'!A:A,M105,'Rate Design (Consol)'!D:D,H105)</f>
        <v>0.65386</v>
      </c>
      <c r="U105" s="141"/>
      <c r="W105" s="64">
        <f>VLOOKUP($K105,'G2-8 Summary'!$J:$AA,15,FALSE)</f>
        <v>0.15931999999999996</v>
      </c>
      <c r="X105" s="64"/>
      <c r="Y105" s="64"/>
      <c r="Z105" s="64"/>
      <c r="AB105" s="63">
        <f t="shared" si="40"/>
        <v>480</v>
      </c>
      <c r="AC105" s="63">
        <f t="shared" si="41"/>
        <v>319.05944999999997</v>
      </c>
      <c r="AD105" s="63">
        <f t="shared" si="42"/>
        <v>164.89619999999996</v>
      </c>
      <c r="AE105" s="63">
        <f t="shared" si="43"/>
        <v>0</v>
      </c>
      <c r="AF105" s="63">
        <f t="shared" si="44"/>
        <v>0</v>
      </c>
      <c r="AG105" s="63">
        <f t="shared" si="45"/>
        <v>0</v>
      </c>
      <c r="AH105" s="202">
        <f t="shared" si="46"/>
        <v>963.95564999999988</v>
      </c>
      <c r="AI105" s="138"/>
      <c r="AJ105" s="63">
        <f t="shared" si="47"/>
        <v>318</v>
      </c>
      <c r="AK105" s="63">
        <f t="shared" si="48"/>
        <v>676.74509999999998</v>
      </c>
      <c r="AL105" s="63"/>
      <c r="AM105" s="63">
        <f t="shared" si="51"/>
        <v>0</v>
      </c>
      <c r="AN105" s="63">
        <f t="shared" si="52"/>
        <v>0</v>
      </c>
      <c r="AO105" s="63">
        <f t="shared" si="53"/>
        <v>0</v>
      </c>
      <c r="AP105" s="202">
        <f t="shared" si="73"/>
        <v>994.74509999999998</v>
      </c>
      <c r="AQ105" s="63">
        <f t="shared" ref="AQ105:AQ136" si="77">AP105-AH105</f>
        <v>30.789450000000102</v>
      </c>
      <c r="AR105" s="157">
        <f t="shared" si="54"/>
        <v>3.19407329579946E-2</v>
      </c>
      <c r="AT105" s="111">
        <f>VLOOKUP(K105,'G2-8 Summary'!J:P,7,FALSE)</f>
        <v>397</v>
      </c>
      <c r="AU105" s="157">
        <f t="shared" si="74"/>
        <v>2.0539086346939833E-2</v>
      </c>
      <c r="AW105" s="138">
        <f t="shared" si="75"/>
        <v>0.63</v>
      </c>
      <c r="AX105" s="139">
        <f t="shared" si="76"/>
        <v>6.9999999999999999E-4</v>
      </c>
      <c r="BC105" s="109"/>
    </row>
    <row r="106" spans="1:55" s="167" customFormat="1" x14ac:dyDescent="0.25">
      <c r="A106" s="167" t="s">
        <v>172</v>
      </c>
      <c r="B106" s="167" t="s">
        <v>152</v>
      </c>
      <c r="C106" s="167" t="s">
        <v>179</v>
      </c>
      <c r="D106" s="167" t="s">
        <v>174</v>
      </c>
      <c r="E106" s="167" t="s">
        <v>82</v>
      </c>
      <c r="F106" s="167" t="str">
        <f>INDEX('Rate Design (Consol)'!$B$48:$B$66,MATCH('Bill Impact Detail'!G106,'Rate Design (Consol)'!$C$48:$C$66,0))</f>
        <v>RES-1</v>
      </c>
      <c r="G106" s="167" t="s">
        <v>8</v>
      </c>
      <c r="H106" s="167" t="str">
        <f>INDEX('Rate Design (Consol)'!$D$48:$D$66,MATCH('Bill Impact Detail'!I106,'Rate Design (Consol)'!$E$48:$E$66,0))</f>
        <v>RES-1</v>
      </c>
      <c r="I106" s="167" t="str">
        <f t="shared" si="72"/>
        <v>Residential - 1</v>
      </c>
      <c r="J106" s="167" t="str">
        <f>VLOOKUP(I106,'Rate Design (Consol)'!$E$48:$F$66,2,FALSE)</f>
        <v>&lt; = 100</v>
      </c>
      <c r="K106" s="169" t="str">
        <f t="shared" si="39"/>
        <v>CFG-CFG - Firm Transportation Service - 2.1 Residential-RES-1</v>
      </c>
      <c r="L106" s="169">
        <v>1</v>
      </c>
      <c r="M106" s="169" t="s">
        <v>257</v>
      </c>
      <c r="N106" s="138">
        <f>VLOOKUP(K106,'G2-8 Summary'!J:O,6,FALSE)</f>
        <v>55</v>
      </c>
      <c r="O106" s="63">
        <f>INDEX('G2-8 Summary'!S:S,MATCH('Bill Impact Detail'!K106,'G2-8 Summary'!J:J,0))</f>
        <v>40</v>
      </c>
      <c r="P106" s="63">
        <f>SUMIFS('Rate Design (Consol)'!K:K,'Rate Design (Consol)'!A:A,M106,'Rate Design (Consol)'!D:D,H106)</f>
        <v>16.5</v>
      </c>
      <c r="Q106" s="63"/>
      <c r="R106" s="142">
        <f t="shared" si="50"/>
        <v>0.46758999999999995</v>
      </c>
      <c r="S106" s="141">
        <f>INDEX('G2-8 Summary'!V:V,MATCH('Bill Impact Detail'!K106,'G2-8 Summary'!J:J,0))</f>
        <v>0.30826999999999999</v>
      </c>
      <c r="T106" s="141">
        <f>SUMIFS('Rate Design (Consol)'!L:L,'Rate Design (Consol)'!A:A,M106,'Rate Design (Consol)'!D:D,H106)</f>
        <v>0.65229000000000004</v>
      </c>
      <c r="U106" s="141"/>
      <c r="W106" s="64">
        <f>VLOOKUP($K106,'G2-8 Summary'!$J:$AA,15,FALSE)</f>
        <v>0.15931999999999996</v>
      </c>
      <c r="X106" s="64"/>
      <c r="Y106" s="64"/>
      <c r="Z106" s="64"/>
      <c r="AB106" s="63">
        <f t="shared" si="40"/>
        <v>480</v>
      </c>
      <c r="AC106" s="63">
        <f t="shared" si="41"/>
        <v>16.95485</v>
      </c>
      <c r="AD106" s="63">
        <f t="shared" si="42"/>
        <v>8.7625999999999973</v>
      </c>
      <c r="AE106" s="63">
        <f t="shared" si="43"/>
        <v>0</v>
      </c>
      <c r="AF106" s="63">
        <f t="shared" si="44"/>
        <v>0</v>
      </c>
      <c r="AG106" s="63">
        <f t="shared" si="45"/>
        <v>0</v>
      </c>
      <c r="AH106" s="202">
        <f t="shared" si="46"/>
        <v>505.71745000000004</v>
      </c>
      <c r="AI106" s="138"/>
      <c r="AJ106" s="63">
        <f t="shared" si="47"/>
        <v>198</v>
      </c>
      <c r="AK106" s="63">
        <f t="shared" si="48"/>
        <v>35.875950000000003</v>
      </c>
      <c r="AL106" s="63"/>
      <c r="AM106" s="63">
        <f t="shared" si="51"/>
        <v>0</v>
      </c>
      <c r="AN106" s="63">
        <f t="shared" si="52"/>
        <v>0</v>
      </c>
      <c r="AO106" s="63">
        <f t="shared" si="53"/>
        <v>0</v>
      </c>
      <c r="AP106" s="202">
        <f t="shared" si="73"/>
        <v>233.87594999999999</v>
      </c>
      <c r="AQ106" s="63">
        <f t="shared" si="77"/>
        <v>-271.84150000000005</v>
      </c>
      <c r="AR106" s="157">
        <f t="shared" si="54"/>
        <v>-0.53753632586733957</v>
      </c>
      <c r="AT106" s="111">
        <f>VLOOKUP(K106,'G2-8 Summary'!J:P,7,FALSE)</f>
        <v>14</v>
      </c>
      <c r="AU106" s="157">
        <f t="shared" si="74"/>
        <v>5.0314465408805029E-4</v>
      </c>
      <c r="AW106" s="138">
        <f t="shared" si="75"/>
        <v>-0.14000000000000001</v>
      </c>
      <c r="AX106" s="139">
        <f t="shared" si="76"/>
        <v>-2.9999999999999997E-4</v>
      </c>
      <c r="BC106" s="109"/>
    </row>
    <row r="107" spans="1:55" s="167" customFormat="1" x14ac:dyDescent="0.25">
      <c r="A107" s="167" t="s">
        <v>172</v>
      </c>
      <c r="B107" s="167" t="s">
        <v>155</v>
      </c>
      <c r="C107" s="167" t="s">
        <v>180</v>
      </c>
      <c r="D107" s="167" t="s">
        <v>174</v>
      </c>
      <c r="E107" s="167" t="s">
        <v>109</v>
      </c>
      <c r="F107" s="167" t="str">
        <f>INDEX('Rate Design (Consol)'!$B$48:$B$66,MATCH('Bill Impact Detail'!G107,'Rate Design (Consol)'!$C$48:$C$66,0))</f>
        <v>GS-2</v>
      </c>
      <c r="G107" s="167" t="s">
        <v>12</v>
      </c>
      <c r="H107" s="167" t="str">
        <f>INDEX('Rate Design (Consol)'!$D$48:$D$66,MATCH('Bill Impact Detail'!I107,'Rate Design (Consol)'!$E$48:$E$66,0))</f>
        <v>GS-2</v>
      </c>
      <c r="I107" s="167" t="str">
        <f t="shared" si="72"/>
        <v>General Service - 2</v>
      </c>
      <c r="J107" s="167" t="str">
        <f>VLOOKUP(I107,'Rate Design (Consol)'!$E$48:$F$66,2,FALSE)</f>
        <v>&gt; 1000 &lt; = 5,000</v>
      </c>
      <c r="K107" s="169" t="str">
        <f t="shared" si="39"/>
        <v>CFG-CFG - Firm Transportation Service - 3 (Fixed Non-Residential)-GS-2</v>
      </c>
      <c r="L107" s="169">
        <v>6</v>
      </c>
      <c r="M107" s="169" t="s">
        <v>257</v>
      </c>
      <c r="N107" s="138">
        <f>VLOOKUP(K107,'G2-8 Summary'!J:O,6,FALSE)</f>
        <v>3163</v>
      </c>
      <c r="O107" s="63">
        <f>INDEX('G2-8 Summary'!S:S,MATCH('Bill Impact Detail'!K107,'G2-8 Summary'!J:J,0))</f>
        <v>162</v>
      </c>
      <c r="P107" s="63">
        <f>SUMIFS('Rate Design (Consol)'!K:K,'Rate Design (Consol)'!A:A,M107,'Rate Design (Consol)'!D:D,H107)</f>
        <v>70</v>
      </c>
      <c r="Q107" s="63"/>
      <c r="R107" s="142">
        <f t="shared" si="50"/>
        <v>5.9479999999999998E-2</v>
      </c>
      <c r="S107" s="141">
        <f>INDEX('G2-8 Summary'!V:V,MATCH('Bill Impact Detail'!K107,'G2-8 Summary'!J:J,0))</f>
        <v>0</v>
      </c>
      <c r="T107" s="141">
        <f>SUMIFS('Rate Design (Consol)'!L:L,'Rate Design (Consol)'!A:A,M107,'Rate Design (Consol)'!D:D,H107)</f>
        <v>0.69901999999999997</v>
      </c>
      <c r="U107" s="141"/>
      <c r="W107" s="64">
        <f>VLOOKUP($K107,'G2-8 Summary'!$J:$AA,15,FALSE)</f>
        <v>5.9479999999999998E-2</v>
      </c>
      <c r="X107" s="64"/>
      <c r="Y107" s="64"/>
      <c r="Z107" s="64"/>
      <c r="AB107" s="63">
        <f t="shared" si="40"/>
        <v>1944</v>
      </c>
      <c r="AC107" s="63">
        <f t="shared" si="41"/>
        <v>0</v>
      </c>
      <c r="AD107" s="63">
        <f t="shared" si="42"/>
        <v>188.13523999999998</v>
      </c>
      <c r="AE107" s="63">
        <f t="shared" si="43"/>
        <v>0</v>
      </c>
      <c r="AF107" s="63">
        <f t="shared" si="44"/>
        <v>0</v>
      </c>
      <c r="AG107" s="63">
        <f t="shared" si="45"/>
        <v>0</v>
      </c>
      <c r="AH107" s="202">
        <f t="shared" si="46"/>
        <v>2132.1352400000001</v>
      </c>
      <c r="AI107" s="138"/>
      <c r="AJ107" s="63">
        <f t="shared" si="47"/>
        <v>840</v>
      </c>
      <c r="AK107" s="63">
        <f t="shared" si="48"/>
        <v>2211.0002599999998</v>
      </c>
      <c r="AL107" s="63"/>
      <c r="AM107" s="63">
        <f t="shared" si="51"/>
        <v>0</v>
      </c>
      <c r="AN107" s="63">
        <f t="shared" si="52"/>
        <v>0</v>
      </c>
      <c r="AO107" s="63">
        <f t="shared" si="53"/>
        <v>0</v>
      </c>
      <c r="AP107" s="202">
        <f t="shared" si="73"/>
        <v>3051.0002599999998</v>
      </c>
      <c r="AQ107" s="63">
        <f t="shared" si="77"/>
        <v>918.86501999999973</v>
      </c>
      <c r="AR107" s="157">
        <f t="shared" si="54"/>
        <v>0.43096000795896966</v>
      </c>
      <c r="AT107" s="111">
        <f>VLOOKUP(K107,'G2-8 Summary'!J:P,7,FALSE)</f>
        <v>14</v>
      </c>
      <c r="AU107" s="157">
        <f t="shared" si="74"/>
        <v>5.6588520614389648E-3</v>
      </c>
      <c r="AW107" s="138">
        <f t="shared" si="75"/>
        <v>5.2</v>
      </c>
      <c r="AX107" s="139">
        <f t="shared" si="76"/>
        <v>2.3999999999999998E-3</v>
      </c>
      <c r="BC107" s="109"/>
    </row>
    <row r="108" spans="1:55" s="167" customFormat="1" x14ac:dyDescent="0.25">
      <c r="A108" s="167" t="s">
        <v>172</v>
      </c>
      <c r="B108" s="167" t="s">
        <v>155</v>
      </c>
      <c r="C108" s="167" t="s">
        <v>180</v>
      </c>
      <c r="D108" s="167" t="s">
        <v>174</v>
      </c>
      <c r="E108" s="167" t="s">
        <v>109</v>
      </c>
      <c r="F108" s="167" t="str">
        <f>INDEX('Rate Design (Consol)'!$B$48:$B$66,MATCH('Bill Impact Detail'!G108,'Rate Design (Consol)'!$C$48:$C$66,0))</f>
        <v>GS-3</v>
      </c>
      <c r="G108" s="167" t="s">
        <v>13</v>
      </c>
      <c r="H108" s="167" t="str">
        <f>INDEX('Rate Design (Consol)'!$D$48:$D$66,MATCH('Bill Impact Detail'!I108,'Rate Design (Consol)'!$E$48:$E$66,0))</f>
        <v>GS-3</v>
      </c>
      <c r="I108" s="167" t="str">
        <f t="shared" si="72"/>
        <v>General Service - 3</v>
      </c>
      <c r="J108" s="167" t="str">
        <f>VLOOKUP(I108,'Rate Design (Consol)'!$E$48:$F$66,2,FALSE)</f>
        <v>&gt; 5,000 &lt; = 10,000</v>
      </c>
      <c r="K108" s="169" t="str">
        <f t="shared" si="39"/>
        <v>CFG-CFG - Firm Transportation Service - 3 (Fixed Non-Residential)-GS-3</v>
      </c>
      <c r="L108" s="169">
        <v>7</v>
      </c>
      <c r="M108" s="169" t="s">
        <v>257</v>
      </c>
      <c r="N108" s="138">
        <f>VLOOKUP(K108,'G2-8 Summary'!J:O,6,FALSE)</f>
        <v>6167</v>
      </c>
      <c r="O108" s="63">
        <f>INDEX('G2-8 Summary'!S:S,MATCH('Bill Impact Detail'!K108,'G2-8 Summary'!J:J,0))</f>
        <v>162</v>
      </c>
      <c r="P108" s="63">
        <f>SUMIFS('Rate Design (Consol)'!K:K,'Rate Design (Consol)'!A:A,M108,'Rate Design (Consol)'!D:D,H108)</f>
        <v>150</v>
      </c>
      <c r="Q108" s="63"/>
      <c r="R108" s="142">
        <f t="shared" si="50"/>
        <v>5.9479999999999998E-2</v>
      </c>
      <c r="S108" s="141">
        <f>INDEX('G2-8 Summary'!V:V,MATCH('Bill Impact Detail'!K108,'G2-8 Summary'!J:J,0))</f>
        <v>0</v>
      </c>
      <c r="T108" s="141">
        <f>SUMIFS('Rate Design (Consol)'!L:L,'Rate Design (Consol)'!A:A,M108,'Rate Design (Consol)'!D:D,H108)</f>
        <v>0.62475000000000003</v>
      </c>
      <c r="U108" s="141"/>
      <c r="W108" s="64">
        <f>VLOOKUP($K108,'G2-8 Summary'!$J:$AA,15,FALSE)</f>
        <v>5.9479999999999998E-2</v>
      </c>
      <c r="X108" s="64"/>
      <c r="Y108" s="64"/>
      <c r="Z108" s="64"/>
      <c r="AB108" s="63">
        <f t="shared" si="40"/>
        <v>1944</v>
      </c>
      <c r="AC108" s="63">
        <f t="shared" si="41"/>
        <v>0</v>
      </c>
      <c r="AD108" s="63">
        <f t="shared" si="42"/>
        <v>366.81315999999998</v>
      </c>
      <c r="AE108" s="63">
        <f t="shared" si="43"/>
        <v>0</v>
      </c>
      <c r="AF108" s="63">
        <f t="shared" si="44"/>
        <v>0</v>
      </c>
      <c r="AG108" s="63">
        <f t="shared" si="45"/>
        <v>0</v>
      </c>
      <c r="AH108" s="202">
        <f t="shared" si="46"/>
        <v>2310.8131600000002</v>
      </c>
      <c r="AI108" s="138"/>
      <c r="AJ108" s="63">
        <f t="shared" si="47"/>
        <v>1800</v>
      </c>
      <c r="AK108" s="63">
        <f t="shared" si="48"/>
        <v>3852.8332500000001</v>
      </c>
      <c r="AL108" s="63"/>
      <c r="AM108" s="63">
        <f t="shared" si="51"/>
        <v>0</v>
      </c>
      <c r="AN108" s="63">
        <f t="shared" si="52"/>
        <v>0</v>
      </c>
      <c r="AO108" s="63">
        <f t="shared" si="53"/>
        <v>0</v>
      </c>
      <c r="AP108" s="202">
        <f t="shared" si="73"/>
        <v>5652.8332499999997</v>
      </c>
      <c r="AQ108" s="63">
        <f t="shared" si="77"/>
        <v>3342.0200899999995</v>
      </c>
      <c r="AR108" s="157">
        <f t="shared" si="54"/>
        <v>1.4462528376807406</v>
      </c>
      <c r="AT108" s="111">
        <f>VLOOKUP(K108,'G2-8 Summary'!J:P,7,FALSE)</f>
        <v>3</v>
      </c>
      <c r="AU108" s="157">
        <f t="shared" si="74"/>
        <v>1.8738288569643974E-3</v>
      </c>
      <c r="AW108" s="138">
        <f t="shared" si="75"/>
        <v>6.26</v>
      </c>
      <c r="AX108" s="139">
        <f t="shared" si="76"/>
        <v>2.7000000000000001E-3</v>
      </c>
      <c r="BC108" s="109"/>
    </row>
    <row r="109" spans="1:55" s="167" customFormat="1" x14ac:dyDescent="0.25">
      <c r="A109" s="167" t="s">
        <v>172</v>
      </c>
      <c r="B109" s="167" t="s">
        <v>155</v>
      </c>
      <c r="C109" s="167" t="s">
        <v>180</v>
      </c>
      <c r="D109" s="167" t="s">
        <v>174</v>
      </c>
      <c r="E109" s="167" t="s">
        <v>109</v>
      </c>
      <c r="F109" s="167" t="str">
        <f>INDEX('Rate Design (Consol)'!$B$48:$B$66,MATCH('Bill Impact Detail'!G109,'Rate Design (Consol)'!$C$48:$C$66,0))</f>
        <v>GS-1</v>
      </c>
      <c r="G109" s="167" t="s">
        <v>11</v>
      </c>
      <c r="H109" s="167" t="str">
        <f>INDEX('Rate Design (Consol)'!$D$48:$D$66,MATCH('Bill Impact Detail'!I109,'Rate Design (Consol)'!$E$48:$E$66,0))</f>
        <v>GS-1</v>
      </c>
      <c r="I109" s="167" t="str">
        <f t="shared" si="72"/>
        <v>General Service - 1</v>
      </c>
      <c r="J109" s="167" t="str">
        <f>VLOOKUP(I109,'Rate Design (Consol)'!$E$48:$F$66,2,FALSE)</f>
        <v>&lt; = 1000</v>
      </c>
      <c r="K109" s="169" t="str">
        <f t="shared" si="39"/>
        <v>CFG-CFG - Firm Transportation Service - 3 (Fixed Non-Residential)-GS-1</v>
      </c>
      <c r="L109" s="169">
        <v>5</v>
      </c>
      <c r="M109" s="169" t="s">
        <v>257</v>
      </c>
      <c r="N109" s="138">
        <f>VLOOKUP(K109,'G2-8 Summary'!J:O,6,FALSE)</f>
        <v>112</v>
      </c>
      <c r="O109" s="63">
        <f>INDEX('G2-8 Summary'!S:S,MATCH('Bill Impact Detail'!K109,'G2-8 Summary'!J:J,0))</f>
        <v>162</v>
      </c>
      <c r="P109" s="63">
        <f>SUMIFS('Rate Design (Consol)'!K:K,'Rate Design (Consol)'!A:A,M109,'Rate Design (Consol)'!D:D,H109)</f>
        <v>40</v>
      </c>
      <c r="Q109" s="63"/>
      <c r="R109" s="142">
        <f t="shared" si="50"/>
        <v>5.9479999999999998E-2</v>
      </c>
      <c r="S109" s="141">
        <f>INDEX('G2-8 Summary'!V:V,MATCH('Bill Impact Detail'!K109,'G2-8 Summary'!J:J,0))</f>
        <v>0</v>
      </c>
      <c r="T109" s="141">
        <f>SUMIFS('Rate Design (Consol)'!L:L,'Rate Design (Consol)'!A:A,M109,'Rate Design (Consol)'!D:D,H109)</f>
        <v>0.70123999999999997</v>
      </c>
      <c r="U109" s="141"/>
      <c r="W109" s="64">
        <f>VLOOKUP($K109,'G2-8 Summary'!$J:$AA,15,FALSE)</f>
        <v>5.9479999999999998E-2</v>
      </c>
      <c r="X109" s="64"/>
      <c r="Y109" s="64"/>
      <c r="Z109" s="64"/>
      <c r="AB109" s="63">
        <f t="shared" si="40"/>
        <v>1944</v>
      </c>
      <c r="AC109" s="63">
        <f t="shared" si="41"/>
        <v>0</v>
      </c>
      <c r="AD109" s="63">
        <f t="shared" si="42"/>
        <v>6.6617600000000001</v>
      </c>
      <c r="AE109" s="63">
        <f t="shared" si="43"/>
        <v>0</v>
      </c>
      <c r="AF109" s="63">
        <f t="shared" si="44"/>
        <v>0</v>
      </c>
      <c r="AG109" s="63">
        <f t="shared" si="45"/>
        <v>0</v>
      </c>
      <c r="AH109" s="202">
        <f t="shared" si="46"/>
        <v>1950.66176</v>
      </c>
      <c r="AI109" s="138"/>
      <c r="AJ109" s="63">
        <f t="shared" si="47"/>
        <v>480</v>
      </c>
      <c r="AK109" s="63">
        <f t="shared" si="48"/>
        <v>78.538879999999992</v>
      </c>
      <c r="AL109" s="63"/>
      <c r="AM109" s="63">
        <f t="shared" si="51"/>
        <v>0</v>
      </c>
      <c r="AN109" s="63">
        <f t="shared" si="52"/>
        <v>0</v>
      </c>
      <c r="AO109" s="63">
        <f t="shared" si="53"/>
        <v>0</v>
      </c>
      <c r="AP109" s="202">
        <f t="shared" si="73"/>
        <v>558.53887999999995</v>
      </c>
      <c r="AQ109" s="63">
        <f t="shared" si="77"/>
        <v>-1392.1228799999999</v>
      </c>
      <c r="AR109" s="157">
        <f t="shared" si="54"/>
        <v>-0.71366697627783504</v>
      </c>
      <c r="AT109" s="111">
        <f>VLOOKUP(K109,'G2-8 Summary'!J:P,7,FALSE)</f>
        <v>1</v>
      </c>
      <c r="AU109" s="157">
        <f t="shared" si="74"/>
        <v>4.7103155911446069E-4</v>
      </c>
      <c r="AW109" s="138">
        <f t="shared" si="75"/>
        <v>-0.66</v>
      </c>
      <c r="AX109" s="139">
        <f t="shared" si="76"/>
        <v>-2.9999999999999997E-4</v>
      </c>
      <c r="BC109" s="109"/>
    </row>
    <row r="110" spans="1:55" s="167" customFormat="1" x14ac:dyDescent="0.25">
      <c r="A110" s="167" t="s">
        <v>172</v>
      </c>
      <c r="B110" s="167" t="s">
        <v>155</v>
      </c>
      <c r="C110" s="167" t="s">
        <v>180</v>
      </c>
      <c r="D110" s="167" t="s">
        <v>174</v>
      </c>
      <c r="E110" s="167" t="s">
        <v>97</v>
      </c>
      <c r="F110" s="167" t="str">
        <f>INDEX('Rate Design (Consol)'!$B$48:$B$66,MATCH('Bill Impact Detail'!G110,'Rate Design (Consol)'!$C$48:$C$66,0))</f>
        <v>GS-2</v>
      </c>
      <c r="G110" s="167" t="s">
        <v>12</v>
      </c>
      <c r="H110" s="167" t="str">
        <f>INDEX('Rate Design (Consol)'!$D$48:$D$66,MATCH('Bill Impact Detail'!I110,'Rate Design (Consol)'!$E$48:$E$66,0))</f>
        <v>GS-2</v>
      </c>
      <c r="I110" s="167" t="str">
        <f t="shared" si="72"/>
        <v>General Service - 2</v>
      </c>
      <c r="J110" s="167" t="str">
        <f>VLOOKUP(I110,'Rate Design (Consol)'!$E$48:$F$66,2,FALSE)</f>
        <v>&gt; 1000 &lt; = 5,000</v>
      </c>
      <c r="K110" s="169" t="str">
        <f t="shared" si="39"/>
        <v>CFG-CFG - Firm Transportation Service - 3 Non-Residential-GS-2</v>
      </c>
      <c r="L110" s="169">
        <v>6</v>
      </c>
      <c r="M110" s="169" t="s">
        <v>257</v>
      </c>
      <c r="N110" s="138">
        <f>VLOOKUP(K110,'G2-8 Summary'!J:O,6,FALSE)</f>
        <v>3338</v>
      </c>
      <c r="O110" s="63">
        <f>INDEX('G2-8 Summary'!S:S,MATCH('Bill Impact Detail'!K110,'G2-8 Summary'!J:J,0))</f>
        <v>108</v>
      </c>
      <c r="P110" s="63">
        <f>SUMIFS('Rate Design (Consol)'!K:K,'Rate Design (Consol)'!A:A,M110,'Rate Design (Consol)'!D:D,H110)</f>
        <v>70</v>
      </c>
      <c r="Q110" s="63"/>
      <c r="R110" s="142">
        <f t="shared" si="50"/>
        <v>0.30049999999999999</v>
      </c>
      <c r="S110" s="141">
        <f>INDEX('G2-8 Summary'!V:V,MATCH('Bill Impact Detail'!K110,'G2-8 Summary'!J:J,0))</f>
        <v>0.24102000000000001</v>
      </c>
      <c r="T110" s="141">
        <f>SUMIFS('Rate Design (Consol)'!L:L,'Rate Design (Consol)'!A:A,M110,'Rate Design (Consol)'!D:D,H110)</f>
        <v>0.69901999999999997</v>
      </c>
      <c r="U110" s="141"/>
      <c r="W110" s="64">
        <f>VLOOKUP($K110,'G2-8 Summary'!$J:$AA,15,FALSE)</f>
        <v>5.9479999999999998E-2</v>
      </c>
      <c r="X110" s="64"/>
      <c r="Y110" s="64"/>
      <c r="Z110" s="64"/>
      <c r="AB110" s="63">
        <f t="shared" si="40"/>
        <v>1296</v>
      </c>
      <c r="AC110" s="63">
        <f t="shared" si="41"/>
        <v>804.52476000000001</v>
      </c>
      <c r="AD110" s="63">
        <f t="shared" si="42"/>
        <v>198.54424</v>
      </c>
      <c r="AE110" s="63">
        <f t="shared" si="43"/>
        <v>0</v>
      </c>
      <c r="AF110" s="63">
        <f t="shared" si="44"/>
        <v>0</v>
      </c>
      <c r="AG110" s="63">
        <f t="shared" si="45"/>
        <v>0</v>
      </c>
      <c r="AH110" s="202">
        <f t="shared" si="46"/>
        <v>2299.0690000000004</v>
      </c>
      <c r="AI110" s="138"/>
      <c r="AJ110" s="63">
        <f t="shared" si="47"/>
        <v>840</v>
      </c>
      <c r="AK110" s="63">
        <f t="shared" si="48"/>
        <v>2333.3287599999999</v>
      </c>
      <c r="AL110" s="63"/>
      <c r="AM110" s="63">
        <f t="shared" si="51"/>
        <v>0</v>
      </c>
      <c r="AN110" s="63">
        <f t="shared" si="52"/>
        <v>0</v>
      </c>
      <c r="AO110" s="63">
        <f t="shared" si="53"/>
        <v>0</v>
      </c>
      <c r="AP110" s="202">
        <f t="shared" si="73"/>
        <v>3173.3287599999999</v>
      </c>
      <c r="AQ110" s="63">
        <f t="shared" si="77"/>
        <v>874.25975999999946</v>
      </c>
      <c r="AR110" s="157">
        <f t="shared" si="54"/>
        <v>0.38026686454386505</v>
      </c>
      <c r="AT110" s="111">
        <f>VLOOKUP(K110,'G2-8 Summary'!J:P,7,FALSE)</f>
        <v>216</v>
      </c>
      <c r="AU110" s="157">
        <f t="shared" si="74"/>
        <v>8.730800323362975E-2</v>
      </c>
      <c r="AW110" s="138">
        <f t="shared" si="75"/>
        <v>76.33</v>
      </c>
      <c r="AX110" s="139">
        <f t="shared" si="76"/>
        <v>3.32E-2</v>
      </c>
      <c r="BC110" s="109"/>
    </row>
    <row r="111" spans="1:55" s="167" customFormat="1" x14ac:dyDescent="0.25">
      <c r="A111" s="167" t="s">
        <v>172</v>
      </c>
      <c r="B111" s="167" t="s">
        <v>155</v>
      </c>
      <c r="C111" s="167" t="s">
        <v>180</v>
      </c>
      <c r="D111" s="167" t="s">
        <v>174</v>
      </c>
      <c r="E111" s="167" t="s">
        <v>97</v>
      </c>
      <c r="F111" s="167" t="str">
        <f>INDEX('Rate Design (Consol)'!$B$48:$B$66,MATCH('Bill Impact Detail'!G111,'Rate Design (Consol)'!$C$48:$C$66,0))</f>
        <v>GS-3</v>
      </c>
      <c r="G111" s="167" t="s">
        <v>13</v>
      </c>
      <c r="H111" s="167" t="str">
        <f>INDEX('Rate Design (Consol)'!$D$48:$D$66,MATCH('Bill Impact Detail'!I111,'Rate Design (Consol)'!$E$48:$E$66,0))</f>
        <v>GS-3</v>
      </c>
      <c r="I111" s="167" t="str">
        <f t="shared" si="72"/>
        <v>General Service - 3</v>
      </c>
      <c r="J111" s="167" t="str">
        <f>VLOOKUP(I111,'Rate Design (Consol)'!$E$48:$F$66,2,FALSE)</f>
        <v>&gt; 5,000 &lt; = 10,000</v>
      </c>
      <c r="K111" s="169" t="str">
        <f t="shared" si="39"/>
        <v>CFG-CFG - Firm Transportation Service - 3 Non-Residential-GS-3</v>
      </c>
      <c r="L111" s="169">
        <v>7</v>
      </c>
      <c r="M111" s="169" t="s">
        <v>257</v>
      </c>
      <c r="N111" s="138">
        <f>VLOOKUP(K111,'G2-8 Summary'!J:O,6,FALSE)</f>
        <v>6525</v>
      </c>
      <c r="O111" s="63">
        <f>INDEX('G2-8 Summary'!S:S,MATCH('Bill Impact Detail'!K111,'G2-8 Summary'!J:J,0))</f>
        <v>108</v>
      </c>
      <c r="P111" s="63">
        <f>SUMIFS('Rate Design (Consol)'!K:K,'Rate Design (Consol)'!A:A,M111,'Rate Design (Consol)'!D:D,H111)</f>
        <v>150</v>
      </c>
      <c r="Q111" s="63"/>
      <c r="R111" s="142">
        <f t="shared" si="50"/>
        <v>0.30049999999999999</v>
      </c>
      <c r="S111" s="141">
        <f>INDEX('G2-8 Summary'!V:V,MATCH('Bill Impact Detail'!K111,'G2-8 Summary'!J:J,0))</f>
        <v>0.24102000000000001</v>
      </c>
      <c r="T111" s="141">
        <f>SUMIFS('Rate Design (Consol)'!L:L,'Rate Design (Consol)'!A:A,M111,'Rate Design (Consol)'!D:D,H111)</f>
        <v>0.62475000000000003</v>
      </c>
      <c r="U111" s="141"/>
      <c r="W111" s="64">
        <f>VLOOKUP($K111,'G2-8 Summary'!$J:$AA,15,FALSE)</f>
        <v>5.9479999999999998E-2</v>
      </c>
      <c r="X111" s="64"/>
      <c r="Y111" s="64"/>
      <c r="Z111" s="64"/>
      <c r="AB111" s="63">
        <f t="shared" si="40"/>
        <v>1296</v>
      </c>
      <c r="AC111" s="63">
        <f t="shared" si="41"/>
        <v>1572.6555000000001</v>
      </c>
      <c r="AD111" s="63">
        <f t="shared" si="42"/>
        <v>388.10699999999997</v>
      </c>
      <c r="AE111" s="63">
        <f t="shared" si="43"/>
        <v>0</v>
      </c>
      <c r="AF111" s="63">
        <f t="shared" si="44"/>
        <v>0</v>
      </c>
      <c r="AG111" s="63">
        <f t="shared" si="45"/>
        <v>0</v>
      </c>
      <c r="AH111" s="202">
        <f t="shared" si="46"/>
        <v>3256.7624999999998</v>
      </c>
      <c r="AI111" s="138"/>
      <c r="AJ111" s="63">
        <f t="shared" si="47"/>
        <v>1800</v>
      </c>
      <c r="AK111" s="63">
        <f t="shared" si="48"/>
        <v>4076.4937500000001</v>
      </c>
      <c r="AL111" s="63"/>
      <c r="AM111" s="63">
        <f t="shared" si="51"/>
        <v>0</v>
      </c>
      <c r="AN111" s="63">
        <f t="shared" si="52"/>
        <v>0</v>
      </c>
      <c r="AO111" s="63">
        <f t="shared" si="53"/>
        <v>0</v>
      </c>
      <c r="AP111" s="202">
        <f t="shared" si="73"/>
        <v>5876.4937499999996</v>
      </c>
      <c r="AQ111" s="63">
        <f t="shared" si="77"/>
        <v>2619.7312499999998</v>
      </c>
      <c r="AR111" s="157">
        <f t="shared" si="54"/>
        <v>0.80439738851082943</v>
      </c>
      <c r="AT111" s="111">
        <f>VLOOKUP(K111,'G2-8 Summary'!J:P,7,FALSE)</f>
        <v>62</v>
      </c>
      <c r="AU111" s="157">
        <f t="shared" si="74"/>
        <v>3.8725796377264213E-2</v>
      </c>
      <c r="AW111" s="138">
        <f t="shared" si="75"/>
        <v>101.45</v>
      </c>
      <c r="AX111" s="139">
        <f t="shared" si="76"/>
        <v>3.1199999999999999E-2</v>
      </c>
      <c r="BC111" s="109"/>
    </row>
    <row r="112" spans="1:55" s="167" customFormat="1" x14ac:dyDescent="0.25">
      <c r="A112" s="167" t="s">
        <v>172</v>
      </c>
      <c r="B112" s="167" t="s">
        <v>155</v>
      </c>
      <c r="C112" s="167" t="s">
        <v>180</v>
      </c>
      <c r="D112" s="167" t="s">
        <v>174</v>
      </c>
      <c r="E112" s="167" t="s">
        <v>97</v>
      </c>
      <c r="F112" s="167" t="str">
        <f>INDEX('Rate Design (Consol)'!$B$48:$B$66,MATCH('Bill Impact Detail'!G112,'Rate Design (Consol)'!$C$48:$C$66,0))</f>
        <v>GS-4</v>
      </c>
      <c r="G112" s="167" t="s">
        <v>14</v>
      </c>
      <c r="H112" s="167" t="str">
        <f>INDEX('Rate Design (Consol)'!$D$48:$D$66,MATCH('Bill Impact Detail'!I112,'Rate Design (Consol)'!$E$48:$E$66,0))</f>
        <v>GS-4</v>
      </c>
      <c r="I112" s="167" t="str">
        <f t="shared" si="72"/>
        <v>General Service - 4</v>
      </c>
      <c r="J112" s="167" t="str">
        <f>VLOOKUP(I112,'Rate Design (Consol)'!$E$48:$F$66,2,FALSE)</f>
        <v>&gt; 10,000 &lt; = 50,000</v>
      </c>
      <c r="K112" s="169" t="str">
        <f t="shared" si="39"/>
        <v>CFG-CFG - Firm Transportation Service - 3 Non-Residential-GS-4</v>
      </c>
      <c r="L112" s="169">
        <v>8</v>
      </c>
      <c r="M112" s="169" t="s">
        <v>257</v>
      </c>
      <c r="N112" s="138">
        <f>VLOOKUP(K112,'G2-8 Summary'!J:O,6,FALSE)</f>
        <v>11608</v>
      </c>
      <c r="O112" s="63">
        <f>INDEX('G2-8 Summary'!S:S,MATCH('Bill Impact Detail'!K112,'G2-8 Summary'!J:J,0))</f>
        <v>108</v>
      </c>
      <c r="P112" s="63">
        <f>SUMIFS('Rate Design (Consol)'!K:K,'Rate Design (Consol)'!A:A,M112,'Rate Design (Consol)'!D:D,H112)</f>
        <v>275</v>
      </c>
      <c r="Q112" s="63"/>
      <c r="R112" s="142">
        <f t="shared" si="50"/>
        <v>0.30049999999999999</v>
      </c>
      <c r="S112" s="141">
        <f>INDEX('G2-8 Summary'!V:V,MATCH('Bill Impact Detail'!K112,'G2-8 Summary'!J:J,0))</f>
        <v>0.24102000000000001</v>
      </c>
      <c r="T112" s="141">
        <f>SUMIFS('Rate Design (Consol)'!L:L,'Rate Design (Consol)'!A:A,M112,'Rate Design (Consol)'!D:D,H112)</f>
        <v>0.59182999999999997</v>
      </c>
      <c r="U112" s="141"/>
      <c r="W112" s="64">
        <f>VLOOKUP($K112,'G2-8 Summary'!$J:$AA,15,FALSE)</f>
        <v>5.9479999999999998E-2</v>
      </c>
      <c r="X112" s="64"/>
      <c r="Y112" s="64"/>
      <c r="Z112" s="64"/>
      <c r="AB112" s="63">
        <f t="shared" si="40"/>
        <v>1296</v>
      </c>
      <c r="AC112" s="63">
        <f t="shared" si="41"/>
        <v>2797.7601600000003</v>
      </c>
      <c r="AD112" s="63">
        <f t="shared" si="42"/>
        <v>690.44384000000002</v>
      </c>
      <c r="AE112" s="63">
        <f t="shared" si="43"/>
        <v>0</v>
      </c>
      <c r="AF112" s="63">
        <f t="shared" si="44"/>
        <v>0</v>
      </c>
      <c r="AG112" s="63">
        <f t="shared" si="45"/>
        <v>0</v>
      </c>
      <c r="AH112" s="202">
        <f t="shared" si="46"/>
        <v>4784.2040000000006</v>
      </c>
      <c r="AI112" s="138"/>
      <c r="AJ112" s="63">
        <f t="shared" si="47"/>
        <v>3300</v>
      </c>
      <c r="AK112" s="63">
        <f t="shared" si="48"/>
        <v>6869.9626399999997</v>
      </c>
      <c r="AL112" s="63"/>
      <c r="AM112" s="63">
        <f t="shared" si="51"/>
        <v>0</v>
      </c>
      <c r="AN112" s="63">
        <f t="shared" si="52"/>
        <v>0</v>
      </c>
      <c r="AO112" s="63">
        <f t="shared" si="53"/>
        <v>0</v>
      </c>
      <c r="AP112" s="202">
        <f t="shared" si="73"/>
        <v>10169.96264</v>
      </c>
      <c r="AQ112" s="63">
        <f t="shared" si="77"/>
        <v>5385.7586399999991</v>
      </c>
      <c r="AR112" s="157">
        <f t="shared" si="54"/>
        <v>1.125737665032678</v>
      </c>
      <c r="AT112" s="111">
        <f>VLOOKUP(K112,'G2-8 Summary'!J:P,7,FALSE)</f>
        <v>2</v>
      </c>
      <c r="AU112" s="157">
        <f t="shared" si="74"/>
        <v>1.4336917562724014E-3</v>
      </c>
      <c r="AW112" s="138">
        <f t="shared" si="75"/>
        <v>7.72</v>
      </c>
      <c r="AX112" s="139">
        <f t="shared" si="76"/>
        <v>1.6000000000000001E-3</v>
      </c>
      <c r="BC112" s="109"/>
    </row>
    <row r="113" spans="1:55" s="167" customFormat="1" x14ac:dyDescent="0.25">
      <c r="A113" s="167" t="s">
        <v>172</v>
      </c>
      <c r="B113" s="167" t="s">
        <v>155</v>
      </c>
      <c r="C113" s="167" t="s">
        <v>180</v>
      </c>
      <c r="D113" s="167" t="s">
        <v>174</v>
      </c>
      <c r="E113" s="167" t="s">
        <v>97</v>
      </c>
      <c r="F113" s="167" t="str">
        <f>INDEX('Rate Design (Consol)'!$B$48:$B$66,MATCH('Bill Impact Detail'!G113,'Rate Design (Consol)'!$C$48:$C$66,0))</f>
        <v>GS-1</v>
      </c>
      <c r="G113" s="167" t="s">
        <v>11</v>
      </c>
      <c r="H113" s="167" t="str">
        <f>INDEX('Rate Design (Consol)'!$D$48:$D$66,MATCH('Bill Impact Detail'!I113,'Rate Design (Consol)'!$E$48:$E$66,0))</f>
        <v>GS-1</v>
      </c>
      <c r="I113" s="167" t="str">
        <f t="shared" si="72"/>
        <v>General Service - 1</v>
      </c>
      <c r="J113" s="167" t="str">
        <f>VLOOKUP(I113,'Rate Design (Consol)'!$E$48:$F$66,2,FALSE)</f>
        <v>&lt; = 1000</v>
      </c>
      <c r="K113" s="169" t="str">
        <f t="shared" si="39"/>
        <v>CFG-CFG - Firm Transportation Service - 3 Non-Residential-GS-1</v>
      </c>
      <c r="L113" s="169">
        <v>5</v>
      </c>
      <c r="M113" s="169" t="s">
        <v>257</v>
      </c>
      <c r="N113" s="138">
        <f>VLOOKUP(K113,'G2-8 Summary'!J:O,6,FALSE)</f>
        <v>443</v>
      </c>
      <c r="O113" s="63">
        <f>INDEX('G2-8 Summary'!S:S,MATCH('Bill Impact Detail'!K113,'G2-8 Summary'!J:J,0))</f>
        <v>108</v>
      </c>
      <c r="P113" s="63">
        <f>SUMIFS('Rate Design (Consol)'!K:K,'Rate Design (Consol)'!A:A,M113,'Rate Design (Consol)'!D:D,H113)</f>
        <v>40</v>
      </c>
      <c r="Q113" s="63"/>
      <c r="R113" s="142">
        <f t="shared" si="50"/>
        <v>0.30049999999999999</v>
      </c>
      <c r="S113" s="141">
        <f>INDEX('G2-8 Summary'!V:V,MATCH('Bill Impact Detail'!K113,'G2-8 Summary'!J:J,0))</f>
        <v>0.24102000000000001</v>
      </c>
      <c r="T113" s="141">
        <f>SUMIFS('Rate Design (Consol)'!L:L,'Rate Design (Consol)'!A:A,M113,'Rate Design (Consol)'!D:D,H113)</f>
        <v>0.70123999999999997</v>
      </c>
      <c r="U113" s="141"/>
      <c r="W113" s="64">
        <f>VLOOKUP($K113,'G2-8 Summary'!$J:$AA,15,FALSE)</f>
        <v>5.9479999999999998E-2</v>
      </c>
      <c r="X113" s="64"/>
      <c r="Y113" s="64"/>
      <c r="Z113" s="64"/>
      <c r="AB113" s="63">
        <f t="shared" si="40"/>
        <v>1296</v>
      </c>
      <c r="AC113" s="63">
        <f t="shared" si="41"/>
        <v>106.77186</v>
      </c>
      <c r="AD113" s="63">
        <f t="shared" si="42"/>
        <v>26.349640000000001</v>
      </c>
      <c r="AE113" s="63">
        <f t="shared" si="43"/>
        <v>0</v>
      </c>
      <c r="AF113" s="63">
        <f t="shared" si="44"/>
        <v>0</v>
      </c>
      <c r="AG113" s="63">
        <f t="shared" si="45"/>
        <v>0</v>
      </c>
      <c r="AH113" s="202">
        <f t="shared" si="46"/>
        <v>1429.1215</v>
      </c>
      <c r="AI113" s="138"/>
      <c r="AJ113" s="63">
        <f t="shared" si="47"/>
        <v>480</v>
      </c>
      <c r="AK113" s="63">
        <f t="shared" si="48"/>
        <v>310.64931999999999</v>
      </c>
      <c r="AL113" s="63"/>
      <c r="AM113" s="63">
        <f t="shared" si="51"/>
        <v>0</v>
      </c>
      <c r="AN113" s="63">
        <f t="shared" si="52"/>
        <v>0</v>
      </c>
      <c r="AO113" s="63">
        <f t="shared" si="53"/>
        <v>0</v>
      </c>
      <c r="AP113" s="202">
        <f t="shared" si="73"/>
        <v>790.64931999999999</v>
      </c>
      <c r="AQ113" s="63">
        <f t="shared" si="77"/>
        <v>-638.47217999999998</v>
      </c>
      <c r="AR113" s="157">
        <f t="shared" si="54"/>
        <v>-0.44675850163894393</v>
      </c>
      <c r="AT113" s="111">
        <f>VLOOKUP(K113,'G2-8 Summary'!J:P,7,FALSE)</f>
        <v>24</v>
      </c>
      <c r="AU113" s="157">
        <f t="shared" si="74"/>
        <v>1.1304757418747056E-2</v>
      </c>
      <c r="AW113" s="138">
        <f t="shared" si="75"/>
        <v>-7.22</v>
      </c>
      <c r="AX113" s="139">
        <f t="shared" si="76"/>
        <v>-5.1000000000000004E-3</v>
      </c>
      <c r="BC113" s="109"/>
    </row>
    <row r="114" spans="1:55" s="167" customFormat="1" x14ac:dyDescent="0.25">
      <c r="A114" s="167" t="s">
        <v>172</v>
      </c>
      <c r="B114" s="167" t="s">
        <v>152</v>
      </c>
      <c r="C114" s="167" t="s">
        <v>180</v>
      </c>
      <c r="D114" s="167" t="s">
        <v>174</v>
      </c>
      <c r="E114" s="167" t="s">
        <v>84</v>
      </c>
      <c r="F114" s="167" t="str">
        <f>INDEX('Rate Design (Consol)'!$B$48:$B$66,MATCH('Bill Impact Detail'!G114,'Rate Design (Consol)'!$C$48:$C$66,0))</f>
        <v>RES-3</v>
      </c>
      <c r="G114" s="167" t="s">
        <v>266</v>
      </c>
      <c r="H114" s="167" t="str">
        <f>INDEX('Rate Design (Consol)'!$D$48:$D$66,MATCH('Bill Impact Detail'!I114,'Rate Design (Consol)'!$E$48:$E$66,0))</f>
        <v>RES-3</v>
      </c>
      <c r="I114" s="167" t="str">
        <f t="shared" si="72"/>
        <v>Residential - 3</v>
      </c>
      <c r="J114" s="167" t="str">
        <f>VLOOKUP(I114,'Rate Design (Consol)'!$E$48:$F$66,2,FALSE)</f>
        <v>n/a</v>
      </c>
      <c r="K114" s="169" t="str">
        <f t="shared" si="39"/>
        <v>CFG-CFG - Firm Transportation Service - 3 Residential-RES-3</v>
      </c>
      <c r="L114" s="169">
        <v>3</v>
      </c>
      <c r="M114" s="169" t="s">
        <v>257</v>
      </c>
      <c r="N114" s="138">
        <f>VLOOKUP(K114,'G2-8 Summary'!J:O,6,FALSE)</f>
        <v>2132</v>
      </c>
      <c r="O114" s="63">
        <f>INDEX('G2-8 Summary'!S:S,MATCH('Bill Impact Detail'!K114,'G2-8 Summary'!J:J,0))</f>
        <v>108</v>
      </c>
      <c r="P114" s="63">
        <f>SUMIFS('Rate Design (Consol)'!K:K,'Rate Design (Consol)'!A:A,M114,'Rate Design (Consol)'!D:D,H114)</f>
        <v>26.5</v>
      </c>
      <c r="Q114" s="63"/>
      <c r="R114" s="142">
        <f t="shared" si="50"/>
        <v>0.30049999999999999</v>
      </c>
      <c r="S114" s="141">
        <f>INDEX('G2-8 Summary'!V:V,MATCH('Bill Impact Detail'!K114,'G2-8 Summary'!J:J,0))</f>
        <v>0.24102000000000001</v>
      </c>
      <c r="T114" s="141">
        <f>SUMIFS('Rate Design (Consol)'!L:L,'Rate Design (Consol)'!A:A,M114,'Rate Design (Consol)'!D:D,H114)</f>
        <v>0.65386</v>
      </c>
      <c r="U114" s="141"/>
      <c r="W114" s="64">
        <f>VLOOKUP($K114,'G2-8 Summary'!$J:$AA,15,FALSE)</f>
        <v>5.9479999999999998E-2</v>
      </c>
      <c r="X114" s="64"/>
      <c r="Y114" s="64"/>
      <c r="Z114" s="64"/>
      <c r="AB114" s="63">
        <f t="shared" si="40"/>
        <v>1296</v>
      </c>
      <c r="AC114" s="63">
        <f t="shared" si="41"/>
        <v>513.85464000000002</v>
      </c>
      <c r="AD114" s="63">
        <f t="shared" si="42"/>
        <v>126.81135999999999</v>
      </c>
      <c r="AE114" s="63">
        <f t="shared" si="43"/>
        <v>0</v>
      </c>
      <c r="AF114" s="63">
        <f t="shared" si="44"/>
        <v>0</v>
      </c>
      <c r="AG114" s="63">
        <f t="shared" si="45"/>
        <v>0</v>
      </c>
      <c r="AH114" s="202">
        <f t="shared" si="46"/>
        <v>1936.6659999999999</v>
      </c>
      <c r="AI114" s="138"/>
      <c r="AJ114" s="63">
        <f t="shared" si="47"/>
        <v>318</v>
      </c>
      <c r="AK114" s="63">
        <f t="shared" si="48"/>
        <v>1394.02952</v>
      </c>
      <c r="AL114" s="63"/>
      <c r="AM114" s="63">
        <f t="shared" si="51"/>
        <v>0</v>
      </c>
      <c r="AN114" s="63">
        <f t="shared" si="52"/>
        <v>0</v>
      </c>
      <c r="AO114" s="63">
        <f t="shared" si="53"/>
        <v>0</v>
      </c>
      <c r="AP114" s="202">
        <f t="shared" si="73"/>
        <v>1712.02952</v>
      </c>
      <c r="AQ114" s="63">
        <f t="shared" si="77"/>
        <v>-224.63647999999989</v>
      </c>
      <c r="AR114" s="157">
        <f t="shared" si="54"/>
        <v>-0.11599133769064976</v>
      </c>
      <c r="AT114" s="111">
        <f>VLOOKUP(K114,'G2-8 Summary'!J:P,7,FALSE)</f>
        <v>17</v>
      </c>
      <c r="AU114" s="157">
        <f t="shared" si="74"/>
        <v>8.7950747581354446E-4</v>
      </c>
      <c r="AW114" s="138">
        <f t="shared" si="75"/>
        <v>-0.2</v>
      </c>
      <c r="AX114" s="139">
        <f t="shared" si="76"/>
        <v>-1E-4</v>
      </c>
      <c r="BC114" s="109"/>
    </row>
    <row r="115" spans="1:55" s="167" customFormat="1" x14ac:dyDescent="0.25">
      <c r="A115" s="167" t="s">
        <v>172</v>
      </c>
      <c r="B115" s="167" t="s">
        <v>155</v>
      </c>
      <c r="C115" s="167" t="s">
        <v>181</v>
      </c>
      <c r="D115" s="167" t="s">
        <v>174</v>
      </c>
      <c r="E115" s="167" t="s">
        <v>111</v>
      </c>
      <c r="F115" s="167" t="str">
        <f>INDEX('Rate Design (Consol)'!$B$48:$B$66,MATCH('Bill Impact Detail'!G115,'Rate Design (Consol)'!$C$48:$C$66,0))</f>
        <v>GS-2</v>
      </c>
      <c r="G115" s="167" t="s">
        <v>12</v>
      </c>
      <c r="H115" s="167" t="str">
        <f>INDEX('Rate Design (Consol)'!$D$48:$D$66,MATCH('Bill Impact Detail'!I115,'Rate Design (Consol)'!$E$48:$E$66,0))</f>
        <v>GS-2</v>
      </c>
      <c r="I115" s="167" t="str">
        <f t="shared" si="72"/>
        <v>General Service - 2</v>
      </c>
      <c r="J115" s="167" t="str">
        <f>VLOOKUP(I115,'Rate Design (Consol)'!$E$48:$F$66,2,FALSE)</f>
        <v>&gt; 1000 &lt; = 5,000</v>
      </c>
      <c r="K115" s="169" t="str">
        <f t="shared" si="39"/>
        <v>CFG-CFG - Firm Transportation Service - 3.1 (Fixed Non-Residential)-GS-2</v>
      </c>
      <c r="L115" s="169">
        <v>6</v>
      </c>
      <c r="M115" s="169" t="s">
        <v>257</v>
      </c>
      <c r="N115" s="138">
        <f>VLOOKUP(K115,'G2-8 Summary'!J:O,6,FALSE)</f>
        <v>3945</v>
      </c>
      <c r="O115" s="63">
        <f>INDEX('G2-8 Summary'!S:S,MATCH('Bill Impact Detail'!K115,'G2-8 Summary'!J:J,0))</f>
        <v>263</v>
      </c>
      <c r="P115" s="63">
        <f>SUMIFS('Rate Design (Consol)'!K:K,'Rate Design (Consol)'!A:A,M115,'Rate Design (Consol)'!D:D,H115)</f>
        <v>70</v>
      </c>
      <c r="Q115" s="63"/>
      <c r="R115" s="142">
        <f t="shared" si="50"/>
        <v>7.5529999999999986E-2</v>
      </c>
      <c r="S115" s="141">
        <f>INDEX('G2-8 Summary'!V:V,MATCH('Bill Impact Detail'!K115,'G2-8 Summary'!J:J,0))</f>
        <v>0</v>
      </c>
      <c r="T115" s="141">
        <f>SUMIFS('Rate Design (Consol)'!L:L,'Rate Design (Consol)'!A:A,M115,'Rate Design (Consol)'!D:D,H115)</f>
        <v>0.69901999999999997</v>
      </c>
      <c r="U115" s="141"/>
      <c r="W115" s="64">
        <f>VLOOKUP($K115,'G2-8 Summary'!$J:$AA,15,FALSE)</f>
        <v>7.5529999999999986E-2</v>
      </c>
      <c r="X115" s="64"/>
      <c r="Y115" s="64"/>
      <c r="Z115" s="64"/>
      <c r="AB115" s="63">
        <f t="shared" si="40"/>
        <v>3156</v>
      </c>
      <c r="AC115" s="63">
        <f t="shared" si="41"/>
        <v>0</v>
      </c>
      <c r="AD115" s="63">
        <f t="shared" si="42"/>
        <v>297.96584999999993</v>
      </c>
      <c r="AE115" s="63">
        <f t="shared" si="43"/>
        <v>0</v>
      </c>
      <c r="AF115" s="63">
        <f t="shared" si="44"/>
        <v>0</v>
      </c>
      <c r="AG115" s="63">
        <f t="shared" si="45"/>
        <v>0</v>
      </c>
      <c r="AH115" s="202">
        <f t="shared" si="46"/>
        <v>3453.96585</v>
      </c>
      <c r="AI115" s="138"/>
      <c r="AJ115" s="63">
        <f t="shared" si="47"/>
        <v>840</v>
      </c>
      <c r="AK115" s="63">
        <f t="shared" si="48"/>
        <v>2757.6338999999998</v>
      </c>
      <c r="AL115" s="63"/>
      <c r="AM115" s="63">
        <f t="shared" si="51"/>
        <v>0</v>
      </c>
      <c r="AN115" s="63">
        <f t="shared" si="52"/>
        <v>0</v>
      </c>
      <c r="AO115" s="63">
        <f t="shared" si="53"/>
        <v>0</v>
      </c>
      <c r="AP115" s="202">
        <f t="shared" si="73"/>
        <v>3597.6338999999998</v>
      </c>
      <c r="AQ115" s="63">
        <f t="shared" si="77"/>
        <v>143.66804999999977</v>
      </c>
      <c r="AR115" s="157">
        <f t="shared" si="54"/>
        <v>4.1595098573426768E-2</v>
      </c>
      <c r="AT115" s="111">
        <f>VLOOKUP(K115,'G2-8 Summary'!J:P,7,FALSE)</f>
        <v>1</v>
      </c>
      <c r="AU115" s="157">
        <f t="shared" si="74"/>
        <v>4.0420371867421178E-4</v>
      </c>
      <c r="AW115" s="138">
        <f t="shared" si="75"/>
        <v>0.06</v>
      </c>
      <c r="AX115" s="139">
        <f t="shared" si="76"/>
        <v>0</v>
      </c>
      <c r="BC115" s="109"/>
    </row>
    <row r="116" spans="1:55" s="167" customFormat="1" x14ac:dyDescent="0.25">
      <c r="A116" s="167" t="s">
        <v>172</v>
      </c>
      <c r="B116" s="167" t="s">
        <v>155</v>
      </c>
      <c r="C116" s="167" t="s">
        <v>181</v>
      </c>
      <c r="D116" s="167" t="s">
        <v>174</v>
      </c>
      <c r="E116" s="167" t="s">
        <v>111</v>
      </c>
      <c r="F116" s="167" t="str">
        <f>INDEX('Rate Design (Consol)'!$B$48:$B$66,MATCH('Bill Impact Detail'!G116,'Rate Design (Consol)'!$C$48:$C$66,0))</f>
        <v>GS-3</v>
      </c>
      <c r="G116" s="167" t="s">
        <v>13</v>
      </c>
      <c r="H116" s="167" t="str">
        <f>INDEX('Rate Design (Consol)'!$D$48:$D$66,MATCH('Bill Impact Detail'!I116,'Rate Design (Consol)'!$E$48:$E$66,0))</f>
        <v>GS-3</v>
      </c>
      <c r="I116" s="167" t="str">
        <f t="shared" si="72"/>
        <v>General Service - 3</v>
      </c>
      <c r="J116" s="167" t="str">
        <f>VLOOKUP(I116,'Rate Design (Consol)'!$E$48:$F$66,2,FALSE)</f>
        <v>&gt; 5,000 &lt; = 10,000</v>
      </c>
      <c r="K116" s="169" t="str">
        <f t="shared" si="39"/>
        <v>CFG-CFG - Firm Transportation Service - 3.1 (Fixed Non-Residential)-GS-3</v>
      </c>
      <c r="L116" s="169">
        <v>7</v>
      </c>
      <c r="M116" s="169" t="s">
        <v>257</v>
      </c>
      <c r="N116" s="138">
        <f>VLOOKUP(K116,'G2-8 Summary'!J:O,6,FALSE)</f>
        <v>6162</v>
      </c>
      <c r="O116" s="63">
        <f>INDEX('G2-8 Summary'!S:S,MATCH('Bill Impact Detail'!K116,'G2-8 Summary'!J:J,0))</f>
        <v>263</v>
      </c>
      <c r="P116" s="63">
        <f>SUMIFS('Rate Design (Consol)'!K:K,'Rate Design (Consol)'!A:A,M116,'Rate Design (Consol)'!D:D,H116)</f>
        <v>150</v>
      </c>
      <c r="Q116" s="63"/>
      <c r="R116" s="142">
        <f t="shared" si="50"/>
        <v>7.5529999999999986E-2</v>
      </c>
      <c r="S116" s="141">
        <f>INDEX('G2-8 Summary'!V:V,MATCH('Bill Impact Detail'!K116,'G2-8 Summary'!J:J,0))</f>
        <v>0</v>
      </c>
      <c r="T116" s="141">
        <f>SUMIFS('Rate Design (Consol)'!L:L,'Rate Design (Consol)'!A:A,M116,'Rate Design (Consol)'!D:D,H116)</f>
        <v>0.62475000000000003</v>
      </c>
      <c r="U116" s="141"/>
      <c r="W116" s="64">
        <f>VLOOKUP($K116,'G2-8 Summary'!$J:$AA,15,FALSE)</f>
        <v>7.5529999999999986E-2</v>
      </c>
      <c r="X116" s="64"/>
      <c r="Y116" s="64"/>
      <c r="Z116" s="64"/>
      <c r="AB116" s="63">
        <f t="shared" si="40"/>
        <v>3156</v>
      </c>
      <c r="AC116" s="63">
        <f t="shared" si="41"/>
        <v>0</v>
      </c>
      <c r="AD116" s="63">
        <f t="shared" si="42"/>
        <v>465.4158599999999</v>
      </c>
      <c r="AE116" s="63">
        <f t="shared" si="43"/>
        <v>0</v>
      </c>
      <c r="AF116" s="63">
        <f t="shared" si="44"/>
        <v>0</v>
      </c>
      <c r="AG116" s="63">
        <f t="shared" si="45"/>
        <v>0</v>
      </c>
      <c r="AH116" s="202">
        <f t="shared" si="46"/>
        <v>3621.4158600000001</v>
      </c>
      <c r="AI116" s="138"/>
      <c r="AJ116" s="63">
        <f t="shared" si="47"/>
        <v>1800</v>
      </c>
      <c r="AK116" s="63">
        <f t="shared" si="48"/>
        <v>3849.7095000000004</v>
      </c>
      <c r="AL116" s="63"/>
      <c r="AM116" s="63">
        <f t="shared" si="51"/>
        <v>0</v>
      </c>
      <c r="AN116" s="63">
        <f t="shared" si="52"/>
        <v>0</v>
      </c>
      <c r="AO116" s="63">
        <f t="shared" si="53"/>
        <v>0</v>
      </c>
      <c r="AP116" s="202">
        <f t="shared" si="73"/>
        <v>5649.7095000000008</v>
      </c>
      <c r="AQ116" s="63">
        <f t="shared" si="77"/>
        <v>2028.2936400000008</v>
      </c>
      <c r="AR116" s="157">
        <f t="shared" si="54"/>
        <v>0.56008304994831515</v>
      </c>
      <c r="AT116" s="111">
        <f>VLOOKUP(K116,'G2-8 Summary'!J:P,7,FALSE)</f>
        <v>5</v>
      </c>
      <c r="AU116" s="157">
        <f t="shared" si="74"/>
        <v>3.1230480949406619E-3</v>
      </c>
      <c r="AW116" s="138">
        <f t="shared" si="75"/>
        <v>6.33</v>
      </c>
      <c r="AX116" s="139">
        <f t="shared" si="76"/>
        <v>1.6999999999999999E-3</v>
      </c>
      <c r="BC116" s="109"/>
    </row>
    <row r="117" spans="1:55" s="167" customFormat="1" x14ac:dyDescent="0.25">
      <c r="A117" s="167" t="s">
        <v>172</v>
      </c>
      <c r="B117" s="167" t="s">
        <v>155</v>
      </c>
      <c r="C117" s="167" t="s">
        <v>181</v>
      </c>
      <c r="D117" s="167" t="s">
        <v>174</v>
      </c>
      <c r="E117" s="167" t="s">
        <v>111</v>
      </c>
      <c r="F117" s="167" t="str">
        <f>INDEX('Rate Design (Consol)'!$B$48:$B$66,MATCH('Bill Impact Detail'!G117,'Rate Design (Consol)'!$C$48:$C$66,0))</f>
        <v>GS-4</v>
      </c>
      <c r="G117" s="167" t="s">
        <v>14</v>
      </c>
      <c r="H117" s="167" t="str">
        <f>INDEX('Rate Design (Consol)'!$D$48:$D$66,MATCH('Bill Impact Detail'!I117,'Rate Design (Consol)'!$E$48:$E$66,0))</f>
        <v>GS-4</v>
      </c>
      <c r="I117" s="167" t="str">
        <f t="shared" si="72"/>
        <v>General Service - 4</v>
      </c>
      <c r="J117" s="167" t="str">
        <f>VLOOKUP(I117,'Rate Design (Consol)'!$E$48:$F$66,2,FALSE)</f>
        <v>&gt; 10,000 &lt; = 50,000</v>
      </c>
      <c r="K117" s="169" t="str">
        <f t="shared" si="39"/>
        <v>CFG-CFG - Firm Transportation Service - 3.1 (Fixed Non-Residential)-GS-4</v>
      </c>
      <c r="L117" s="169">
        <v>8</v>
      </c>
      <c r="M117" s="169" t="s">
        <v>257</v>
      </c>
      <c r="N117" s="138">
        <f>VLOOKUP(K117,'G2-8 Summary'!J:O,6,FALSE)</f>
        <v>11290</v>
      </c>
      <c r="O117" s="63">
        <f>INDEX('G2-8 Summary'!S:S,MATCH('Bill Impact Detail'!K117,'G2-8 Summary'!J:J,0))</f>
        <v>263</v>
      </c>
      <c r="P117" s="63">
        <f>SUMIFS('Rate Design (Consol)'!K:K,'Rate Design (Consol)'!A:A,M117,'Rate Design (Consol)'!D:D,H117)</f>
        <v>275</v>
      </c>
      <c r="Q117" s="63"/>
      <c r="R117" s="142">
        <f t="shared" si="50"/>
        <v>7.5529999999999986E-2</v>
      </c>
      <c r="S117" s="141">
        <f>INDEX('G2-8 Summary'!V:V,MATCH('Bill Impact Detail'!K117,'G2-8 Summary'!J:J,0))</f>
        <v>0</v>
      </c>
      <c r="T117" s="141">
        <f>SUMIFS('Rate Design (Consol)'!L:L,'Rate Design (Consol)'!A:A,M117,'Rate Design (Consol)'!D:D,H117)</f>
        <v>0.59182999999999997</v>
      </c>
      <c r="U117" s="141"/>
      <c r="W117" s="64">
        <f>VLOOKUP($K117,'G2-8 Summary'!$J:$AA,15,FALSE)</f>
        <v>7.5529999999999986E-2</v>
      </c>
      <c r="X117" s="64"/>
      <c r="Y117" s="64"/>
      <c r="Z117" s="64"/>
      <c r="AB117" s="63">
        <f t="shared" si="40"/>
        <v>3156</v>
      </c>
      <c r="AC117" s="63">
        <f t="shared" si="41"/>
        <v>0</v>
      </c>
      <c r="AD117" s="63">
        <f t="shared" si="42"/>
        <v>852.73369999999989</v>
      </c>
      <c r="AE117" s="63">
        <f t="shared" si="43"/>
        <v>0</v>
      </c>
      <c r="AF117" s="63">
        <f t="shared" si="44"/>
        <v>0</v>
      </c>
      <c r="AG117" s="63">
        <f t="shared" si="45"/>
        <v>0</v>
      </c>
      <c r="AH117" s="202">
        <f t="shared" si="46"/>
        <v>4008.7336999999998</v>
      </c>
      <c r="AI117" s="138"/>
      <c r="AJ117" s="63">
        <f t="shared" si="47"/>
        <v>3300</v>
      </c>
      <c r="AK117" s="63">
        <f t="shared" si="48"/>
        <v>6681.7606999999998</v>
      </c>
      <c r="AL117" s="63"/>
      <c r="AM117" s="63">
        <f t="shared" si="51"/>
        <v>0</v>
      </c>
      <c r="AN117" s="63">
        <f t="shared" si="52"/>
        <v>0</v>
      </c>
      <c r="AO117" s="63">
        <f t="shared" si="53"/>
        <v>0</v>
      </c>
      <c r="AP117" s="202">
        <f t="shared" si="73"/>
        <v>9981.7606999999989</v>
      </c>
      <c r="AQ117" s="63">
        <f t="shared" si="77"/>
        <v>5973.0269999999991</v>
      </c>
      <c r="AR117" s="157">
        <f t="shared" si="54"/>
        <v>1.4900034392406758</v>
      </c>
      <c r="AT117" s="111">
        <f>VLOOKUP(K117,'G2-8 Summary'!J:P,7,FALSE)</f>
        <v>1</v>
      </c>
      <c r="AU117" s="157">
        <f t="shared" si="74"/>
        <v>7.1684587813620072E-4</v>
      </c>
      <c r="AW117" s="138">
        <f t="shared" si="75"/>
        <v>4.28</v>
      </c>
      <c r="AX117" s="139">
        <f t="shared" si="76"/>
        <v>1.1000000000000001E-3</v>
      </c>
      <c r="BC117" s="109"/>
    </row>
    <row r="118" spans="1:55" s="167" customFormat="1" x14ac:dyDescent="0.25">
      <c r="A118" s="167" t="s">
        <v>172</v>
      </c>
      <c r="B118" s="167" t="s">
        <v>155</v>
      </c>
      <c r="C118" s="167" t="s">
        <v>181</v>
      </c>
      <c r="D118" s="167" t="s">
        <v>174</v>
      </c>
      <c r="E118" s="167" t="s">
        <v>99</v>
      </c>
      <c r="F118" s="167" t="str">
        <f>INDEX('Rate Design (Consol)'!$B$48:$B$66,MATCH('Bill Impact Detail'!G118,'Rate Design (Consol)'!$C$48:$C$66,0))</f>
        <v>GS-2</v>
      </c>
      <c r="G118" s="167" t="s">
        <v>12</v>
      </c>
      <c r="H118" s="167" t="str">
        <f>INDEX('Rate Design (Consol)'!$D$48:$D$66,MATCH('Bill Impact Detail'!I118,'Rate Design (Consol)'!$E$48:$E$66,0))</f>
        <v>GS-2</v>
      </c>
      <c r="I118" s="167" t="str">
        <f t="shared" si="72"/>
        <v>General Service - 2</v>
      </c>
      <c r="J118" s="167" t="str">
        <f>VLOOKUP(I118,'Rate Design (Consol)'!$E$48:$F$66,2,FALSE)</f>
        <v>&gt; 1000 &lt; = 5,000</v>
      </c>
      <c r="K118" s="169" t="str">
        <f t="shared" si="39"/>
        <v>CFG-CFG - Firm Transportation Service - 3.1 Non-Residential-GS-2</v>
      </c>
      <c r="L118" s="169">
        <v>6</v>
      </c>
      <c r="M118" s="169" t="s">
        <v>257</v>
      </c>
      <c r="N118" s="138">
        <f>VLOOKUP(K118,'G2-8 Summary'!J:O,6,FALSE)</f>
        <v>3862</v>
      </c>
      <c r="O118" s="63">
        <f>INDEX('G2-8 Summary'!S:S,MATCH('Bill Impact Detail'!K118,'G2-8 Summary'!J:J,0))</f>
        <v>134</v>
      </c>
      <c r="P118" s="63">
        <f>SUMIFS('Rate Design (Consol)'!K:K,'Rate Design (Consol)'!A:A,M118,'Rate Design (Consol)'!D:D,H118)</f>
        <v>70</v>
      </c>
      <c r="Q118" s="63"/>
      <c r="R118" s="142">
        <f t="shared" si="50"/>
        <v>0.27936</v>
      </c>
      <c r="S118" s="141">
        <f>INDEX('G2-8 Summary'!V:V,MATCH('Bill Impact Detail'!K118,'G2-8 Summary'!J:J,0))</f>
        <v>0.20383000000000001</v>
      </c>
      <c r="T118" s="141">
        <f>SUMIFS('Rate Design (Consol)'!L:L,'Rate Design (Consol)'!A:A,M118,'Rate Design (Consol)'!D:D,H118)</f>
        <v>0.69901999999999997</v>
      </c>
      <c r="U118" s="141"/>
      <c r="W118" s="64">
        <f>VLOOKUP($K118,'G2-8 Summary'!$J:$AA,15,FALSE)</f>
        <v>7.5529999999999986E-2</v>
      </c>
      <c r="X118" s="64"/>
      <c r="Y118" s="64"/>
      <c r="Z118" s="64"/>
      <c r="AB118" s="63">
        <f t="shared" si="40"/>
        <v>1608</v>
      </c>
      <c r="AC118" s="63">
        <f t="shared" si="41"/>
        <v>787.19146000000001</v>
      </c>
      <c r="AD118" s="63">
        <f t="shared" si="42"/>
        <v>291.69685999999996</v>
      </c>
      <c r="AE118" s="63">
        <f t="shared" si="43"/>
        <v>0</v>
      </c>
      <c r="AF118" s="63">
        <f t="shared" si="44"/>
        <v>0</v>
      </c>
      <c r="AG118" s="63">
        <f t="shared" si="45"/>
        <v>0</v>
      </c>
      <c r="AH118" s="202">
        <f t="shared" si="46"/>
        <v>2686.88832</v>
      </c>
      <c r="AI118" s="138"/>
      <c r="AJ118" s="63">
        <f t="shared" si="47"/>
        <v>840</v>
      </c>
      <c r="AK118" s="63">
        <f t="shared" si="48"/>
        <v>2699.6152400000001</v>
      </c>
      <c r="AL118" s="63"/>
      <c r="AM118" s="63">
        <f t="shared" si="51"/>
        <v>0</v>
      </c>
      <c r="AN118" s="63">
        <f t="shared" si="52"/>
        <v>0</v>
      </c>
      <c r="AO118" s="63">
        <f t="shared" si="53"/>
        <v>0</v>
      </c>
      <c r="AP118" s="202">
        <f t="shared" si="73"/>
        <v>3539.6152400000001</v>
      </c>
      <c r="AQ118" s="63">
        <f t="shared" si="77"/>
        <v>852.72692000000006</v>
      </c>
      <c r="AR118" s="157">
        <f t="shared" si="54"/>
        <v>0.31736597075981188</v>
      </c>
      <c r="AT118" s="111">
        <f>VLOOKUP(K118,'G2-8 Summary'!J:P,7,FALSE)</f>
        <v>62</v>
      </c>
      <c r="AU118" s="157">
        <f t="shared" si="74"/>
        <v>2.5060630557801132E-2</v>
      </c>
      <c r="AW118" s="138">
        <f t="shared" si="75"/>
        <v>21.37</v>
      </c>
      <c r="AX118" s="139">
        <f t="shared" si="76"/>
        <v>8.0000000000000002E-3</v>
      </c>
      <c r="BC118" s="109"/>
    </row>
    <row r="119" spans="1:55" s="167" customFormat="1" x14ac:dyDescent="0.25">
      <c r="A119" s="167" t="s">
        <v>172</v>
      </c>
      <c r="B119" s="167" t="s">
        <v>155</v>
      </c>
      <c r="C119" s="167" t="s">
        <v>181</v>
      </c>
      <c r="D119" s="167" t="s">
        <v>174</v>
      </c>
      <c r="E119" s="167" t="s">
        <v>99</v>
      </c>
      <c r="F119" s="167" t="str">
        <f>INDEX('Rate Design (Consol)'!$B$48:$B$66,MATCH('Bill Impact Detail'!G119,'Rate Design (Consol)'!$C$48:$C$66,0))</f>
        <v>GS-3</v>
      </c>
      <c r="G119" s="167" t="s">
        <v>13</v>
      </c>
      <c r="H119" s="167" t="str">
        <f>INDEX('Rate Design (Consol)'!$D$48:$D$66,MATCH('Bill Impact Detail'!I119,'Rate Design (Consol)'!$E$48:$E$66,0))</f>
        <v>GS-3</v>
      </c>
      <c r="I119" s="167" t="str">
        <f t="shared" si="72"/>
        <v>General Service - 3</v>
      </c>
      <c r="J119" s="167" t="str">
        <f>VLOOKUP(I119,'Rate Design (Consol)'!$E$48:$F$66,2,FALSE)</f>
        <v>&gt; 5,000 &lt; = 10,000</v>
      </c>
      <c r="K119" s="169" t="str">
        <f t="shared" si="39"/>
        <v>CFG-CFG - Firm Transportation Service - 3.1 Non-Residential-GS-3</v>
      </c>
      <c r="L119" s="169">
        <v>7</v>
      </c>
      <c r="M119" s="169" t="s">
        <v>257</v>
      </c>
      <c r="N119" s="138">
        <f>VLOOKUP(K119,'G2-8 Summary'!J:O,6,FALSE)</f>
        <v>7421</v>
      </c>
      <c r="O119" s="63">
        <f>INDEX('G2-8 Summary'!S:S,MATCH('Bill Impact Detail'!K119,'G2-8 Summary'!J:J,0))</f>
        <v>134</v>
      </c>
      <c r="P119" s="63">
        <f>SUMIFS('Rate Design (Consol)'!K:K,'Rate Design (Consol)'!A:A,M119,'Rate Design (Consol)'!D:D,H119)</f>
        <v>150</v>
      </c>
      <c r="Q119" s="63"/>
      <c r="R119" s="142">
        <f t="shared" si="50"/>
        <v>0.27936</v>
      </c>
      <c r="S119" s="141">
        <f>INDEX('G2-8 Summary'!V:V,MATCH('Bill Impact Detail'!K119,'G2-8 Summary'!J:J,0))</f>
        <v>0.20383000000000001</v>
      </c>
      <c r="T119" s="141">
        <f>SUMIFS('Rate Design (Consol)'!L:L,'Rate Design (Consol)'!A:A,M119,'Rate Design (Consol)'!D:D,H119)</f>
        <v>0.62475000000000003</v>
      </c>
      <c r="U119" s="141"/>
      <c r="W119" s="64">
        <f>VLOOKUP($K119,'G2-8 Summary'!$J:$AA,15,FALSE)</f>
        <v>7.5529999999999986E-2</v>
      </c>
      <c r="X119" s="64"/>
      <c r="Y119" s="64"/>
      <c r="Z119" s="64"/>
      <c r="AB119" s="63">
        <f t="shared" si="40"/>
        <v>1608</v>
      </c>
      <c r="AC119" s="63">
        <f t="shared" si="41"/>
        <v>1512.6224300000001</v>
      </c>
      <c r="AD119" s="63">
        <f t="shared" si="42"/>
        <v>560.50812999999994</v>
      </c>
      <c r="AE119" s="63">
        <f t="shared" si="43"/>
        <v>0</v>
      </c>
      <c r="AF119" s="63">
        <f t="shared" si="44"/>
        <v>0</v>
      </c>
      <c r="AG119" s="63">
        <f t="shared" si="45"/>
        <v>0</v>
      </c>
      <c r="AH119" s="202">
        <f t="shared" si="46"/>
        <v>3681.1305600000005</v>
      </c>
      <c r="AI119" s="138"/>
      <c r="AJ119" s="63">
        <f t="shared" si="47"/>
        <v>1800</v>
      </c>
      <c r="AK119" s="63">
        <f t="shared" si="48"/>
        <v>4636.2697500000004</v>
      </c>
      <c r="AL119" s="63"/>
      <c r="AM119" s="63">
        <f t="shared" si="51"/>
        <v>0</v>
      </c>
      <c r="AN119" s="63">
        <f t="shared" si="52"/>
        <v>0</v>
      </c>
      <c r="AO119" s="63">
        <f t="shared" si="53"/>
        <v>0</v>
      </c>
      <c r="AP119" s="202">
        <f t="shared" si="73"/>
        <v>6436.2697500000004</v>
      </c>
      <c r="AQ119" s="63">
        <f t="shared" si="77"/>
        <v>2755.1391899999999</v>
      </c>
      <c r="AR119" s="157">
        <f t="shared" si="54"/>
        <v>0.74844919110937469</v>
      </c>
      <c r="AT119" s="111">
        <f>VLOOKUP(K119,'G2-8 Summary'!J:P,7,FALSE)</f>
        <v>226</v>
      </c>
      <c r="AU119" s="157">
        <f t="shared" si="74"/>
        <v>0.14116177389131793</v>
      </c>
      <c r="AW119" s="138">
        <f t="shared" si="75"/>
        <v>388.92</v>
      </c>
      <c r="AX119" s="139">
        <f t="shared" si="76"/>
        <v>0.1057</v>
      </c>
      <c r="BC119" s="109"/>
    </row>
    <row r="120" spans="1:55" s="167" customFormat="1" x14ac:dyDescent="0.25">
      <c r="A120" s="167" t="s">
        <v>172</v>
      </c>
      <c r="B120" s="167" t="s">
        <v>155</v>
      </c>
      <c r="C120" s="167" t="s">
        <v>181</v>
      </c>
      <c r="D120" s="167" t="s">
        <v>174</v>
      </c>
      <c r="E120" s="167" t="s">
        <v>99</v>
      </c>
      <c r="F120" s="167" t="str">
        <f>INDEX('Rate Design (Consol)'!$B$48:$B$66,MATCH('Bill Impact Detail'!G120,'Rate Design (Consol)'!$C$48:$C$66,0))</f>
        <v>GS-4</v>
      </c>
      <c r="G120" s="167" t="s">
        <v>14</v>
      </c>
      <c r="H120" s="167" t="str">
        <f>INDEX('Rate Design (Consol)'!$D$48:$D$66,MATCH('Bill Impact Detail'!I120,'Rate Design (Consol)'!$E$48:$E$66,0))</f>
        <v>GS-4</v>
      </c>
      <c r="I120" s="167" t="str">
        <f t="shared" si="72"/>
        <v>General Service - 4</v>
      </c>
      <c r="J120" s="167" t="str">
        <f>VLOOKUP(I120,'Rate Design (Consol)'!$E$48:$F$66,2,FALSE)</f>
        <v>&gt; 10,000 &lt; = 50,000</v>
      </c>
      <c r="K120" s="169" t="str">
        <f t="shared" si="39"/>
        <v>CFG-CFG - Firm Transportation Service - 3.1 Non-Residential-GS-4</v>
      </c>
      <c r="L120" s="169">
        <v>8</v>
      </c>
      <c r="M120" s="169" t="s">
        <v>257</v>
      </c>
      <c r="N120" s="138">
        <f>VLOOKUP(K120,'G2-8 Summary'!J:O,6,FALSE)</f>
        <v>12658</v>
      </c>
      <c r="O120" s="63">
        <f>INDEX('G2-8 Summary'!S:S,MATCH('Bill Impact Detail'!K120,'G2-8 Summary'!J:J,0))</f>
        <v>134</v>
      </c>
      <c r="P120" s="63">
        <f>SUMIFS('Rate Design (Consol)'!K:K,'Rate Design (Consol)'!A:A,M120,'Rate Design (Consol)'!D:D,H120)</f>
        <v>275</v>
      </c>
      <c r="Q120" s="63"/>
      <c r="R120" s="142">
        <f t="shared" si="50"/>
        <v>0.27936</v>
      </c>
      <c r="S120" s="141">
        <f>INDEX('G2-8 Summary'!V:V,MATCH('Bill Impact Detail'!K120,'G2-8 Summary'!J:J,0))</f>
        <v>0.20383000000000001</v>
      </c>
      <c r="T120" s="141">
        <f>SUMIFS('Rate Design (Consol)'!L:L,'Rate Design (Consol)'!A:A,M120,'Rate Design (Consol)'!D:D,H120)</f>
        <v>0.59182999999999997</v>
      </c>
      <c r="U120" s="141"/>
      <c r="W120" s="64">
        <f>VLOOKUP($K120,'G2-8 Summary'!$J:$AA,15,FALSE)</f>
        <v>7.5529999999999986E-2</v>
      </c>
      <c r="X120" s="64"/>
      <c r="Y120" s="64"/>
      <c r="Z120" s="64"/>
      <c r="AB120" s="63">
        <f t="shared" si="40"/>
        <v>1608</v>
      </c>
      <c r="AC120" s="63">
        <f t="shared" si="41"/>
        <v>2580.08014</v>
      </c>
      <c r="AD120" s="63">
        <f t="shared" si="42"/>
        <v>956.05873999999983</v>
      </c>
      <c r="AE120" s="63">
        <f t="shared" si="43"/>
        <v>0</v>
      </c>
      <c r="AF120" s="63">
        <f t="shared" si="44"/>
        <v>0</v>
      </c>
      <c r="AG120" s="63">
        <f t="shared" si="45"/>
        <v>0</v>
      </c>
      <c r="AH120" s="202">
        <f t="shared" si="46"/>
        <v>5144.1388799999995</v>
      </c>
      <c r="AI120" s="138"/>
      <c r="AJ120" s="63">
        <f t="shared" si="47"/>
        <v>3300</v>
      </c>
      <c r="AK120" s="63">
        <f t="shared" si="48"/>
        <v>7491.3841399999992</v>
      </c>
      <c r="AL120" s="63"/>
      <c r="AM120" s="63">
        <f t="shared" si="51"/>
        <v>0</v>
      </c>
      <c r="AN120" s="63">
        <f t="shared" si="52"/>
        <v>0</v>
      </c>
      <c r="AO120" s="63">
        <f t="shared" si="53"/>
        <v>0</v>
      </c>
      <c r="AP120" s="202">
        <f t="shared" si="73"/>
        <v>10791.384139999998</v>
      </c>
      <c r="AQ120" s="63">
        <f t="shared" si="77"/>
        <v>5647.2452599999988</v>
      </c>
      <c r="AR120" s="157">
        <f t="shared" si="54"/>
        <v>1.0978018657225677</v>
      </c>
      <c r="AT120" s="111">
        <f>VLOOKUP(K120,'G2-8 Summary'!J:P,7,FALSE)</f>
        <v>24</v>
      </c>
      <c r="AU120" s="157">
        <f t="shared" si="74"/>
        <v>1.7204301075268817E-2</v>
      </c>
      <c r="AW120" s="138">
        <f t="shared" si="75"/>
        <v>97.16</v>
      </c>
      <c r="AX120" s="139">
        <f t="shared" si="76"/>
        <v>1.89E-2</v>
      </c>
      <c r="BC120" s="109"/>
    </row>
    <row r="121" spans="1:55" s="167" customFormat="1" x14ac:dyDescent="0.25">
      <c r="A121" s="167" t="s">
        <v>172</v>
      </c>
      <c r="B121" s="167" t="s">
        <v>155</v>
      </c>
      <c r="C121" s="167" t="s">
        <v>181</v>
      </c>
      <c r="D121" s="167" t="s">
        <v>174</v>
      </c>
      <c r="E121" s="167" t="s">
        <v>99</v>
      </c>
      <c r="F121" s="167" t="str">
        <f>INDEX('Rate Design (Consol)'!$B$48:$B$66,MATCH('Bill Impact Detail'!G121,'Rate Design (Consol)'!$C$48:$C$66,0))</f>
        <v>GS-5</v>
      </c>
      <c r="G121" s="167" t="s">
        <v>15</v>
      </c>
      <c r="H121" s="167" t="str">
        <f>INDEX('Rate Design (Consol)'!$D$48:$D$66,MATCH('Bill Impact Detail'!I121,'Rate Design (Consol)'!$E$48:$E$66,0))</f>
        <v>GS-5</v>
      </c>
      <c r="I121" s="167" t="str">
        <f t="shared" si="72"/>
        <v>General Service - 5</v>
      </c>
      <c r="J121" s="167" t="str">
        <f>VLOOKUP(I121,'Rate Design (Consol)'!$E$48:$F$66,2,FALSE)</f>
        <v>&gt; 50,000 &lt; = 250,000</v>
      </c>
      <c r="K121" s="169" t="str">
        <f t="shared" si="39"/>
        <v>CFG-CFG - Firm Transportation Service - 3.1 Non-Residential-GS-5</v>
      </c>
      <c r="L121" s="169">
        <v>9</v>
      </c>
      <c r="M121" s="169" t="s">
        <v>257</v>
      </c>
      <c r="N121" s="138">
        <f>VLOOKUP(K121,'G2-8 Summary'!J:O,6,FALSE)</f>
        <v>77341</v>
      </c>
      <c r="O121" s="63">
        <f>INDEX('G2-8 Summary'!S:S,MATCH('Bill Impact Detail'!K121,'G2-8 Summary'!J:J,0))</f>
        <v>134</v>
      </c>
      <c r="P121" s="63">
        <f>SUMIFS('Rate Design (Consol)'!K:K,'Rate Design (Consol)'!A:A,M121,'Rate Design (Consol)'!D:D,H121)</f>
        <v>750</v>
      </c>
      <c r="Q121" s="63"/>
      <c r="R121" s="142">
        <f t="shared" si="50"/>
        <v>0.27936</v>
      </c>
      <c r="S121" s="141">
        <f>INDEX('G2-8 Summary'!V:V,MATCH('Bill Impact Detail'!K121,'G2-8 Summary'!J:J,0))</f>
        <v>0.20383000000000001</v>
      </c>
      <c r="T121" s="141">
        <f>SUMIFS('Rate Design (Consol)'!L:L,'Rate Design (Consol)'!A:A,M121,'Rate Design (Consol)'!D:D,H121)</f>
        <v>0.52</v>
      </c>
      <c r="U121" s="141"/>
      <c r="W121" s="64">
        <f>VLOOKUP($K121,'G2-8 Summary'!$J:$AA,15,FALSE)</f>
        <v>7.5529999999999986E-2</v>
      </c>
      <c r="X121" s="64"/>
      <c r="Y121" s="64"/>
      <c r="Z121" s="64"/>
      <c r="AB121" s="63">
        <f t="shared" si="40"/>
        <v>1608</v>
      </c>
      <c r="AC121" s="63">
        <f t="shared" si="41"/>
        <v>15764.41603</v>
      </c>
      <c r="AD121" s="63">
        <f t="shared" si="42"/>
        <v>5841.5657299999993</v>
      </c>
      <c r="AE121" s="63">
        <f t="shared" si="43"/>
        <v>0</v>
      </c>
      <c r="AF121" s="63">
        <f t="shared" si="44"/>
        <v>0</v>
      </c>
      <c r="AG121" s="63">
        <f t="shared" si="45"/>
        <v>0</v>
      </c>
      <c r="AH121" s="202">
        <f t="shared" si="46"/>
        <v>23213.981759999999</v>
      </c>
      <c r="AI121" s="138"/>
      <c r="AJ121" s="63">
        <f t="shared" si="47"/>
        <v>9000</v>
      </c>
      <c r="AK121" s="63">
        <f t="shared" si="48"/>
        <v>40217.32</v>
      </c>
      <c r="AL121" s="63"/>
      <c r="AM121" s="63">
        <f t="shared" si="51"/>
        <v>0</v>
      </c>
      <c r="AN121" s="63">
        <f t="shared" si="52"/>
        <v>0</v>
      </c>
      <c r="AO121" s="63">
        <f t="shared" si="53"/>
        <v>0</v>
      </c>
      <c r="AP121" s="202">
        <f t="shared" si="73"/>
        <v>49217.32</v>
      </c>
      <c r="AQ121" s="63">
        <f t="shared" si="77"/>
        <v>26003.338240000001</v>
      </c>
      <c r="AR121" s="157">
        <f t="shared" si="54"/>
        <v>1.120158467807808</v>
      </c>
      <c r="AT121" s="111">
        <f>VLOOKUP(K121,'G2-8 Summary'!J:P,7,FALSE)</f>
        <v>1</v>
      </c>
      <c r="AU121" s="157">
        <f t="shared" si="74"/>
        <v>8.8495575221238937E-3</v>
      </c>
      <c r="AW121" s="138">
        <f t="shared" si="75"/>
        <v>230.12</v>
      </c>
      <c r="AX121" s="139">
        <f t="shared" si="76"/>
        <v>9.9000000000000008E-3</v>
      </c>
      <c r="BC121" s="109"/>
    </row>
    <row r="122" spans="1:55" s="167" customFormat="1" x14ac:dyDescent="0.25">
      <c r="A122" s="167" t="s">
        <v>172</v>
      </c>
      <c r="B122" s="167" t="s">
        <v>155</v>
      </c>
      <c r="C122" s="167" t="s">
        <v>181</v>
      </c>
      <c r="D122" s="167" t="s">
        <v>174</v>
      </c>
      <c r="E122" s="167" t="s">
        <v>99</v>
      </c>
      <c r="F122" s="167" t="str">
        <f>INDEX('Rate Design (Consol)'!$B$48:$B$66,MATCH('Bill Impact Detail'!G122,'Rate Design (Consol)'!$C$48:$C$66,0))</f>
        <v>GS-1</v>
      </c>
      <c r="G122" s="167" t="s">
        <v>11</v>
      </c>
      <c r="H122" s="167" t="str">
        <f>INDEX('Rate Design (Consol)'!$D$48:$D$66,MATCH('Bill Impact Detail'!I122,'Rate Design (Consol)'!$E$48:$E$66,0))</f>
        <v>GS-1</v>
      </c>
      <c r="I122" s="167" t="str">
        <f t="shared" si="72"/>
        <v>General Service - 1</v>
      </c>
      <c r="J122" s="167" t="str">
        <f>VLOOKUP(I122,'Rate Design (Consol)'!$E$48:$F$66,2,FALSE)</f>
        <v>&lt; = 1000</v>
      </c>
      <c r="K122" s="169" t="str">
        <f t="shared" si="39"/>
        <v>CFG-CFG - Firm Transportation Service - 3.1 Non-Residential-GS-1</v>
      </c>
      <c r="L122" s="169">
        <v>5</v>
      </c>
      <c r="M122" s="169" t="s">
        <v>257</v>
      </c>
      <c r="N122" s="138">
        <f>VLOOKUP(K122,'G2-8 Summary'!J:O,6,FALSE)</f>
        <v>343</v>
      </c>
      <c r="O122" s="63">
        <f>INDEX('G2-8 Summary'!S:S,MATCH('Bill Impact Detail'!K122,'G2-8 Summary'!J:J,0))</f>
        <v>134</v>
      </c>
      <c r="P122" s="63">
        <f>SUMIFS('Rate Design (Consol)'!K:K,'Rate Design (Consol)'!A:A,M122,'Rate Design (Consol)'!D:D,H122)</f>
        <v>40</v>
      </c>
      <c r="Q122" s="63"/>
      <c r="R122" s="142">
        <f t="shared" si="50"/>
        <v>0.27936</v>
      </c>
      <c r="S122" s="141">
        <f>INDEX('G2-8 Summary'!V:V,MATCH('Bill Impact Detail'!K122,'G2-8 Summary'!J:J,0))</f>
        <v>0.20383000000000001</v>
      </c>
      <c r="T122" s="141">
        <f>SUMIFS('Rate Design (Consol)'!L:L,'Rate Design (Consol)'!A:A,M122,'Rate Design (Consol)'!D:D,H122)</f>
        <v>0.70123999999999997</v>
      </c>
      <c r="U122" s="141"/>
      <c r="W122" s="64">
        <f>VLOOKUP($K122,'G2-8 Summary'!$J:$AA,15,FALSE)</f>
        <v>7.5529999999999986E-2</v>
      </c>
      <c r="X122" s="64"/>
      <c r="Y122" s="64"/>
      <c r="Z122" s="64"/>
      <c r="AB122" s="63">
        <f t="shared" si="40"/>
        <v>1608</v>
      </c>
      <c r="AC122" s="63">
        <f t="shared" si="41"/>
        <v>69.913690000000003</v>
      </c>
      <c r="AD122" s="63">
        <f t="shared" si="42"/>
        <v>25.906789999999994</v>
      </c>
      <c r="AE122" s="63">
        <f t="shared" si="43"/>
        <v>0</v>
      </c>
      <c r="AF122" s="63">
        <f t="shared" si="44"/>
        <v>0</v>
      </c>
      <c r="AG122" s="63">
        <f t="shared" si="45"/>
        <v>0</v>
      </c>
      <c r="AH122" s="202">
        <f t="shared" si="46"/>
        <v>1703.8204800000001</v>
      </c>
      <c r="AI122" s="138"/>
      <c r="AJ122" s="63">
        <f t="shared" si="47"/>
        <v>480</v>
      </c>
      <c r="AK122" s="63">
        <f t="shared" si="48"/>
        <v>240.52531999999999</v>
      </c>
      <c r="AL122" s="63"/>
      <c r="AM122" s="63">
        <f t="shared" si="51"/>
        <v>0</v>
      </c>
      <c r="AN122" s="63">
        <f t="shared" si="52"/>
        <v>0</v>
      </c>
      <c r="AO122" s="63">
        <f t="shared" si="53"/>
        <v>0</v>
      </c>
      <c r="AP122" s="202">
        <f t="shared" si="73"/>
        <v>720.52531999999997</v>
      </c>
      <c r="AQ122" s="63">
        <f t="shared" si="77"/>
        <v>-983.29516000000012</v>
      </c>
      <c r="AR122" s="157">
        <f t="shared" si="54"/>
        <v>-0.57711195019794581</v>
      </c>
      <c r="AT122" s="111">
        <f>VLOOKUP(K122,'G2-8 Summary'!J:P,7,FALSE)</f>
        <v>13</v>
      </c>
      <c r="AU122" s="157">
        <f t="shared" si="74"/>
        <v>6.1234102684879889E-3</v>
      </c>
      <c r="AW122" s="138">
        <f t="shared" si="75"/>
        <v>-6.02</v>
      </c>
      <c r="AX122" s="139">
        <f t="shared" si="76"/>
        <v>-3.5000000000000001E-3</v>
      </c>
      <c r="BC122" s="109"/>
    </row>
    <row r="123" spans="1:55" s="167" customFormat="1" x14ac:dyDescent="0.25">
      <c r="A123" s="167" t="s">
        <v>172</v>
      </c>
      <c r="B123" s="167" t="s">
        <v>155</v>
      </c>
      <c r="C123" s="167" t="s">
        <v>182</v>
      </c>
      <c r="D123" s="167" t="s">
        <v>174</v>
      </c>
      <c r="E123" s="167" t="s">
        <v>100</v>
      </c>
      <c r="F123" s="167" t="str">
        <f>INDEX('Rate Design (Consol)'!$B$48:$B$66,MATCH('Bill Impact Detail'!G123,'Rate Design (Consol)'!$C$48:$C$66,0))</f>
        <v>GS-2</v>
      </c>
      <c r="G123" s="167" t="s">
        <v>12</v>
      </c>
      <c r="H123" s="167" t="str">
        <f>INDEX('Rate Design (Consol)'!$D$48:$D$66,MATCH('Bill Impact Detail'!I123,'Rate Design (Consol)'!$E$48:$E$66,0))</f>
        <v>GS-2</v>
      </c>
      <c r="I123" s="167" t="str">
        <f t="shared" si="72"/>
        <v>General Service - 2</v>
      </c>
      <c r="J123" s="167" t="str">
        <f>VLOOKUP(I123,'Rate Design (Consol)'!$E$48:$F$66,2,FALSE)</f>
        <v>&gt; 1000 &lt; = 5,000</v>
      </c>
      <c r="K123" s="169" t="str">
        <f t="shared" si="39"/>
        <v>CFG-CFG - Firm Transportation Service - 4-GS-2</v>
      </c>
      <c r="L123" s="169">
        <v>6</v>
      </c>
      <c r="M123" s="169" t="s">
        <v>257</v>
      </c>
      <c r="N123" s="138">
        <f>VLOOKUP(K123,'G2-8 Summary'!J:O,6,FALSE)</f>
        <v>2443</v>
      </c>
      <c r="O123" s="63">
        <f>INDEX('G2-8 Summary'!S:S,MATCH('Bill Impact Detail'!K123,'G2-8 Summary'!J:J,0))</f>
        <v>210</v>
      </c>
      <c r="P123" s="63">
        <f>SUMIFS('Rate Design (Consol)'!K:K,'Rate Design (Consol)'!A:A,M123,'Rate Design (Consol)'!D:D,H123)</f>
        <v>70</v>
      </c>
      <c r="Q123" s="63"/>
      <c r="R123" s="142">
        <f t="shared" si="50"/>
        <v>0.27281</v>
      </c>
      <c r="S123" s="141">
        <f>INDEX('G2-8 Summary'!V:V,MATCH('Bill Impact Detail'!K123,'G2-8 Summary'!J:J,0))</f>
        <v>0.189</v>
      </c>
      <c r="T123" s="141">
        <f>SUMIFS('Rate Design (Consol)'!L:L,'Rate Design (Consol)'!A:A,M123,'Rate Design (Consol)'!D:D,H123)</f>
        <v>0.69901999999999997</v>
      </c>
      <c r="U123" s="141"/>
      <c r="W123" s="64">
        <f>VLOOKUP($K123,'G2-8 Summary'!$J:$AA,15,FALSE)</f>
        <v>8.3809999999999996E-2</v>
      </c>
      <c r="X123" s="64"/>
      <c r="Y123" s="64"/>
      <c r="Z123" s="64"/>
      <c r="AB123" s="63">
        <f t="shared" si="40"/>
        <v>2520</v>
      </c>
      <c r="AC123" s="63">
        <f t="shared" si="41"/>
        <v>461.72699999999998</v>
      </c>
      <c r="AD123" s="63">
        <f t="shared" si="42"/>
        <v>204.74782999999999</v>
      </c>
      <c r="AE123" s="63">
        <f t="shared" si="43"/>
        <v>0</v>
      </c>
      <c r="AF123" s="63">
        <f t="shared" si="44"/>
        <v>0</v>
      </c>
      <c r="AG123" s="63">
        <f t="shared" si="45"/>
        <v>0</v>
      </c>
      <c r="AH123" s="202">
        <f t="shared" si="46"/>
        <v>3186.4748299999997</v>
      </c>
      <c r="AI123" s="138"/>
      <c r="AJ123" s="63">
        <f t="shared" si="47"/>
        <v>840</v>
      </c>
      <c r="AK123" s="63">
        <f t="shared" si="48"/>
        <v>1707.70586</v>
      </c>
      <c r="AL123" s="63"/>
      <c r="AM123" s="63">
        <f t="shared" si="51"/>
        <v>0</v>
      </c>
      <c r="AN123" s="63">
        <f t="shared" si="52"/>
        <v>0</v>
      </c>
      <c r="AO123" s="63">
        <f t="shared" si="53"/>
        <v>0</v>
      </c>
      <c r="AP123" s="202">
        <f t="shared" si="73"/>
        <v>2547.70586</v>
      </c>
      <c r="AQ123" s="63">
        <f t="shared" si="77"/>
        <v>-638.76896999999963</v>
      </c>
      <c r="AR123" s="157">
        <f t="shared" si="54"/>
        <v>-0.200462581403789</v>
      </c>
      <c r="AT123" s="111">
        <f>VLOOKUP(K123,'G2-8 Summary'!J:P,7,FALSE)</f>
        <v>11</v>
      </c>
      <c r="AU123" s="157">
        <f t="shared" si="74"/>
        <v>4.4462409054163302E-3</v>
      </c>
      <c r="AW123" s="138">
        <f t="shared" si="75"/>
        <v>-2.84</v>
      </c>
      <c r="AX123" s="139">
        <f t="shared" si="76"/>
        <v>-8.9999999999999998E-4</v>
      </c>
      <c r="BC123" s="109"/>
    </row>
    <row r="124" spans="1:55" s="167" customFormat="1" x14ac:dyDescent="0.25">
      <c r="A124" s="167" t="s">
        <v>172</v>
      </c>
      <c r="B124" s="167" t="s">
        <v>155</v>
      </c>
      <c r="C124" s="167" t="s">
        <v>182</v>
      </c>
      <c r="D124" s="167" t="s">
        <v>174</v>
      </c>
      <c r="E124" s="167" t="s">
        <v>100</v>
      </c>
      <c r="F124" s="167" t="str">
        <f>INDEX('Rate Design (Consol)'!$B$48:$B$66,MATCH('Bill Impact Detail'!G124,'Rate Design (Consol)'!$C$48:$C$66,0))</f>
        <v>GS-3</v>
      </c>
      <c r="G124" s="167" t="s">
        <v>13</v>
      </c>
      <c r="H124" s="167" t="str">
        <f>INDEX('Rate Design (Consol)'!$D$48:$D$66,MATCH('Bill Impact Detail'!I124,'Rate Design (Consol)'!$E$48:$E$66,0))</f>
        <v>GS-3</v>
      </c>
      <c r="I124" s="167" t="str">
        <f t="shared" si="72"/>
        <v>General Service - 3</v>
      </c>
      <c r="J124" s="167" t="str">
        <f>VLOOKUP(I124,'Rate Design (Consol)'!$E$48:$F$66,2,FALSE)</f>
        <v>&gt; 5,000 &lt; = 10,000</v>
      </c>
      <c r="K124" s="169" t="str">
        <f t="shared" si="39"/>
        <v>CFG-CFG - Firm Transportation Service - 4-GS-3</v>
      </c>
      <c r="L124" s="169">
        <v>7</v>
      </c>
      <c r="M124" s="169" t="s">
        <v>257</v>
      </c>
      <c r="N124" s="138">
        <f>VLOOKUP(K124,'G2-8 Summary'!J:O,6,FALSE)</f>
        <v>8111</v>
      </c>
      <c r="O124" s="63">
        <f>INDEX('G2-8 Summary'!S:S,MATCH('Bill Impact Detail'!K124,'G2-8 Summary'!J:J,0))</f>
        <v>210</v>
      </c>
      <c r="P124" s="63">
        <f>SUMIFS('Rate Design (Consol)'!K:K,'Rate Design (Consol)'!A:A,M124,'Rate Design (Consol)'!D:D,H124)</f>
        <v>150</v>
      </c>
      <c r="Q124" s="63"/>
      <c r="R124" s="142">
        <f t="shared" si="50"/>
        <v>0.27281</v>
      </c>
      <c r="S124" s="141">
        <f>INDEX('G2-8 Summary'!V:V,MATCH('Bill Impact Detail'!K124,'G2-8 Summary'!J:J,0))</f>
        <v>0.189</v>
      </c>
      <c r="T124" s="141">
        <f>SUMIFS('Rate Design (Consol)'!L:L,'Rate Design (Consol)'!A:A,M124,'Rate Design (Consol)'!D:D,H124)</f>
        <v>0.62475000000000003</v>
      </c>
      <c r="U124" s="141"/>
      <c r="W124" s="64">
        <f>VLOOKUP($K124,'G2-8 Summary'!$J:$AA,15,FALSE)</f>
        <v>8.3809999999999996E-2</v>
      </c>
      <c r="X124" s="64"/>
      <c r="Y124" s="64"/>
      <c r="Z124" s="64"/>
      <c r="AB124" s="63">
        <f t="shared" si="40"/>
        <v>2520</v>
      </c>
      <c r="AC124" s="63">
        <f t="shared" si="41"/>
        <v>1532.979</v>
      </c>
      <c r="AD124" s="63">
        <f t="shared" si="42"/>
        <v>679.78291000000002</v>
      </c>
      <c r="AE124" s="63">
        <f t="shared" si="43"/>
        <v>0</v>
      </c>
      <c r="AF124" s="63">
        <f t="shared" si="44"/>
        <v>0</v>
      </c>
      <c r="AG124" s="63">
        <f t="shared" si="45"/>
        <v>0</v>
      </c>
      <c r="AH124" s="202">
        <f t="shared" si="46"/>
        <v>4732.7619100000002</v>
      </c>
      <c r="AI124" s="138"/>
      <c r="AJ124" s="63">
        <f t="shared" si="47"/>
        <v>1800</v>
      </c>
      <c r="AK124" s="63">
        <f t="shared" si="48"/>
        <v>5067.3472499999998</v>
      </c>
      <c r="AL124" s="63"/>
      <c r="AM124" s="63">
        <f t="shared" si="51"/>
        <v>0</v>
      </c>
      <c r="AN124" s="63">
        <f t="shared" si="52"/>
        <v>0</v>
      </c>
      <c r="AO124" s="63">
        <f t="shared" si="53"/>
        <v>0</v>
      </c>
      <c r="AP124" s="202">
        <f t="shared" si="73"/>
        <v>6867.3472499999998</v>
      </c>
      <c r="AQ124" s="63">
        <f t="shared" si="77"/>
        <v>2134.5853399999996</v>
      </c>
      <c r="AR124" s="157">
        <f t="shared" si="54"/>
        <v>0.45102318278250331</v>
      </c>
      <c r="AT124" s="111">
        <f>VLOOKUP(K124,'G2-8 Summary'!J:P,7,FALSE)</f>
        <v>37</v>
      </c>
      <c r="AU124" s="157">
        <f t="shared" si="74"/>
        <v>2.3110555902560899E-2</v>
      </c>
      <c r="AW124" s="138">
        <f t="shared" si="75"/>
        <v>49.33</v>
      </c>
      <c r="AX124" s="139">
        <f t="shared" si="76"/>
        <v>1.04E-2</v>
      </c>
      <c r="BC124" s="109"/>
    </row>
    <row r="125" spans="1:55" s="167" customFormat="1" x14ac:dyDescent="0.25">
      <c r="A125" s="167" t="s">
        <v>172</v>
      </c>
      <c r="B125" s="167" t="s">
        <v>155</v>
      </c>
      <c r="C125" s="167" t="s">
        <v>182</v>
      </c>
      <c r="D125" s="167" t="s">
        <v>174</v>
      </c>
      <c r="E125" s="167" t="s">
        <v>100</v>
      </c>
      <c r="F125" s="167" t="str">
        <f>INDEX('Rate Design (Consol)'!$B$48:$B$66,MATCH('Bill Impact Detail'!G125,'Rate Design (Consol)'!$C$48:$C$66,0))</f>
        <v>GS-4</v>
      </c>
      <c r="G125" s="167" t="s">
        <v>14</v>
      </c>
      <c r="H125" s="167" t="str">
        <f>INDEX('Rate Design (Consol)'!$D$48:$D$66,MATCH('Bill Impact Detail'!I125,'Rate Design (Consol)'!$E$48:$E$66,0))</f>
        <v>GS-4</v>
      </c>
      <c r="I125" s="167" t="str">
        <f t="shared" si="72"/>
        <v>General Service - 4</v>
      </c>
      <c r="J125" s="167" t="str">
        <f>VLOOKUP(I125,'Rate Design (Consol)'!$E$48:$F$66,2,FALSE)</f>
        <v>&gt; 10,000 &lt; = 50,000</v>
      </c>
      <c r="K125" s="169" t="str">
        <f t="shared" si="39"/>
        <v>CFG-CFG - Firm Transportation Service - 4-GS-4</v>
      </c>
      <c r="L125" s="169">
        <v>8</v>
      </c>
      <c r="M125" s="169" t="s">
        <v>257</v>
      </c>
      <c r="N125" s="138">
        <f>VLOOKUP(K125,'G2-8 Summary'!J:O,6,FALSE)</f>
        <v>16039</v>
      </c>
      <c r="O125" s="63">
        <f>INDEX('G2-8 Summary'!S:S,MATCH('Bill Impact Detail'!K125,'G2-8 Summary'!J:J,0))</f>
        <v>210</v>
      </c>
      <c r="P125" s="63">
        <f>SUMIFS('Rate Design (Consol)'!K:K,'Rate Design (Consol)'!A:A,M125,'Rate Design (Consol)'!D:D,H125)</f>
        <v>275</v>
      </c>
      <c r="Q125" s="63"/>
      <c r="R125" s="142">
        <f t="shared" si="50"/>
        <v>0.27281</v>
      </c>
      <c r="S125" s="141">
        <f>INDEX('G2-8 Summary'!V:V,MATCH('Bill Impact Detail'!K125,'G2-8 Summary'!J:J,0))</f>
        <v>0.189</v>
      </c>
      <c r="T125" s="141">
        <f>SUMIFS('Rate Design (Consol)'!L:L,'Rate Design (Consol)'!A:A,M125,'Rate Design (Consol)'!D:D,H125)</f>
        <v>0.59182999999999997</v>
      </c>
      <c r="U125" s="141"/>
      <c r="W125" s="64">
        <f>VLOOKUP($K125,'G2-8 Summary'!$J:$AA,15,FALSE)</f>
        <v>8.3809999999999996E-2</v>
      </c>
      <c r="X125" s="64"/>
      <c r="Y125" s="64"/>
      <c r="Z125" s="64"/>
      <c r="AB125" s="63">
        <f t="shared" si="40"/>
        <v>2520</v>
      </c>
      <c r="AC125" s="63">
        <f t="shared" si="41"/>
        <v>3031.3710000000001</v>
      </c>
      <c r="AD125" s="63">
        <f t="shared" si="42"/>
        <v>1344.2285899999999</v>
      </c>
      <c r="AE125" s="63">
        <f t="shared" si="43"/>
        <v>0</v>
      </c>
      <c r="AF125" s="63">
        <f t="shared" si="44"/>
        <v>0</v>
      </c>
      <c r="AG125" s="63">
        <f t="shared" si="45"/>
        <v>0</v>
      </c>
      <c r="AH125" s="202">
        <f t="shared" si="46"/>
        <v>6895.5995899999998</v>
      </c>
      <c r="AI125" s="138"/>
      <c r="AJ125" s="63">
        <f t="shared" si="47"/>
        <v>3300</v>
      </c>
      <c r="AK125" s="63">
        <f t="shared" si="48"/>
        <v>9492.3613699999987</v>
      </c>
      <c r="AL125" s="63"/>
      <c r="AM125" s="63">
        <f t="shared" si="51"/>
        <v>0</v>
      </c>
      <c r="AN125" s="63">
        <f t="shared" si="52"/>
        <v>0</v>
      </c>
      <c r="AO125" s="63">
        <f t="shared" si="53"/>
        <v>0</v>
      </c>
      <c r="AP125" s="202">
        <f t="shared" si="73"/>
        <v>12792.361369999999</v>
      </c>
      <c r="AQ125" s="63">
        <f t="shared" si="77"/>
        <v>5896.7617799999989</v>
      </c>
      <c r="AR125" s="157">
        <f t="shared" si="54"/>
        <v>0.85514851943426129</v>
      </c>
      <c r="AT125" s="111">
        <f>VLOOKUP(K125,'G2-8 Summary'!J:P,7,FALSE)</f>
        <v>165</v>
      </c>
      <c r="AU125" s="157">
        <f t="shared" si="74"/>
        <v>0.11827956989247312</v>
      </c>
      <c r="AW125" s="138">
        <f t="shared" si="75"/>
        <v>697.47</v>
      </c>
      <c r="AX125" s="139">
        <f t="shared" si="76"/>
        <v>0.1011</v>
      </c>
      <c r="BC125" s="109"/>
    </row>
    <row r="126" spans="1:55" s="167" customFormat="1" x14ac:dyDescent="0.25">
      <c r="A126" s="167" t="s">
        <v>172</v>
      </c>
      <c r="B126" s="167" t="s">
        <v>155</v>
      </c>
      <c r="C126" s="167" t="s">
        <v>182</v>
      </c>
      <c r="D126" s="167" t="s">
        <v>174</v>
      </c>
      <c r="E126" s="167" t="s">
        <v>100</v>
      </c>
      <c r="F126" s="167" t="str">
        <f>INDEX('Rate Design (Consol)'!$B$48:$B$66,MATCH('Bill Impact Detail'!G126,'Rate Design (Consol)'!$C$48:$C$66,0))</f>
        <v>GS-5</v>
      </c>
      <c r="G126" s="167" t="s">
        <v>15</v>
      </c>
      <c r="H126" s="167" t="str">
        <f>INDEX('Rate Design (Consol)'!$D$48:$D$66,MATCH('Bill Impact Detail'!I126,'Rate Design (Consol)'!$E$48:$E$66,0))</f>
        <v>GS-5</v>
      </c>
      <c r="I126" s="167" t="str">
        <f t="shared" si="72"/>
        <v>General Service - 5</v>
      </c>
      <c r="J126" s="167" t="str">
        <f>VLOOKUP(I126,'Rate Design (Consol)'!$E$48:$F$66,2,FALSE)</f>
        <v>&gt; 50,000 &lt; = 250,000</v>
      </c>
      <c r="K126" s="169" t="str">
        <f t="shared" si="39"/>
        <v>CFG-CFG - Firm Transportation Service - 4-GS-5</v>
      </c>
      <c r="L126" s="169">
        <v>9</v>
      </c>
      <c r="M126" s="169" t="s">
        <v>257</v>
      </c>
      <c r="N126" s="138">
        <f>VLOOKUP(K126,'G2-8 Summary'!J:O,6,FALSE)</f>
        <v>86516</v>
      </c>
      <c r="O126" s="63">
        <f>INDEX('G2-8 Summary'!S:S,MATCH('Bill Impact Detail'!K126,'G2-8 Summary'!J:J,0))</f>
        <v>210</v>
      </c>
      <c r="P126" s="63">
        <f>SUMIFS('Rate Design (Consol)'!K:K,'Rate Design (Consol)'!A:A,M126,'Rate Design (Consol)'!D:D,H126)</f>
        <v>750</v>
      </c>
      <c r="Q126" s="63"/>
      <c r="R126" s="142">
        <f t="shared" si="50"/>
        <v>0.27281</v>
      </c>
      <c r="S126" s="141">
        <f>INDEX('G2-8 Summary'!V:V,MATCH('Bill Impact Detail'!K126,'G2-8 Summary'!J:J,0))</f>
        <v>0.189</v>
      </c>
      <c r="T126" s="141">
        <f>SUMIFS('Rate Design (Consol)'!L:L,'Rate Design (Consol)'!A:A,M126,'Rate Design (Consol)'!D:D,H126)</f>
        <v>0.52</v>
      </c>
      <c r="U126" s="141"/>
      <c r="W126" s="64">
        <f>VLOOKUP($K126,'G2-8 Summary'!$J:$AA,15,FALSE)</f>
        <v>8.3809999999999996E-2</v>
      </c>
      <c r="X126" s="64"/>
      <c r="Y126" s="64"/>
      <c r="Z126" s="64"/>
      <c r="AB126" s="63">
        <f t="shared" si="40"/>
        <v>2520</v>
      </c>
      <c r="AC126" s="63">
        <f t="shared" si="41"/>
        <v>16351.523999999999</v>
      </c>
      <c r="AD126" s="63">
        <f t="shared" si="42"/>
        <v>7250.9059600000001</v>
      </c>
      <c r="AE126" s="63">
        <f t="shared" si="43"/>
        <v>0</v>
      </c>
      <c r="AF126" s="63">
        <f t="shared" si="44"/>
        <v>0</v>
      </c>
      <c r="AG126" s="63">
        <f t="shared" si="45"/>
        <v>0</v>
      </c>
      <c r="AH126" s="202">
        <f t="shared" si="46"/>
        <v>26122.429959999998</v>
      </c>
      <c r="AI126" s="138"/>
      <c r="AJ126" s="63">
        <f t="shared" si="47"/>
        <v>9000</v>
      </c>
      <c r="AK126" s="63">
        <f t="shared" si="48"/>
        <v>44988.32</v>
      </c>
      <c r="AL126" s="63"/>
      <c r="AM126" s="63">
        <f t="shared" si="51"/>
        <v>0</v>
      </c>
      <c r="AN126" s="63">
        <f t="shared" si="52"/>
        <v>0</v>
      </c>
      <c r="AO126" s="63">
        <f t="shared" si="53"/>
        <v>0</v>
      </c>
      <c r="AP126" s="202">
        <f t="shared" si="73"/>
        <v>53988.32</v>
      </c>
      <c r="AQ126" s="63">
        <f t="shared" si="77"/>
        <v>27865.890040000002</v>
      </c>
      <c r="AR126" s="157">
        <f t="shared" si="54"/>
        <v>1.0667418797818458</v>
      </c>
      <c r="AT126" s="111">
        <f>VLOOKUP(K126,'G2-8 Summary'!J:P,7,FALSE)</f>
        <v>2</v>
      </c>
      <c r="AU126" s="157">
        <f t="shared" si="74"/>
        <v>1.7699115044247787E-2</v>
      </c>
      <c r="AW126" s="138">
        <f t="shared" si="75"/>
        <v>493.2</v>
      </c>
      <c r="AX126" s="139">
        <f t="shared" si="76"/>
        <v>1.89E-2</v>
      </c>
      <c r="BC126" s="109"/>
    </row>
    <row r="127" spans="1:55" s="167" customFormat="1" x14ac:dyDescent="0.25">
      <c r="A127" s="167" t="s">
        <v>172</v>
      </c>
      <c r="B127" s="167" t="s">
        <v>155</v>
      </c>
      <c r="C127" s="167" t="s">
        <v>182</v>
      </c>
      <c r="D127" s="167" t="s">
        <v>174</v>
      </c>
      <c r="E127" s="167" t="s">
        <v>100</v>
      </c>
      <c r="F127" s="167" t="str">
        <f>INDEX('Rate Design (Consol)'!$B$48:$B$66,MATCH('Bill Impact Detail'!G127,'Rate Design (Consol)'!$C$48:$C$66,0))</f>
        <v>GS-1</v>
      </c>
      <c r="G127" s="167" t="s">
        <v>11</v>
      </c>
      <c r="H127" s="167" t="str">
        <f>INDEX('Rate Design (Consol)'!$D$48:$D$66,MATCH('Bill Impact Detail'!I127,'Rate Design (Consol)'!$E$48:$E$66,0))</f>
        <v>GS-1</v>
      </c>
      <c r="I127" s="167" t="str">
        <f t="shared" si="72"/>
        <v>General Service - 1</v>
      </c>
      <c r="J127" s="167" t="str">
        <f>VLOOKUP(I127,'Rate Design (Consol)'!$E$48:$F$66,2,FALSE)</f>
        <v>&lt; = 1000</v>
      </c>
      <c r="K127" s="169" t="str">
        <f t="shared" si="39"/>
        <v>CFG-CFG - Firm Transportation Service - 4-GS-1</v>
      </c>
      <c r="L127" s="169">
        <v>5</v>
      </c>
      <c r="M127" s="169" t="s">
        <v>257</v>
      </c>
      <c r="N127" s="138">
        <f>VLOOKUP(K127,'G2-8 Summary'!J:O,6,FALSE)</f>
        <v>663</v>
      </c>
      <c r="O127" s="63">
        <f>INDEX('G2-8 Summary'!S:S,MATCH('Bill Impact Detail'!K127,'G2-8 Summary'!J:J,0))</f>
        <v>210</v>
      </c>
      <c r="P127" s="63">
        <f>SUMIFS('Rate Design (Consol)'!K:K,'Rate Design (Consol)'!A:A,M127,'Rate Design (Consol)'!D:D,H127)</f>
        <v>40</v>
      </c>
      <c r="Q127" s="63"/>
      <c r="R127" s="142">
        <f t="shared" si="50"/>
        <v>0.27281</v>
      </c>
      <c r="S127" s="141">
        <f>INDEX('G2-8 Summary'!V:V,MATCH('Bill Impact Detail'!K127,'G2-8 Summary'!J:J,0))</f>
        <v>0.189</v>
      </c>
      <c r="T127" s="141">
        <f>SUMIFS('Rate Design (Consol)'!L:L,'Rate Design (Consol)'!A:A,M127,'Rate Design (Consol)'!D:D,H127)</f>
        <v>0.70123999999999997</v>
      </c>
      <c r="U127" s="141"/>
      <c r="W127" s="64">
        <f>VLOOKUP($K127,'G2-8 Summary'!$J:$AA,15,FALSE)</f>
        <v>8.3809999999999996E-2</v>
      </c>
      <c r="X127" s="64"/>
      <c r="Y127" s="64"/>
      <c r="Z127" s="64"/>
      <c r="AB127" s="63">
        <f t="shared" si="40"/>
        <v>2520</v>
      </c>
      <c r="AC127" s="63">
        <f t="shared" si="41"/>
        <v>125.307</v>
      </c>
      <c r="AD127" s="63">
        <f t="shared" si="42"/>
        <v>55.566029999999998</v>
      </c>
      <c r="AE127" s="63">
        <f t="shared" si="43"/>
        <v>0</v>
      </c>
      <c r="AF127" s="63">
        <f t="shared" si="44"/>
        <v>0</v>
      </c>
      <c r="AG127" s="63">
        <f t="shared" si="45"/>
        <v>0</v>
      </c>
      <c r="AH127" s="202">
        <f t="shared" si="46"/>
        <v>2700.8730299999997</v>
      </c>
      <c r="AI127" s="138"/>
      <c r="AJ127" s="63">
        <f t="shared" si="47"/>
        <v>480</v>
      </c>
      <c r="AK127" s="63">
        <f t="shared" si="48"/>
        <v>464.92212000000001</v>
      </c>
      <c r="AL127" s="63"/>
      <c r="AM127" s="63">
        <f t="shared" si="51"/>
        <v>0</v>
      </c>
      <c r="AN127" s="63">
        <f t="shared" si="52"/>
        <v>0</v>
      </c>
      <c r="AO127" s="63">
        <f t="shared" si="53"/>
        <v>0</v>
      </c>
      <c r="AP127" s="202">
        <f t="shared" si="73"/>
        <v>944.92211999999995</v>
      </c>
      <c r="AQ127" s="63">
        <f t="shared" si="77"/>
        <v>-1755.9509099999998</v>
      </c>
      <c r="AR127" s="157">
        <f t="shared" si="54"/>
        <v>-0.65014196909508182</v>
      </c>
      <c r="AT127" s="111">
        <f>VLOOKUP(K127,'G2-8 Summary'!J:P,7,FALSE)</f>
        <v>6</v>
      </c>
      <c r="AU127" s="157">
        <f t="shared" si="74"/>
        <v>2.8261893546867641E-3</v>
      </c>
      <c r="AW127" s="138">
        <f t="shared" si="75"/>
        <v>-4.96</v>
      </c>
      <c r="AX127" s="139">
        <f t="shared" si="76"/>
        <v>-1.8E-3</v>
      </c>
      <c r="BC127" s="109"/>
    </row>
    <row r="128" spans="1:55" s="167" customFormat="1" x14ac:dyDescent="0.25">
      <c r="A128" s="167" t="s">
        <v>172</v>
      </c>
      <c r="B128" s="167" t="s">
        <v>155</v>
      </c>
      <c r="C128" s="167" t="s">
        <v>183</v>
      </c>
      <c r="D128" s="167" t="s">
        <v>174</v>
      </c>
      <c r="E128" s="167" t="s">
        <v>105</v>
      </c>
      <c r="F128" s="167" t="str">
        <f>INDEX('Rate Design (Consol)'!$B$48:$B$66,MATCH('Bill Impact Detail'!G128,'Rate Design (Consol)'!$C$48:$C$66,0))</f>
        <v>GS-2</v>
      </c>
      <c r="G128" s="167" t="s">
        <v>12</v>
      </c>
      <c r="H128" s="167" t="str">
        <f>INDEX('Rate Design (Consol)'!$D$48:$D$66,MATCH('Bill Impact Detail'!I128,'Rate Design (Consol)'!$E$48:$E$66,0))</f>
        <v>GS-2</v>
      </c>
      <c r="I128" s="167" t="str">
        <f t="shared" si="72"/>
        <v>General Service - 2</v>
      </c>
      <c r="J128" s="167" t="str">
        <f>VLOOKUP(I128,'Rate Design (Consol)'!$E$48:$F$66,2,FALSE)</f>
        <v>&gt; 1000 &lt; = 5,000</v>
      </c>
      <c r="K128" s="169" t="str">
        <f t="shared" si="39"/>
        <v>CFG-CFG - Firm Transportation Service - 5-GS-2</v>
      </c>
      <c r="L128" s="169">
        <v>6</v>
      </c>
      <c r="M128" s="169" t="s">
        <v>257</v>
      </c>
      <c r="N128" s="138">
        <f>VLOOKUP(K128,'G2-8 Summary'!J:O,6,FALSE)</f>
        <v>4421</v>
      </c>
      <c r="O128" s="63">
        <f>INDEX('G2-8 Summary'!S:S,MATCH('Bill Impact Detail'!K128,'G2-8 Summary'!J:J,0))</f>
        <v>380</v>
      </c>
      <c r="P128" s="63">
        <f>SUMIFS('Rate Design (Consol)'!K:K,'Rate Design (Consol)'!A:A,M128,'Rate Design (Consol)'!D:D,H128)</f>
        <v>70</v>
      </c>
      <c r="Q128" s="63"/>
      <c r="R128" s="142">
        <f t="shared" si="50"/>
        <v>0.25567000000000001</v>
      </c>
      <c r="S128" s="141">
        <f>INDEX('G2-8 Summary'!V:V,MATCH('Bill Impact Detail'!K128,'G2-8 Summary'!J:J,0))</f>
        <v>0.1658</v>
      </c>
      <c r="T128" s="141">
        <f>SUMIFS('Rate Design (Consol)'!L:L,'Rate Design (Consol)'!A:A,M128,'Rate Design (Consol)'!D:D,H128)</f>
        <v>0.69901999999999997</v>
      </c>
      <c r="U128" s="141"/>
      <c r="W128" s="64">
        <f>VLOOKUP($K128,'G2-8 Summary'!$J:$AA,15,FALSE)</f>
        <v>8.9869999999999992E-2</v>
      </c>
      <c r="X128" s="64"/>
      <c r="Y128" s="64"/>
      <c r="Z128" s="64"/>
      <c r="AB128" s="63">
        <f t="shared" si="40"/>
        <v>4560</v>
      </c>
      <c r="AC128" s="63">
        <f t="shared" si="41"/>
        <v>733.0018</v>
      </c>
      <c r="AD128" s="63">
        <f t="shared" si="42"/>
        <v>397.31526999999994</v>
      </c>
      <c r="AE128" s="63">
        <f t="shared" si="43"/>
        <v>0</v>
      </c>
      <c r="AF128" s="63">
        <f t="shared" si="44"/>
        <v>0</v>
      </c>
      <c r="AG128" s="63">
        <f t="shared" si="45"/>
        <v>0</v>
      </c>
      <c r="AH128" s="202">
        <f t="shared" si="46"/>
        <v>5690.3170700000001</v>
      </c>
      <c r="AI128" s="138"/>
      <c r="AJ128" s="63">
        <f t="shared" si="47"/>
        <v>840</v>
      </c>
      <c r="AK128" s="63">
        <f t="shared" si="48"/>
        <v>3090.36742</v>
      </c>
      <c r="AL128" s="63"/>
      <c r="AM128" s="63">
        <f t="shared" si="51"/>
        <v>0</v>
      </c>
      <c r="AN128" s="63">
        <f t="shared" si="52"/>
        <v>0</v>
      </c>
      <c r="AO128" s="63">
        <f t="shared" si="53"/>
        <v>0</v>
      </c>
      <c r="AP128" s="202">
        <f t="shared" si="73"/>
        <v>3930.36742</v>
      </c>
      <c r="AQ128" s="63">
        <f t="shared" si="77"/>
        <v>-1759.94965</v>
      </c>
      <c r="AR128" s="157">
        <f t="shared" si="54"/>
        <v>-0.3092885033206067</v>
      </c>
      <c r="AT128" s="111">
        <f>VLOOKUP(K128,'G2-8 Summary'!J:P,7,FALSE)</f>
        <v>2</v>
      </c>
      <c r="AU128" s="157">
        <f t="shared" si="74"/>
        <v>8.0840743734842356E-4</v>
      </c>
      <c r="AW128" s="138">
        <f t="shared" si="75"/>
        <v>-1.42</v>
      </c>
      <c r="AX128" s="139">
        <f t="shared" si="76"/>
        <v>-2.9999999999999997E-4</v>
      </c>
      <c r="BC128" s="109"/>
    </row>
    <row r="129" spans="1:55" s="167" customFormat="1" x14ac:dyDescent="0.25">
      <c r="A129" s="167" t="s">
        <v>172</v>
      </c>
      <c r="B129" s="167" t="s">
        <v>155</v>
      </c>
      <c r="C129" s="167" t="s">
        <v>183</v>
      </c>
      <c r="D129" s="167" t="s">
        <v>174</v>
      </c>
      <c r="E129" s="167" t="s">
        <v>105</v>
      </c>
      <c r="F129" s="167" t="str">
        <f>INDEX('Rate Design (Consol)'!$B$48:$B$66,MATCH('Bill Impact Detail'!G129,'Rate Design (Consol)'!$C$48:$C$66,0))</f>
        <v>GS-3</v>
      </c>
      <c r="G129" s="167" t="s">
        <v>13</v>
      </c>
      <c r="H129" s="167" t="str">
        <f>INDEX('Rate Design (Consol)'!$D$48:$D$66,MATCH('Bill Impact Detail'!I129,'Rate Design (Consol)'!$E$48:$E$66,0))</f>
        <v>GS-3</v>
      </c>
      <c r="I129" s="167" t="str">
        <f t="shared" si="72"/>
        <v>General Service - 3</v>
      </c>
      <c r="J129" s="167" t="str">
        <f>VLOOKUP(I129,'Rate Design (Consol)'!$E$48:$F$66,2,FALSE)</f>
        <v>&gt; 5,000 &lt; = 10,000</v>
      </c>
      <c r="K129" s="169" t="str">
        <f t="shared" si="39"/>
        <v>CFG-CFG - Firm Transportation Service - 5-GS-3</v>
      </c>
      <c r="L129" s="169">
        <v>7</v>
      </c>
      <c r="M129" s="169" t="s">
        <v>257</v>
      </c>
      <c r="N129" s="138">
        <f>VLOOKUP(K129,'G2-8 Summary'!J:O,6,FALSE)</f>
        <v>9004</v>
      </c>
      <c r="O129" s="63">
        <f>INDEX('G2-8 Summary'!S:S,MATCH('Bill Impact Detail'!K129,'G2-8 Summary'!J:J,0))</f>
        <v>380</v>
      </c>
      <c r="P129" s="63">
        <f>SUMIFS('Rate Design (Consol)'!K:K,'Rate Design (Consol)'!A:A,M129,'Rate Design (Consol)'!D:D,H129)</f>
        <v>150</v>
      </c>
      <c r="Q129" s="63"/>
      <c r="R129" s="142">
        <f t="shared" si="50"/>
        <v>0.25567000000000001</v>
      </c>
      <c r="S129" s="141">
        <f>INDEX('G2-8 Summary'!V:V,MATCH('Bill Impact Detail'!K129,'G2-8 Summary'!J:J,0))</f>
        <v>0.1658</v>
      </c>
      <c r="T129" s="141">
        <f>SUMIFS('Rate Design (Consol)'!L:L,'Rate Design (Consol)'!A:A,M129,'Rate Design (Consol)'!D:D,H129)</f>
        <v>0.62475000000000003</v>
      </c>
      <c r="U129" s="141"/>
      <c r="W129" s="64">
        <f>VLOOKUP($K129,'G2-8 Summary'!$J:$AA,15,FALSE)</f>
        <v>8.9869999999999992E-2</v>
      </c>
      <c r="X129" s="64"/>
      <c r="Y129" s="64"/>
      <c r="Z129" s="64"/>
      <c r="AB129" s="63">
        <f t="shared" si="40"/>
        <v>4560</v>
      </c>
      <c r="AC129" s="63">
        <f t="shared" si="41"/>
        <v>1492.8632</v>
      </c>
      <c r="AD129" s="63">
        <f t="shared" si="42"/>
        <v>809.18947999999989</v>
      </c>
      <c r="AE129" s="63">
        <f t="shared" si="43"/>
        <v>0</v>
      </c>
      <c r="AF129" s="63">
        <f t="shared" si="44"/>
        <v>0</v>
      </c>
      <c r="AG129" s="63">
        <f t="shared" si="45"/>
        <v>0</v>
      </c>
      <c r="AH129" s="202">
        <f t="shared" si="46"/>
        <v>6862.0526799999998</v>
      </c>
      <c r="AI129" s="138"/>
      <c r="AJ129" s="63">
        <f t="shared" si="47"/>
        <v>1800</v>
      </c>
      <c r="AK129" s="63">
        <f t="shared" si="48"/>
        <v>5625.2489999999998</v>
      </c>
      <c r="AL129" s="63"/>
      <c r="AM129" s="63">
        <f t="shared" si="51"/>
        <v>0</v>
      </c>
      <c r="AN129" s="63">
        <f t="shared" si="52"/>
        <v>0</v>
      </c>
      <c r="AO129" s="63">
        <f t="shared" si="53"/>
        <v>0</v>
      </c>
      <c r="AP129" s="202">
        <f t="shared" si="73"/>
        <v>7425.2489999999998</v>
      </c>
      <c r="AQ129" s="63">
        <f t="shared" si="77"/>
        <v>563.19632000000001</v>
      </c>
      <c r="AR129" s="157">
        <f t="shared" si="54"/>
        <v>8.2074030361422412E-2</v>
      </c>
      <c r="AT129" s="111">
        <f>VLOOKUP(K129,'G2-8 Summary'!J:P,7,FALSE)</f>
        <v>1</v>
      </c>
      <c r="AU129" s="157">
        <f t="shared" si="74"/>
        <v>6.2460961898813238E-4</v>
      </c>
      <c r="AW129" s="138">
        <f t="shared" si="75"/>
        <v>0.35</v>
      </c>
      <c r="AX129" s="139">
        <f t="shared" si="76"/>
        <v>1E-4</v>
      </c>
      <c r="BC129" s="109"/>
    </row>
    <row r="130" spans="1:55" s="167" customFormat="1" x14ac:dyDescent="0.25">
      <c r="A130" s="167" t="s">
        <v>172</v>
      </c>
      <c r="B130" s="167" t="s">
        <v>155</v>
      </c>
      <c r="C130" s="167" t="s">
        <v>183</v>
      </c>
      <c r="D130" s="167" t="s">
        <v>174</v>
      </c>
      <c r="E130" s="167" t="s">
        <v>105</v>
      </c>
      <c r="F130" s="167" t="str">
        <f>INDEX('Rate Design (Consol)'!$B$48:$B$66,MATCH('Bill Impact Detail'!G130,'Rate Design (Consol)'!$C$48:$C$66,0))</f>
        <v>GS-4</v>
      </c>
      <c r="G130" s="167" t="s">
        <v>14</v>
      </c>
      <c r="H130" s="167" t="str">
        <f>INDEX('Rate Design (Consol)'!$D$48:$D$66,MATCH('Bill Impact Detail'!I130,'Rate Design (Consol)'!$E$48:$E$66,0))</f>
        <v>GS-4</v>
      </c>
      <c r="I130" s="167" t="str">
        <f t="shared" si="72"/>
        <v>General Service - 4</v>
      </c>
      <c r="J130" s="167" t="str">
        <f>VLOOKUP(I130,'Rate Design (Consol)'!$E$48:$F$66,2,FALSE)</f>
        <v>&gt; 10,000 &lt; = 50,000</v>
      </c>
      <c r="K130" s="169" t="str">
        <f t="shared" si="39"/>
        <v>CFG-CFG - Firm Transportation Service - 5-GS-4</v>
      </c>
      <c r="L130" s="169">
        <v>8</v>
      </c>
      <c r="M130" s="169" t="s">
        <v>257</v>
      </c>
      <c r="N130" s="138">
        <f>VLOOKUP(K130,'G2-8 Summary'!J:O,6,FALSE)</f>
        <v>29117</v>
      </c>
      <c r="O130" s="63">
        <f>INDEX('G2-8 Summary'!S:S,MATCH('Bill Impact Detail'!K130,'G2-8 Summary'!J:J,0))</f>
        <v>380</v>
      </c>
      <c r="P130" s="63">
        <f>SUMIFS('Rate Design (Consol)'!K:K,'Rate Design (Consol)'!A:A,M130,'Rate Design (Consol)'!D:D,H130)</f>
        <v>275</v>
      </c>
      <c r="Q130" s="63"/>
      <c r="R130" s="142">
        <f t="shared" si="50"/>
        <v>0.25567000000000001</v>
      </c>
      <c r="S130" s="141">
        <f>INDEX('G2-8 Summary'!V:V,MATCH('Bill Impact Detail'!K130,'G2-8 Summary'!J:J,0))</f>
        <v>0.1658</v>
      </c>
      <c r="T130" s="141">
        <f>SUMIFS('Rate Design (Consol)'!L:L,'Rate Design (Consol)'!A:A,M130,'Rate Design (Consol)'!D:D,H130)</f>
        <v>0.59182999999999997</v>
      </c>
      <c r="U130" s="141"/>
      <c r="W130" s="64">
        <f>VLOOKUP($K130,'G2-8 Summary'!$J:$AA,15,FALSE)</f>
        <v>8.9869999999999992E-2</v>
      </c>
      <c r="X130" s="64"/>
      <c r="Y130" s="64"/>
      <c r="Z130" s="64"/>
      <c r="AB130" s="63">
        <f t="shared" si="40"/>
        <v>4560</v>
      </c>
      <c r="AC130" s="63">
        <f t="shared" si="41"/>
        <v>4827.5986000000003</v>
      </c>
      <c r="AD130" s="63">
        <f t="shared" si="42"/>
        <v>2616.7447899999997</v>
      </c>
      <c r="AE130" s="63">
        <f t="shared" si="43"/>
        <v>0</v>
      </c>
      <c r="AF130" s="63">
        <f t="shared" si="44"/>
        <v>0</v>
      </c>
      <c r="AG130" s="63">
        <f t="shared" si="45"/>
        <v>0</v>
      </c>
      <c r="AH130" s="202">
        <f t="shared" si="46"/>
        <v>12004.343390000002</v>
      </c>
      <c r="AI130" s="138"/>
      <c r="AJ130" s="63">
        <f t="shared" si="47"/>
        <v>3300</v>
      </c>
      <c r="AK130" s="63">
        <f t="shared" si="48"/>
        <v>17232.314109999999</v>
      </c>
      <c r="AL130" s="63"/>
      <c r="AM130" s="63">
        <f t="shared" si="51"/>
        <v>0</v>
      </c>
      <c r="AN130" s="63">
        <f t="shared" si="52"/>
        <v>0</v>
      </c>
      <c r="AO130" s="63">
        <f t="shared" si="53"/>
        <v>0</v>
      </c>
      <c r="AP130" s="202">
        <f t="shared" si="73"/>
        <v>20532.314109999999</v>
      </c>
      <c r="AQ130" s="63">
        <f t="shared" si="77"/>
        <v>8527.9707199999975</v>
      </c>
      <c r="AR130" s="157">
        <f t="shared" si="54"/>
        <v>0.71040709541048841</v>
      </c>
      <c r="AT130" s="111">
        <f>VLOOKUP(K130,'G2-8 Summary'!J:P,7,FALSE)</f>
        <v>27</v>
      </c>
      <c r="AU130" s="157">
        <f t="shared" si="74"/>
        <v>1.935483870967742E-2</v>
      </c>
      <c r="AW130" s="138">
        <f t="shared" si="75"/>
        <v>165.06</v>
      </c>
      <c r="AX130" s="139">
        <f t="shared" si="76"/>
        <v>1.37E-2</v>
      </c>
      <c r="BC130" s="109"/>
    </row>
    <row r="131" spans="1:55" s="167" customFormat="1" x14ac:dyDescent="0.25">
      <c r="A131" s="167" t="s">
        <v>172</v>
      </c>
      <c r="B131" s="167" t="s">
        <v>155</v>
      </c>
      <c r="C131" s="167" t="s">
        <v>183</v>
      </c>
      <c r="D131" s="167" t="s">
        <v>174</v>
      </c>
      <c r="E131" s="167" t="s">
        <v>105</v>
      </c>
      <c r="F131" s="167" t="str">
        <f>INDEX('Rate Design (Consol)'!$B$48:$B$66,MATCH('Bill Impact Detail'!G131,'Rate Design (Consol)'!$C$48:$C$66,0))</f>
        <v>GS-5</v>
      </c>
      <c r="G131" s="167" t="s">
        <v>15</v>
      </c>
      <c r="H131" s="167" t="str">
        <f>INDEX('Rate Design (Consol)'!$D$48:$D$66,MATCH('Bill Impact Detail'!I131,'Rate Design (Consol)'!$E$48:$E$66,0))</f>
        <v>GS-5</v>
      </c>
      <c r="I131" s="167" t="str">
        <f t="shared" si="72"/>
        <v>General Service - 5</v>
      </c>
      <c r="J131" s="167" t="str">
        <f>VLOOKUP(I131,'Rate Design (Consol)'!$E$48:$F$66,2,FALSE)</f>
        <v>&gt; 50,000 &lt; = 250,000</v>
      </c>
      <c r="K131" s="169" t="str">
        <f t="shared" si="39"/>
        <v>CFG-CFG - Firm Transportation Service - 5-GS-5</v>
      </c>
      <c r="L131" s="169">
        <v>9</v>
      </c>
      <c r="M131" s="169" t="s">
        <v>257</v>
      </c>
      <c r="N131" s="138">
        <f>VLOOKUP(K131,'G2-8 Summary'!J:O,6,FALSE)</f>
        <v>60296</v>
      </c>
      <c r="O131" s="63">
        <f>INDEX('G2-8 Summary'!S:S,MATCH('Bill Impact Detail'!K131,'G2-8 Summary'!J:J,0))</f>
        <v>380</v>
      </c>
      <c r="P131" s="63">
        <f>SUMIFS('Rate Design (Consol)'!K:K,'Rate Design (Consol)'!A:A,M131,'Rate Design (Consol)'!D:D,H131)</f>
        <v>750</v>
      </c>
      <c r="Q131" s="63"/>
      <c r="R131" s="142">
        <f t="shared" si="50"/>
        <v>0.25567000000000001</v>
      </c>
      <c r="S131" s="141">
        <f>INDEX('G2-8 Summary'!V:V,MATCH('Bill Impact Detail'!K131,'G2-8 Summary'!J:J,0))</f>
        <v>0.1658</v>
      </c>
      <c r="T131" s="141">
        <f>SUMIFS('Rate Design (Consol)'!L:L,'Rate Design (Consol)'!A:A,M131,'Rate Design (Consol)'!D:D,H131)</f>
        <v>0.52</v>
      </c>
      <c r="U131" s="141"/>
      <c r="W131" s="64">
        <f>VLOOKUP($K131,'G2-8 Summary'!$J:$AA,15,FALSE)</f>
        <v>8.9869999999999992E-2</v>
      </c>
      <c r="X131" s="64"/>
      <c r="Y131" s="64"/>
      <c r="Z131" s="64"/>
      <c r="AB131" s="63">
        <f t="shared" si="40"/>
        <v>4560</v>
      </c>
      <c r="AC131" s="63">
        <f t="shared" si="41"/>
        <v>9997.0768000000007</v>
      </c>
      <c r="AD131" s="63">
        <f t="shared" si="42"/>
        <v>5418.8015199999991</v>
      </c>
      <c r="AE131" s="63">
        <f t="shared" si="43"/>
        <v>0</v>
      </c>
      <c r="AF131" s="63">
        <f t="shared" si="44"/>
        <v>0</v>
      </c>
      <c r="AG131" s="63">
        <f t="shared" si="45"/>
        <v>0</v>
      </c>
      <c r="AH131" s="202">
        <f t="shared" si="46"/>
        <v>19975.87832</v>
      </c>
      <c r="AI131" s="138"/>
      <c r="AJ131" s="63">
        <f t="shared" si="47"/>
        <v>9000</v>
      </c>
      <c r="AK131" s="63">
        <f t="shared" si="48"/>
        <v>31353.920000000002</v>
      </c>
      <c r="AL131" s="63"/>
      <c r="AM131" s="63">
        <f t="shared" si="51"/>
        <v>0</v>
      </c>
      <c r="AN131" s="63">
        <f t="shared" si="52"/>
        <v>0</v>
      </c>
      <c r="AO131" s="63">
        <f t="shared" si="53"/>
        <v>0</v>
      </c>
      <c r="AP131" s="202">
        <f t="shared" si="73"/>
        <v>40353.919999999998</v>
      </c>
      <c r="AQ131" s="63">
        <f t="shared" si="77"/>
        <v>20378.041679999998</v>
      </c>
      <c r="AR131" s="157">
        <f t="shared" si="54"/>
        <v>1.0201324494251325</v>
      </c>
      <c r="AT131" s="111">
        <f>VLOOKUP(K131,'G2-8 Summary'!J:P,7,FALSE)</f>
        <v>4</v>
      </c>
      <c r="AU131" s="157">
        <f t="shared" si="74"/>
        <v>3.5398230088495575E-2</v>
      </c>
      <c r="AW131" s="138">
        <f t="shared" si="75"/>
        <v>721.35</v>
      </c>
      <c r="AX131" s="139">
        <f t="shared" si="76"/>
        <v>3.61E-2</v>
      </c>
      <c r="BC131" s="109"/>
    </row>
    <row r="132" spans="1:55" s="167" customFormat="1" x14ac:dyDescent="0.25">
      <c r="A132" s="167" t="s">
        <v>172</v>
      </c>
      <c r="B132" s="167" t="s">
        <v>155</v>
      </c>
      <c r="C132" s="167" t="s">
        <v>183</v>
      </c>
      <c r="D132" s="167" t="s">
        <v>174</v>
      </c>
      <c r="E132" s="167" t="s">
        <v>105</v>
      </c>
      <c r="F132" s="167" t="str">
        <f>INDEX('Rate Design (Consol)'!$B$48:$B$66,MATCH('Bill Impact Detail'!G132,'Rate Design (Consol)'!$C$48:$C$66,0))</f>
        <v>GS-1</v>
      </c>
      <c r="G132" s="167" t="s">
        <v>11</v>
      </c>
      <c r="H132" s="167" t="str">
        <f>INDEX('Rate Design (Consol)'!$D$48:$D$66,MATCH('Bill Impact Detail'!I132,'Rate Design (Consol)'!$E$48:$E$66,0))</f>
        <v>GS-1</v>
      </c>
      <c r="I132" s="167" t="str">
        <f t="shared" si="72"/>
        <v>General Service - 1</v>
      </c>
      <c r="J132" s="167" t="str">
        <f>VLOOKUP(I132,'Rate Design (Consol)'!$E$48:$F$66,2,FALSE)</f>
        <v>&lt; = 1000</v>
      </c>
      <c r="K132" s="169" t="str">
        <f t="shared" si="39"/>
        <v>CFG-CFG - Firm Transportation Service - 5-GS-1</v>
      </c>
      <c r="L132" s="169">
        <v>5</v>
      </c>
      <c r="M132" s="169" t="s">
        <v>257</v>
      </c>
      <c r="N132" s="138">
        <f>VLOOKUP(K132,'G2-8 Summary'!J:O,6,FALSE)</f>
        <v>707</v>
      </c>
      <c r="O132" s="63">
        <f>INDEX('G2-8 Summary'!S:S,MATCH('Bill Impact Detail'!K132,'G2-8 Summary'!J:J,0))</f>
        <v>380</v>
      </c>
      <c r="P132" s="63">
        <f>SUMIFS('Rate Design (Consol)'!K:K,'Rate Design (Consol)'!A:A,M132,'Rate Design (Consol)'!D:D,H132)</f>
        <v>40</v>
      </c>
      <c r="Q132" s="63"/>
      <c r="R132" s="142">
        <f t="shared" si="50"/>
        <v>0.25567000000000001</v>
      </c>
      <c r="S132" s="141">
        <f>INDEX('G2-8 Summary'!V:V,MATCH('Bill Impact Detail'!K132,'G2-8 Summary'!J:J,0))</f>
        <v>0.1658</v>
      </c>
      <c r="T132" s="141">
        <f>SUMIFS('Rate Design (Consol)'!L:L,'Rate Design (Consol)'!A:A,M132,'Rate Design (Consol)'!D:D,H132)</f>
        <v>0.70123999999999997</v>
      </c>
      <c r="U132" s="141"/>
      <c r="W132" s="64">
        <f>VLOOKUP($K132,'G2-8 Summary'!$J:$AA,15,FALSE)</f>
        <v>8.9869999999999992E-2</v>
      </c>
      <c r="X132" s="64"/>
      <c r="Y132" s="64"/>
      <c r="Z132" s="64"/>
      <c r="AB132" s="63">
        <f t="shared" si="40"/>
        <v>4560</v>
      </c>
      <c r="AC132" s="63">
        <f t="shared" si="41"/>
        <v>117.2206</v>
      </c>
      <c r="AD132" s="63">
        <f t="shared" si="42"/>
        <v>63.538089999999997</v>
      </c>
      <c r="AE132" s="63">
        <f t="shared" si="43"/>
        <v>0</v>
      </c>
      <c r="AF132" s="63">
        <f t="shared" si="44"/>
        <v>0</v>
      </c>
      <c r="AG132" s="63">
        <f t="shared" si="45"/>
        <v>0</v>
      </c>
      <c r="AH132" s="202">
        <f t="shared" si="46"/>
        <v>4740.7586899999997</v>
      </c>
      <c r="AI132" s="138"/>
      <c r="AJ132" s="63">
        <f t="shared" si="47"/>
        <v>480</v>
      </c>
      <c r="AK132" s="63">
        <f t="shared" si="48"/>
        <v>495.77668</v>
      </c>
      <c r="AL132" s="63"/>
      <c r="AM132" s="63">
        <f t="shared" si="51"/>
        <v>0</v>
      </c>
      <c r="AN132" s="63">
        <f t="shared" si="52"/>
        <v>0</v>
      </c>
      <c r="AO132" s="63">
        <f t="shared" si="53"/>
        <v>0</v>
      </c>
      <c r="AP132" s="202">
        <f t="shared" si="73"/>
        <v>975.77667999999994</v>
      </c>
      <c r="AQ132" s="63">
        <f t="shared" si="77"/>
        <v>-3764.9820099999997</v>
      </c>
      <c r="AR132" s="157">
        <f t="shared" si="54"/>
        <v>-0.79417288585933066</v>
      </c>
      <c r="AT132" s="111">
        <f>VLOOKUP(K132,'G2-8 Summary'!J:P,7,FALSE)</f>
        <v>2</v>
      </c>
      <c r="AU132" s="157">
        <f t="shared" si="74"/>
        <v>9.4206311822892137E-4</v>
      </c>
      <c r="AW132" s="138">
        <f t="shared" si="75"/>
        <v>-3.55</v>
      </c>
      <c r="AX132" s="139">
        <f t="shared" si="76"/>
        <v>-6.9999999999999999E-4</v>
      </c>
      <c r="BC132" s="109"/>
    </row>
    <row r="133" spans="1:55" s="167" customFormat="1" x14ac:dyDescent="0.25">
      <c r="A133" s="167" t="s">
        <v>172</v>
      </c>
      <c r="B133" s="167" t="s">
        <v>155</v>
      </c>
      <c r="C133" s="167" t="s">
        <v>184</v>
      </c>
      <c r="D133" s="167" t="s">
        <v>174</v>
      </c>
      <c r="E133" s="167" t="s">
        <v>110</v>
      </c>
      <c r="F133" s="167" t="str">
        <f>INDEX('Rate Design (Consol)'!$B$48:$B$66,MATCH('Bill Impact Detail'!G133,'Rate Design (Consol)'!$C$48:$C$66,0))</f>
        <v>GS-2</v>
      </c>
      <c r="G133" s="167" t="s">
        <v>12</v>
      </c>
      <c r="H133" s="167" t="str">
        <f>INDEX('Rate Design (Consol)'!$D$48:$D$66,MATCH('Bill Impact Detail'!I133,'Rate Design (Consol)'!$E$48:$E$66,0))</f>
        <v>GS-2</v>
      </c>
      <c r="I133" s="167" t="str">
        <f t="shared" si="72"/>
        <v>General Service - 2</v>
      </c>
      <c r="J133" s="167" t="str">
        <f>VLOOKUP(I133,'Rate Design (Consol)'!$E$48:$F$66,2,FALSE)</f>
        <v>&gt; 1000 &lt; = 5,000</v>
      </c>
      <c r="K133" s="169" t="str">
        <f t="shared" si="39"/>
        <v>CFG-CFG - Firm Transportation Service - 6-GS-2</v>
      </c>
      <c r="L133" s="169">
        <v>6</v>
      </c>
      <c r="M133" s="169" t="s">
        <v>257</v>
      </c>
      <c r="N133" s="138">
        <f>VLOOKUP(K133,'G2-8 Summary'!J:O,6,FALSE)</f>
        <v>3857</v>
      </c>
      <c r="O133" s="63">
        <f>INDEX('G2-8 Summary'!S:S,MATCH('Bill Impact Detail'!K133,'G2-8 Summary'!J:J,0))</f>
        <v>600</v>
      </c>
      <c r="P133" s="63">
        <f>SUMIFS('Rate Design (Consol)'!K:K,'Rate Design (Consol)'!A:A,M133,'Rate Design (Consol)'!D:D,H133)</f>
        <v>70</v>
      </c>
      <c r="Q133" s="63"/>
      <c r="R133" s="142">
        <f t="shared" si="50"/>
        <v>0.20905000000000001</v>
      </c>
      <c r="S133" s="141">
        <f>INDEX('G2-8 Summary'!V:V,MATCH('Bill Impact Detail'!K133,'G2-8 Summary'!J:J,0))</f>
        <v>0.15137</v>
      </c>
      <c r="T133" s="141">
        <f>SUMIFS('Rate Design (Consol)'!L:L,'Rate Design (Consol)'!A:A,M133,'Rate Design (Consol)'!D:D,H133)</f>
        <v>0.69901999999999997</v>
      </c>
      <c r="U133" s="141"/>
      <c r="W133" s="64">
        <f>VLOOKUP($K133,'G2-8 Summary'!$J:$AA,15,FALSE)</f>
        <v>5.7680000000000009E-2</v>
      </c>
      <c r="X133" s="64"/>
      <c r="Y133" s="64"/>
      <c r="Z133" s="64"/>
      <c r="AB133" s="63">
        <f t="shared" si="40"/>
        <v>7200</v>
      </c>
      <c r="AC133" s="63">
        <f t="shared" si="41"/>
        <v>583.83409000000006</v>
      </c>
      <c r="AD133" s="63">
        <f t="shared" si="42"/>
        <v>222.47176000000005</v>
      </c>
      <c r="AE133" s="63">
        <f t="shared" si="43"/>
        <v>0</v>
      </c>
      <c r="AF133" s="63">
        <f t="shared" si="44"/>
        <v>0</v>
      </c>
      <c r="AG133" s="63">
        <f t="shared" si="45"/>
        <v>0</v>
      </c>
      <c r="AH133" s="202">
        <f t="shared" si="46"/>
        <v>8006.3058500000006</v>
      </c>
      <c r="AI133" s="138"/>
      <c r="AJ133" s="63">
        <f t="shared" si="47"/>
        <v>840</v>
      </c>
      <c r="AK133" s="63">
        <f t="shared" si="48"/>
        <v>2696.12014</v>
      </c>
      <c r="AL133" s="63"/>
      <c r="AM133" s="63">
        <f t="shared" si="51"/>
        <v>0</v>
      </c>
      <c r="AN133" s="63">
        <f t="shared" si="52"/>
        <v>0</v>
      </c>
      <c r="AO133" s="63">
        <f t="shared" si="53"/>
        <v>0</v>
      </c>
      <c r="AP133" s="202">
        <f t="shared" si="73"/>
        <v>3536.12014</v>
      </c>
      <c r="AQ133" s="63">
        <f t="shared" si="77"/>
        <v>-4470.1857100000007</v>
      </c>
      <c r="AR133" s="157">
        <f t="shared" si="54"/>
        <v>-0.55833311813837339</v>
      </c>
      <c r="AT133" s="111">
        <f>VLOOKUP(K133,'G2-8 Summary'!J:P,7,FALSE)</f>
        <v>2</v>
      </c>
      <c r="AU133" s="157">
        <f t="shared" si="74"/>
        <v>8.0840743734842356E-4</v>
      </c>
      <c r="AW133" s="138">
        <f t="shared" si="75"/>
        <v>-3.61</v>
      </c>
      <c r="AX133" s="139">
        <f t="shared" si="76"/>
        <v>-5.0000000000000001E-4</v>
      </c>
      <c r="BC133" s="109"/>
    </row>
    <row r="134" spans="1:55" s="167" customFormat="1" x14ac:dyDescent="0.25">
      <c r="A134" s="167" t="s">
        <v>172</v>
      </c>
      <c r="B134" s="167" t="s">
        <v>155</v>
      </c>
      <c r="C134" s="167" t="s">
        <v>184</v>
      </c>
      <c r="D134" s="167" t="s">
        <v>174</v>
      </c>
      <c r="E134" s="167" t="s">
        <v>110</v>
      </c>
      <c r="F134" s="167" t="str">
        <f>INDEX('Rate Design (Consol)'!$B$48:$B$66,MATCH('Bill Impact Detail'!G134,'Rate Design (Consol)'!$C$48:$C$66,0))</f>
        <v>GS-3</v>
      </c>
      <c r="G134" s="167" t="s">
        <v>13</v>
      </c>
      <c r="H134" s="167" t="str">
        <f>INDEX('Rate Design (Consol)'!$D$48:$D$66,MATCH('Bill Impact Detail'!I134,'Rate Design (Consol)'!$E$48:$E$66,0))</f>
        <v>GS-3</v>
      </c>
      <c r="I134" s="167" t="str">
        <f t="shared" si="72"/>
        <v>General Service - 3</v>
      </c>
      <c r="J134" s="167" t="str">
        <f>VLOOKUP(I134,'Rate Design (Consol)'!$E$48:$F$66,2,FALSE)</f>
        <v>&gt; 5,000 &lt; = 10,000</v>
      </c>
      <c r="K134" s="169" t="str">
        <f t="shared" si="39"/>
        <v>CFG-CFG - Firm Transportation Service - 6-GS-3</v>
      </c>
      <c r="L134" s="169">
        <v>7</v>
      </c>
      <c r="M134" s="169" t="s">
        <v>257</v>
      </c>
      <c r="N134" s="138">
        <f>VLOOKUP(K134,'G2-8 Summary'!J:O,6,FALSE)</f>
        <v>6530</v>
      </c>
      <c r="O134" s="63">
        <f>INDEX('G2-8 Summary'!S:S,MATCH('Bill Impact Detail'!K134,'G2-8 Summary'!J:J,0))</f>
        <v>600</v>
      </c>
      <c r="P134" s="63">
        <f>SUMIFS('Rate Design (Consol)'!K:K,'Rate Design (Consol)'!A:A,M134,'Rate Design (Consol)'!D:D,H134)</f>
        <v>150</v>
      </c>
      <c r="Q134" s="63"/>
      <c r="R134" s="142">
        <f t="shared" si="50"/>
        <v>0.20905000000000001</v>
      </c>
      <c r="S134" s="141">
        <f>INDEX('G2-8 Summary'!V:V,MATCH('Bill Impact Detail'!K134,'G2-8 Summary'!J:J,0))</f>
        <v>0.15137</v>
      </c>
      <c r="T134" s="141">
        <f>SUMIFS('Rate Design (Consol)'!L:L,'Rate Design (Consol)'!A:A,M134,'Rate Design (Consol)'!D:D,H134)</f>
        <v>0.62475000000000003</v>
      </c>
      <c r="U134" s="141"/>
      <c r="W134" s="64">
        <f>VLOOKUP($K134,'G2-8 Summary'!$J:$AA,15,FALSE)</f>
        <v>5.7680000000000009E-2</v>
      </c>
      <c r="X134" s="64"/>
      <c r="Y134" s="64"/>
      <c r="Z134" s="64"/>
      <c r="AB134" s="63">
        <f t="shared" si="40"/>
        <v>7200</v>
      </c>
      <c r="AC134" s="63">
        <f t="shared" si="41"/>
        <v>988.4461</v>
      </c>
      <c r="AD134" s="63">
        <f t="shared" si="42"/>
        <v>376.65040000000005</v>
      </c>
      <c r="AE134" s="63">
        <f t="shared" si="43"/>
        <v>0</v>
      </c>
      <c r="AF134" s="63">
        <f t="shared" si="44"/>
        <v>0</v>
      </c>
      <c r="AG134" s="63">
        <f t="shared" si="45"/>
        <v>0</v>
      </c>
      <c r="AH134" s="202">
        <f t="shared" si="46"/>
        <v>8565.0964999999997</v>
      </c>
      <c r="AI134" s="138"/>
      <c r="AJ134" s="63">
        <f t="shared" si="47"/>
        <v>1800</v>
      </c>
      <c r="AK134" s="63">
        <f t="shared" si="48"/>
        <v>4079.6175000000003</v>
      </c>
      <c r="AL134" s="63"/>
      <c r="AM134" s="63">
        <f t="shared" si="51"/>
        <v>0</v>
      </c>
      <c r="AN134" s="63">
        <f t="shared" si="52"/>
        <v>0</v>
      </c>
      <c r="AO134" s="63">
        <f t="shared" si="53"/>
        <v>0</v>
      </c>
      <c r="AP134" s="202">
        <f t="shared" si="73"/>
        <v>5879.6175000000003</v>
      </c>
      <c r="AQ134" s="63">
        <f t="shared" si="77"/>
        <v>-2685.4789999999994</v>
      </c>
      <c r="AR134" s="157">
        <f t="shared" si="54"/>
        <v>-0.31353750655348711</v>
      </c>
      <c r="AT134" s="111">
        <f>VLOOKUP(K134,'G2-8 Summary'!J:P,7,FALSE)</f>
        <v>4</v>
      </c>
      <c r="AU134" s="157">
        <f t="shared" si="74"/>
        <v>2.4984384759525295E-3</v>
      </c>
      <c r="AW134" s="138">
        <f t="shared" si="75"/>
        <v>-6.71</v>
      </c>
      <c r="AX134" s="139">
        <f t="shared" si="76"/>
        <v>-8.0000000000000004E-4</v>
      </c>
      <c r="BC134" s="109"/>
    </row>
    <row r="135" spans="1:55" s="167" customFormat="1" x14ac:dyDescent="0.25">
      <c r="A135" s="167" t="s">
        <v>172</v>
      </c>
      <c r="B135" s="167" t="s">
        <v>155</v>
      </c>
      <c r="C135" s="167" t="s">
        <v>184</v>
      </c>
      <c r="D135" s="167" t="s">
        <v>174</v>
      </c>
      <c r="E135" s="167" t="s">
        <v>110</v>
      </c>
      <c r="F135" s="167" t="str">
        <f>INDEX('Rate Design (Consol)'!$B$48:$B$66,MATCH('Bill Impact Detail'!G135,'Rate Design (Consol)'!$C$48:$C$66,0))</f>
        <v>GS-4</v>
      </c>
      <c r="G135" s="167" t="s">
        <v>14</v>
      </c>
      <c r="H135" s="167" t="str">
        <f>INDEX('Rate Design (Consol)'!$D$48:$D$66,MATCH('Bill Impact Detail'!I135,'Rate Design (Consol)'!$E$48:$E$66,0))</f>
        <v>GS-4</v>
      </c>
      <c r="I135" s="167" t="str">
        <f t="shared" si="72"/>
        <v>General Service - 4</v>
      </c>
      <c r="J135" s="167" t="str">
        <f>VLOOKUP(I135,'Rate Design (Consol)'!$E$48:$F$66,2,FALSE)</f>
        <v>&gt; 10,000 &lt; = 50,000</v>
      </c>
      <c r="K135" s="169" t="str">
        <f t="shared" si="39"/>
        <v>CFG-CFG - Firm Transportation Service - 6-GS-4</v>
      </c>
      <c r="L135" s="169">
        <v>8</v>
      </c>
      <c r="M135" s="169" t="s">
        <v>257</v>
      </c>
      <c r="N135" s="138">
        <f>VLOOKUP(K135,'G2-8 Summary'!J:O,6,FALSE)</f>
        <v>41456</v>
      </c>
      <c r="O135" s="63">
        <f>INDEX('G2-8 Summary'!S:S,MATCH('Bill Impact Detail'!K135,'G2-8 Summary'!J:J,0))</f>
        <v>600</v>
      </c>
      <c r="P135" s="63">
        <f>SUMIFS('Rate Design (Consol)'!K:K,'Rate Design (Consol)'!A:A,M135,'Rate Design (Consol)'!D:D,H135)</f>
        <v>275</v>
      </c>
      <c r="Q135" s="63"/>
      <c r="R135" s="142">
        <f t="shared" si="50"/>
        <v>0.20905000000000001</v>
      </c>
      <c r="S135" s="141">
        <f>INDEX('G2-8 Summary'!V:V,MATCH('Bill Impact Detail'!K135,'G2-8 Summary'!J:J,0))</f>
        <v>0.15137</v>
      </c>
      <c r="T135" s="141">
        <f>SUMIFS('Rate Design (Consol)'!L:L,'Rate Design (Consol)'!A:A,M135,'Rate Design (Consol)'!D:D,H135)</f>
        <v>0.59182999999999997</v>
      </c>
      <c r="U135" s="141"/>
      <c r="W135" s="64">
        <f>VLOOKUP($K135,'G2-8 Summary'!$J:$AA,15,FALSE)</f>
        <v>5.7680000000000009E-2</v>
      </c>
      <c r="X135" s="64"/>
      <c r="Y135" s="64"/>
      <c r="Z135" s="64"/>
      <c r="AB135" s="63">
        <f t="shared" si="40"/>
        <v>7200</v>
      </c>
      <c r="AC135" s="63">
        <f t="shared" si="41"/>
        <v>6275.1947200000004</v>
      </c>
      <c r="AD135" s="63">
        <f t="shared" si="42"/>
        <v>2391.1820800000005</v>
      </c>
      <c r="AE135" s="63">
        <f t="shared" si="43"/>
        <v>0</v>
      </c>
      <c r="AF135" s="63">
        <f t="shared" si="44"/>
        <v>0</v>
      </c>
      <c r="AG135" s="63">
        <f t="shared" si="45"/>
        <v>0</v>
      </c>
      <c r="AH135" s="202">
        <f t="shared" si="46"/>
        <v>15866.3768</v>
      </c>
      <c r="AI135" s="138"/>
      <c r="AJ135" s="63">
        <f t="shared" si="47"/>
        <v>3300</v>
      </c>
      <c r="AK135" s="63">
        <f t="shared" si="48"/>
        <v>24534.904479999997</v>
      </c>
      <c r="AL135" s="63"/>
      <c r="AM135" s="63">
        <f t="shared" si="51"/>
        <v>0</v>
      </c>
      <c r="AN135" s="63">
        <f t="shared" si="52"/>
        <v>0</v>
      </c>
      <c r="AO135" s="63">
        <f t="shared" si="53"/>
        <v>0</v>
      </c>
      <c r="AP135" s="202">
        <f t="shared" si="73"/>
        <v>27834.904479999997</v>
      </c>
      <c r="AQ135" s="63">
        <f t="shared" si="77"/>
        <v>11968.527679999997</v>
      </c>
      <c r="AR135" s="157">
        <f t="shared" si="54"/>
        <v>0.75433275226389418</v>
      </c>
      <c r="AT135" s="111">
        <f>VLOOKUP(K135,'G2-8 Summary'!J:P,7,FALSE)</f>
        <v>9</v>
      </c>
      <c r="AU135" s="157">
        <f t="shared" ref="AU135:AU165" si="78">AT135/SUMIFS(AT:AT,G:G,G135,M:M,M135)</f>
        <v>6.4516129032258064E-3</v>
      </c>
      <c r="AW135" s="138">
        <f t="shared" ref="AW135:AW165" si="79">ROUND(AQ135*AU135,2)</f>
        <v>77.22</v>
      </c>
      <c r="AX135" s="139">
        <f t="shared" ref="AX135:AX165" si="80">ROUND(AR135*AU135,4)</f>
        <v>4.8999999999999998E-3</v>
      </c>
      <c r="BC135" s="109"/>
    </row>
    <row r="136" spans="1:55" s="167" customFormat="1" x14ac:dyDescent="0.25">
      <c r="A136" s="167" t="s">
        <v>172</v>
      </c>
      <c r="B136" s="167" t="s">
        <v>155</v>
      </c>
      <c r="C136" s="167" t="s">
        <v>184</v>
      </c>
      <c r="D136" s="167" t="s">
        <v>174</v>
      </c>
      <c r="E136" s="167" t="s">
        <v>110</v>
      </c>
      <c r="F136" s="167" t="str">
        <f>INDEX('Rate Design (Consol)'!$B$48:$B$66,MATCH('Bill Impact Detail'!G136,'Rate Design (Consol)'!$C$48:$C$66,0))</f>
        <v>GS-5</v>
      </c>
      <c r="G136" s="167" t="s">
        <v>15</v>
      </c>
      <c r="H136" s="167" t="str">
        <f>INDEX('Rate Design (Consol)'!$D$48:$D$66,MATCH('Bill Impact Detail'!I136,'Rate Design (Consol)'!$E$48:$E$66,0))</f>
        <v>GS-5</v>
      </c>
      <c r="I136" s="167" t="str">
        <f t="shared" si="72"/>
        <v>General Service - 5</v>
      </c>
      <c r="J136" s="167" t="str">
        <f>VLOOKUP(I136,'Rate Design (Consol)'!$E$48:$F$66,2,FALSE)</f>
        <v>&gt; 50,000 &lt; = 250,000</v>
      </c>
      <c r="K136" s="169" t="str">
        <f t="shared" si="39"/>
        <v>CFG-CFG - Firm Transportation Service - 6-GS-5</v>
      </c>
      <c r="L136" s="169">
        <v>9</v>
      </c>
      <c r="M136" s="169" t="s">
        <v>257</v>
      </c>
      <c r="N136" s="138">
        <f>VLOOKUP(K136,'G2-8 Summary'!J:O,6,FALSE)</f>
        <v>106491</v>
      </c>
      <c r="O136" s="63">
        <f>INDEX('G2-8 Summary'!S:S,MATCH('Bill Impact Detail'!K136,'G2-8 Summary'!J:J,0))</f>
        <v>600</v>
      </c>
      <c r="P136" s="63">
        <f>SUMIFS('Rate Design (Consol)'!K:K,'Rate Design (Consol)'!A:A,M136,'Rate Design (Consol)'!D:D,H136)</f>
        <v>750</v>
      </c>
      <c r="Q136" s="63"/>
      <c r="R136" s="142">
        <f t="shared" si="50"/>
        <v>0.20905000000000001</v>
      </c>
      <c r="S136" s="141">
        <f>INDEX('G2-8 Summary'!V:V,MATCH('Bill Impact Detail'!K136,'G2-8 Summary'!J:J,0))</f>
        <v>0.15137</v>
      </c>
      <c r="T136" s="141">
        <f>SUMIFS('Rate Design (Consol)'!L:L,'Rate Design (Consol)'!A:A,M136,'Rate Design (Consol)'!D:D,H136)</f>
        <v>0.52</v>
      </c>
      <c r="U136" s="141"/>
      <c r="W136" s="64">
        <f>VLOOKUP($K136,'G2-8 Summary'!$J:$AA,15,FALSE)</f>
        <v>5.7680000000000009E-2</v>
      </c>
      <c r="X136" s="64"/>
      <c r="Y136" s="64"/>
      <c r="Z136" s="64"/>
      <c r="AB136" s="63">
        <f t="shared" si="40"/>
        <v>7200</v>
      </c>
      <c r="AC136" s="63">
        <f t="shared" si="41"/>
        <v>16119.542670000001</v>
      </c>
      <c r="AD136" s="63">
        <f t="shared" si="42"/>
        <v>6142.4008800000011</v>
      </c>
      <c r="AE136" s="63">
        <f t="shared" si="43"/>
        <v>0</v>
      </c>
      <c r="AF136" s="63">
        <f t="shared" si="44"/>
        <v>0</v>
      </c>
      <c r="AG136" s="63">
        <f t="shared" si="45"/>
        <v>0</v>
      </c>
      <c r="AH136" s="202">
        <f t="shared" si="46"/>
        <v>29461.943550000004</v>
      </c>
      <c r="AI136" s="138"/>
      <c r="AJ136" s="63">
        <f t="shared" si="47"/>
        <v>9000</v>
      </c>
      <c r="AK136" s="63">
        <f t="shared" si="48"/>
        <v>55375.32</v>
      </c>
      <c r="AL136" s="63"/>
      <c r="AM136" s="63">
        <f t="shared" si="51"/>
        <v>0</v>
      </c>
      <c r="AN136" s="63">
        <f t="shared" si="52"/>
        <v>0</v>
      </c>
      <c r="AO136" s="63">
        <f t="shared" si="53"/>
        <v>0</v>
      </c>
      <c r="AP136" s="202">
        <f t="shared" si="73"/>
        <v>64375.32</v>
      </c>
      <c r="AQ136" s="63">
        <f t="shared" si="77"/>
        <v>34913.376449999996</v>
      </c>
      <c r="AR136" s="157">
        <f t="shared" si="54"/>
        <v>1.1850330373061893</v>
      </c>
      <c r="AT136" s="111">
        <f>VLOOKUP(K136,'G2-8 Summary'!J:P,7,FALSE)</f>
        <v>13</v>
      </c>
      <c r="AU136" s="157">
        <f t="shared" si="78"/>
        <v>0.11504424778761062</v>
      </c>
      <c r="AW136" s="138">
        <f t="shared" si="79"/>
        <v>4016.58</v>
      </c>
      <c r="AX136" s="139">
        <f t="shared" si="80"/>
        <v>0.1363</v>
      </c>
      <c r="BC136" s="109"/>
    </row>
    <row r="137" spans="1:55" s="167" customFormat="1" x14ac:dyDescent="0.25">
      <c r="A137" s="167" t="s">
        <v>172</v>
      </c>
      <c r="B137" s="167" t="s">
        <v>155</v>
      </c>
      <c r="C137" s="167" t="s">
        <v>184</v>
      </c>
      <c r="D137" s="167" t="s">
        <v>174</v>
      </c>
      <c r="E137" s="167" t="s">
        <v>110</v>
      </c>
      <c r="F137" s="167" t="str">
        <f>INDEX('Rate Design (Consol)'!$B$48:$B$66,MATCH('Bill Impact Detail'!G137,'Rate Design (Consol)'!$C$48:$C$66,0))</f>
        <v>GS-7</v>
      </c>
      <c r="G137" s="167" t="s">
        <v>17</v>
      </c>
      <c r="H137" s="167" t="str">
        <f>INDEX('Rate Design (Consol)'!$D$48:$D$66,MATCH('Bill Impact Detail'!I137,'Rate Design (Consol)'!$E$48:$E$66,0))</f>
        <v>GS-7</v>
      </c>
      <c r="I137" s="167" t="str">
        <f t="shared" si="72"/>
        <v>General Service - 7</v>
      </c>
      <c r="J137" s="167" t="str">
        <f>VLOOKUP(I137,'Rate Design (Consol)'!$E$48:$F$66,2,FALSE)</f>
        <v>&gt; 500,000 &lt; = 1,000,000</v>
      </c>
      <c r="K137" s="169" t="str">
        <f t="shared" ref="K137:K165" si="81">CONCATENATE(A137,"-",E137,"-",H137)</f>
        <v>CFG-CFG - Firm Transportation Service - 6-GS-7</v>
      </c>
      <c r="L137" s="169">
        <v>11</v>
      </c>
      <c r="M137" s="169" t="s">
        <v>257</v>
      </c>
      <c r="N137" s="138">
        <f>VLOOKUP(K137,'G2-8 Summary'!J:O,6,FALSE)</f>
        <v>690294</v>
      </c>
      <c r="O137" s="63">
        <f>INDEX('G2-8 Summary'!S:S,MATCH('Bill Impact Detail'!K137,'G2-8 Summary'!J:J,0))</f>
        <v>600</v>
      </c>
      <c r="P137" s="63">
        <f>SUMIFS('Rate Design (Consol)'!K:K,'Rate Design (Consol)'!A:A,M137,'Rate Design (Consol)'!D:D,H137)</f>
        <v>4500</v>
      </c>
      <c r="Q137" s="63"/>
      <c r="R137" s="142">
        <f t="shared" si="50"/>
        <v>0.20905000000000001</v>
      </c>
      <c r="S137" s="141">
        <f>INDEX('G2-8 Summary'!V:V,MATCH('Bill Impact Detail'!K137,'G2-8 Summary'!J:J,0))</f>
        <v>0.15137</v>
      </c>
      <c r="T137" s="141">
        <f>SUMIFS('Rate Design (Consol)'!L:L,'Rate Design (Consol)'!A:A,M137,'Rate Design (Consol)'!D:D,H137)</f>
        <v>0.38796999999999998</v>
      </c>
      <c r="U137" s="141"/>
      <c r="W137" s="64">
        <f>VLOOKUP($K137,'G2-8 Summary'!$J:$AA,15,FALSE)</f>
        <v>5.7680000000000009E-2</v>
      </c>
      <c r="X137" s="64"/>
      <c r="Y137" s="64"/>
      <c r="Z137" s="64"/>
      <c r="AB137" s="63">
        <f t="shared" ref="AB137:AB165" si="82">O137*12</f>
        <v>7200</v>
      </c>
      <c r="AC137" s="63">
        <f t="shared" ref="AC137:AC165" si="83">N137*S137</f>
        <v>104489.80278</v>
      </c>
      <c r="AD137" s="63">
        <f t="shared" ref="AD137:AD165" si="84">$N137*W137</f>
        <v>39816.157920000005</v>
      </c>
      <c r="AE137" s="63">
        <f t="shared" ref="AE137:AE165" si="85">$N137*X137</f>
        <v>0</v>
      </c>
      <c r="AF137" s="63">
        <f t="shared" ref="AF137:AF165" si="86">$N137*Y137</f>
        <v>0</v>
      </c>
      <c r="AG137" s="63">
        <f t="shared" ref="AG137:AG165" si="87">$N137*Z137</f>
        <v>0</v>
      </c>
      <c r="AH137" s="202">
        <f t="shared" ref="AH137:AH165" si="88">SUM(AB137:AG137)</f>
        <v>151505.9607</v>
      </c>
      <c r="AI137" s="138"/>
      <c r="AJ137" s="63">
        <f t="shared" ref="AJ137:AJ165" si="89">P137*12</f>
        <v>54000</v>
      </c>
      <c r="AK137" s="63">
        <f t="shared" ref="AK137:AK165" si="90">N137*T137</f>
        <v>267813.36317999999</v>
      </c>
      <c r="AL137" s="63"/>
      <c r="AM137" s="63">
        <f t="shared" si="51"/>
        <v>0</v>
      </c>
      <c r="AN137" s="63">
        <f t="shared" si="52"/>
        <v>0</v>
      </c>
      <c r="AO137" s="63">
        <f t="shared" si="53"/>
        <v>0</v>
      </c>
      <c r="AP137" s="202">
        <f t="shared" si="73"/>
        <v>321813.36317999999</v>
      </c>
      <c r="AQ137" s="63">
        <f t="shared" ref="AQ137:AQ165" si="91">AP137-AH137</f>
        <v>170307.40247999999</v>
      </c>
      <c r="AR137" s="157">
        <f t="shared" si="54"/>
        <v>1.1240970433977122</v>
      </c>
      <c r="AT137" s="111">
        <f>VLOOKUP(K137,'G2-8 Summary'!J:P,7,FALSE)</f>
        <v>1</v>
      </c>
      <c r="AU137" s="157">
        <f t="shared" si="78"/>
        <v>8.3333333333333329E-2</v>
      </c>
      <c r="AW137" s="138">
        <f t="shared" si="79"/>
        <v>14192.28</v>
      </c>
      <c r="AX137" s="139">
        <f t="shared" si="80"/>
        <v>9.3700000000000006E-2</v>
      </c>
      <c r="BC137" s="109"/>
    </row>
    <row r="138" spans="1:55" s="167" customFormat="1" x14ac:dyDescent="0.25">
      <c r="A138" s="167" t="s">
        <v>172</v>
      </c>
      <c r="B138" s="167" t="s">
        <v>155</v>
      </c>
      <c r="C138" s="167" t="s">
        <v>184</v>
      </c>
      <c r="D138" s="167" t="s">
        <v>174</v>
      </c>
      <c r="E138" s="167" t="s">
        <v>110</v>
      </c>
      <c r="F138" s="167" t="str">
        <f>INDEX('Rate Design (Consol)'!$B$48:$B$66,MATCH('Bill Impact Detail'!G138,'Rate Design (Consol)'!$C$48:$C$66,0))</f>
        <v>GS-1</v>
      </c>
      <c r="G138" s="167" t="s">
        <v>11</v>
      </c>
      <c r="H138" s="167" t="str">
        <f>INDEX('Rate Design (Consol)'!$D$48:$D$66,MATCH('Bill Impact Detail'!I138,'Rate Design (Consol)'!$E$48:$E$66,0))</f>
        <v>GS-1</v>
      </c>
      <c r="I138" s="167" t="str">
        <f t="shared" si="72"/>
        <v>General Service - 1</v>
      </c>
      <c r="J138" s="167" t="str">
        <f>VLOOKUP(I138,'Rate Design (Consol)'!$E$48:$F$66,2,FALSE)</f>
        <v>&lt; = 1000</v>
      </c>
      <c r="K138" s="169" t="str">
        <f t="shared" si="81"/>
        <v>CFG-CFG - Firm Transportation Service - 6-GS-1</v>
      </c>
      <c r="L138" s="169">
        <v>5</v>
      </c>
      <c r="M138" s="169" t="s">
        <v>257</v>
      </c>
      <c r="N138" s="138">
        <f>VLOOKUP(K138,'G2-8 Summary'!J:O,6,FALSE)</f>
        <v>43</v>
      </c>
      <c r="O138" s="63">
        <f>INDEX('G2-8 Summary'!S:S,MATCH('Bill Impact Detail'!K138,'G2-8 Summary'!J:J,0))</f>
        <v>600</v>
      </c>
      <c r="P138" s="63">
        <f>SUMIFS('Rate Design (Consol)'!K:K,'Rate Design (Consol)'!A:A,M138,'Rate Design (Consol)'!D:D,H138)</f>
        <v>40</v>
      </c>
      <c r="Q138" s="63"/>
      <c r="R138" s="142">
        <f t="shared" ref="R138:R165" si="92">S138+W138</f>
        <v>0.20905000000000001</v>
      </c>
      <c r="S138" s="141">
        <f>INDEX('G2-8 Summary'!V:V,MATCH('Bill Impact Detail'!K138,'G2-8 Summary'!J:J,0))</f>
        <v>0.15137</v>
      </c>
      <c r="T138" s="141">
        <f>SUMIFS('Rate Design (Consol)'!L:L,'Rate Design (Consol)'!A:A,M138,'Rate Design (Consol)'!D:D,H138)</f>
        <v>0.70123999999999997</v>
      </c>
      <c r="U138" s="141"/>
      <c r="W138" s="64">
        <f>VLOOKUP($K138,'G2-8 Summary'!$J:$AA,15,FALSE)</f>
        <v>5.7680000000000009E-2</v>
      </c>
      <c r="X138" s="64"/>
      <c r="Y138" s="64"/>
      <c r="Z138" s="64"/>
      <c r="AB138" s="63">
        <f t="shared" si="82"/>
        <v>7200</v>
      </c>
      <c r="AC138" s="63">
        <f t="shared" si="83"/>
        <v>6.5089100000000002</v>
      </c>
      <c r="AD138" s="63">
        <f t="shared" si="84"/>
        <v>2.4802400000000002</v>
      </c>
      <c r="AE138" s="63">
        <f t="shared" si="85"/>
        <v>0</v>
      </c>
      <c r="AF138" s="63">
        <f t="shared" si="86"/>
        <v>0</v>
      </c>
      <c r="AG138" s="63">
        <f t="shared" si="87"/>
        <v>0</v>
      </c>
      <c r="AH138" s="202">
        <f t="shared" si="88"/>
        <v>7208.9891499999994</v>
      </c>
      <c r="AI138" s="138"/>
      <c r="AJ138" s="63">
        <f t="shared" si="89"/>
        <v>480</v>
      </c>
      <c r="AK138" s="63">
        <f t="shared" si="90"/>
        <v>30.153319999999997</v>
      </c>
      <c r="AL138" s="63"/>
      <c r="AM138" s="63">
        <f t="shared" ref="AM138:AM165" si="93">$N138*X138</f>
        <v>0</v>
      </c>
      <c r="AN138" s="63">
        <f t="shared" ref="AN138:AN165" si="94">$N138*Y138</f>
        <v>0</v>
      </c>
      <c r="AO138" s="63">
        <f t="shared" ref="AO138:AO165" si="95">$N138*Z138</f>
        <v>0</v>
      </c>
      <c r="AP138" s="202">
        <f t="shared" si="73"/>
        <v>510.15332000000001</v>
      </c>
      <c r="AQ138" s="63">
        <f t="shared" si="91"/>
        <v>-6698.8358299999991</v>
      </c>
      <c r="AR138" s="157">
        <f t="shared" ref="AR138:AR165" si="96">IFERROR(AQ138/AH138,0)</f>
        <v>-0.92923372342709099</v>
      </c>
      <c r="AT138" s="111">
        <f>VLOOKUP(K138,'G2-8 Summary'!J:P,7,FALSE)</f>
        <v>1</v>
      </c>
      <c r="AU138" s="157">
        <f t="shared" si="78"/>
        <v>4.7103155911446069E-4</v>
      </c>
      <c r="AW138" s="138">
        <f t="shared" si="79"/>
        <v>-3.16</v>
      </c>
      <c r="AX138" s="139">
        <f t="shared" si="80"/>
        <v>-4.0000000000000002E-4</v>
      </c>
      <c r="BC138" s="109"/>
    </row>
    <row r="139" spans="1:55" s="167" customFormat="1" x14ac:dyDescent="0.25">
      <c r="A139" s="167" t="s">
        <v>172</v>
      </c>
      <c r="B139" s="167" t="s">
        <v>155</v>
      </c>
      <c r="C139" s="167" t="s">
        <v>185</v>
      </c>
      <c r="D139" s="167" t="s">
        <v>174</v>
      </c>
      <c r="E139" s="167" t="s">
        <v>113</v>
      </c>
      <c r="F139" s="167" t="str">
        <f>INDEX('Rate Design (Consol)'!$B$48:$B$66,MATCH('Bill Impact Detail'!G139,'Rate Design (Consol)'!$C$48:$C$66,0))</f>
        <v>GS-3</v>
      </c>
      <c r="G139" s="167" t="s">
        <v>13</v>
      </c>
      <c r="H139" s="167" t="str">
        <f>INDEX('Rate Design (Consol)'!$D$48:$D$66,MATCH('Bill Impact Detail'!I139,'Rate Design (Consol)'!$E$48:$E$66,0))</f>
        <v>GS-3</v>
      </c>
      <c r="I139" s="167" t="str">
        <f t="shared" si="72"/>
        <v>General Service - 3</v>
      </c>
      <c r="J139" s="167" t="str">
        <f>VLOOKUP(I139,'Rate Design (Consol)'!$E$48:$F$66,2,FALSE)</f>
        <v>&gt; 5,000 &lt; = 10,000</v>
      </c>
      <c r="K139" s="169" t="str">
        <f t="shared" si="81"/>
        <v>CFG-CFG - Firm Transportation Service - 7-GS-3</v>
      </c>
      <c r="L139" s="169">
        <v>7</v>
      </c>
      <c r="M139" s="169" t="s">
        <v>257</v>
      </c>
      <c r="N139" s="138">
        <f>VLOOKUP(K139,'G2-8 Summary'!J:O,6,FALSE)</f>
        <v>5827</v>
      </c>
      <c r="O139" s="63">
        <f>INDEX('G2-8 Summary'!S:S,MATCH('Bill Impact Detail'!K139,'G2-8 Summary'!J:J,0))</f>
        <v>700</v>
      </c>
      <c r="P139" s="63">
        <f>SUMIFS('Rate Design (Consol)'!K:K,'Rate Design (Consol)'!A:A,M139,'Rate Design (Consol)'!D:D,H139)</f>
        <v>150</v>
      </c>
      <c r="Q139" s="63"/>
      <c r="R139" s="142">
        <f t="shared" si="92"/>
        <v>0.20016</v>
      </c>
      <c r="S139" s="141">
        <f>INDEX('G2-8 Summary'!V:V,MATCH('Bill Impact Detail'!K139,'G2-8 Summary'!J:J,0))</f>
        <v>0.123</v>
      </c>
      <c r="T139" s="141">
        <f>SUMIFS('Rate Design (Consol)'!L:L,'Rate Design (Consol)'!A:A,M139,'Rate Design (Consol)'!D:D,H139)</f>
        <v>0.62475000000000003</v>
      </c>
      <c r="U139" s="141"/>
      <c r="W139" s="64">
        <f>VLOOKUP($K139,'G2-8 Summary'!$J:$AA,15,FALSE)</f>
        <v>7.7160000000000006E-2</v>
      </c>
      <c r="X139" s="64"/>
      <c r="Y139" s="64"/>
      <c r="Z139" s="64"/>
      <c r="AB139" s="63">
        <f t="shared" si="82"/>
        <v>8400</v>
      </c>
      <c r="AC139" s="63">
        <f t="shared" si="83"/>
        <v>716.721</v>
      </c>
      <c r="AD139" s="63">
        <f t="shared" si="84"/>
        <v>449.61132000000003</v>
      </c>
      <c r="AE139" s="63">
        <f t="shared" si="85"/>
        <v>0</v>
      </c>
      <c r="AF139" s="63">
        <f t="shared" si="86"/>
        <v>0</v>
      </c>
      <c r="AG139" s="63">
        <f t="shared" si="87"/>
        <v>0</v>
      </c>
      <c r="AH139" s="202">
        <f t="shared" si="88"/>
        <v>9566.3323199999995</v>
      </c>
      <c r="AI139" s="138"/>
      <c r="AJ139" s="63">
        <f t="shared" si="89"/>
        <v>1800</v>
      </c>
      <c r="AK139" s="63">
        <f t="shared" si="90"/>
        <v>3640.4182500000002</v>
      </c>
      <c r="AL139" s="63"/>
      <c r="AM139" s="63">
        <f t="shared" si="93"/>
        <v>0</v>
      </c>
      <c r="AN139" s="63">
        <f t="shared" si="94"/>
        <v>0</v>
      </c>
      <c r="AO139" s="63">
        <f t="shared" si="95"/>
        <v>0</v>
      </c>
      <c r="AP139" s="202">
        <f t="shared" si="73"/>
        <v>5440.4182500000006</v>
      </c>
      <c r="AQ139" s="63">
        <f t="shared" si="91"/>
        <v>-4125.9140699999989</v>
      </c>
      <c r="AR139" s="157">
        <f t="shared" si="96"/>
        <v>-0.43129528977099124</v>
      </c>
      <c r="AT139" s="111">
        <f>VLOOKUP(K139,'G2-8 Summary'!J:P,7,FALSE)</f>
        <v>1</v>
      </c>
      <c r="AU139" s="157">
        <f t="shared" si="78"/>
        <v>6.2460961898813238E-4</v>
      </c>
      <c r="AW139" s="138">
        <f t="shared" si="79"/>
        <v>-2.58</v>
      </c>
      <c r="AX139" s="139">
        <f t="shared" si="80"/>
        <v>-2.9999999999999997E-4</v>
      </c>
      <c r="BC139" s="109"/>
    </row>
    <row r="140" spans="1:55" s="167" customFormat="1" x14ac:dyDescent="0.25">
      <c r="A140" s="167" t="s">
        <v>172</v>
      </c>
      <c r="B140" s="167" t="s">
        <v>155</v>
      </c>
      <c r="C140" s="167" t="s">
        <v>185</v>
      </c>
      <c r="D140" s="167" t="s">
        <v>174</v>
      </c>
      <c r="E140" s="167" t="s">
        <v>113</v>
      </c>
      <c r="F140" s="167" t="str">
        <f>INDEX('Rate Design (Consol)'!$B$48:$B$66,MATCH('Bill Impact Detail'!G140,'Rate Design (Consol)'!$C$48:$C$66,0))</f>
        <v>GS-4</v>
      </c>
      <c r="G140" s="167" t="s">
        <v>14</v>
      </c>
      <c r="H140" s="167" t="str">
        <f>INDEX('Rate Design (Consol)'!$D$48:$D$66,MATCH('Bill Impact Detail'!I140,'Rate Design (Consol)'!$E$48:$E$66,0))</f>
        <v>GS-4</v>
      </c>
      <c r="I140" s="167" t="str">
        <f t="shared" si="72"/>
        <v>General Service - 4</v>
      </c>
      <c r="J140" s="167" t="str">
        <f>VLOOKUP(I140,'Rate Design (Consol)'!$E$48:$F$66,2,FALSE)</f>
        <v>&gt; 10,000 &lt; = 50,000</v>
      </c>
      <c r="K140" s="169" t="str">
        <f t="shared" si="81"/>
        <v>CFG-CFG - Firm Transportation Service - 7-GS-4</v>
      </c>
      <c r="L140" s="169">
        <v>8</v>
      </c>
      <c r="M140" s="169" t="s">
        <v>257</v>
      </c>
      <c r="N140" s="138">
        <f>VLOOKUP(K140,'G2-8 Summary'!J:O,6,FALSE)</f>
        <v>12304</v>
      </c>
      <c r="O140" s="63">
        <f>INDEX('G2-8 Summary'!S:S,MATCH('Bill Impact Detail'!K140,'G2-8 Summary'!J:J,0))</f>
        <v>700</v>
      </c>
      <c r="P140" s="63">
        <f>SUMIFS('Rate Design (Consol)'!K:K,'Rate Design (Consol)'!A:A,M140,'Rate Design (Consol)'!D:D,H140)</f>
        <v>275</v>
      </c>
      <c r="Q140" s="63"/>
      <c r="R140" s="142">
        <f t="shared" si="92"/>
        <v>0.20016</v>
      </c>
      <c r="S140" s="141">
        <f>INDEX('G2-8 Summary'!V:V,MATCH('Bill Impact Detail'!K140,'G2-8 Summary'!J:J,0))</f>
        <v>0.123</v>
      </c>
      <c r="T140" s="141">
        <f>SUMIFS('Rate Design (Consol)'!L:L,'Rate Design (Consol)'!A:A,M140,'Rate Design (Consol)'!D:D,H140)</f>
        <v>0.59182999999999997</v>
      </c>
      <c r="U140" s="141"/>
      <c r="W140" s="64">
        <f>VLOOKUP($K140,'G2-8 Summary'!$J:$AA,15,FALSE)</f>
        <v>7.7160000000000006E-2</v>
      </c>
      <c r="X140" s="64"/>
      <c r="Y140" s="64"/>
      <c r="Z140" s="64"/>
      <c r="AB140" s="63">
        <f t="shared" si="82"/>
        <v>8400</v>
      </c>
      <c r="AC140" s="63">
        <f t="shared" si="83"/>
        <v>1513.3920000000001</v>
      </c>
      <c r="AD140" s="63">
        <f t="shared" si="84"/>
        <v>949.37664000000007</v>
      </c>
      <c r="AE140" s="63">
        <f t="shared" si="85"/>
        <v>0</v>
      </c>
      <c r="AF140" s="63">
        <f t="shared" si="86"/>
        <v>0</v>
      </c>
      <c r="AG140" s="63">
        <f t="shared" si="87"/>
        <v>0</v>
      </c>
      <c r="AH140" s="202">
        <f t="shared" si="88"/>
        <v>10862.76864</v>
      </c>
      <c r="AI140" s="138"/>
      <c r="AJ140" s="63">
        <f t="shared" si="89"/>
        <v>3300</v>
      </c>
      <c r="AK140" s="63">
        <f t="shared" si="90"/>
        <v>7281.8763199999994</v>
      </c>
      <c r="AL140" s="63"/>
      <c r="AM140" s="63">
        <f t="shared" si="93"/>
        <v>0</v>
      </c>
      <c r="AN140" s="63">
        <f t="shared" si="94"/>
        <v>0</v>
      </c>
      <c r="AO140" s="63">
        <f t="shared" si="95"/>
        <v>0</v>
      </c>
      <c r="AP140" s="202">
        <f t="shared" si="73"/>
        <v>10581.876319999999</v>
      </c>
      <c r="AQ140" s="63">
        <f t="shared" si="91"/>
        <v>-280.89232000000084</v>
      </c>
      <c r="AR140" s="157">
        <f t="shared" si="96"/>
        <v>-2.5858262226599427E-2</v>
      </c>
      <c r="AT140" s="111">
        <f>VLOOKUP(K140,'G2-8 Summary'!J:P,7,FALSE)</f>
        <v>1</v>
      </c>
      <c r="AU140" s="157">
        <f t="shared" si="78"/>
        <v>7.1684587813620072E-4</v>
      </c>
      <c r="AW140" s="138">
        <f t="shared" si="79"/>
        <v>-0.2</v>
      </c>
      <c r="AX140" s="139">
        <f t="shared" si="80"/>
        <v>0</v>
      </c>
      <c r="BC140" s="109"/>
    </row>
    <row r="141" spans="1:55" s="167" customFormat="1" x14ac:dyDescent="0.25">
      <c r="A141" s="167" t="s">
        <v>172</v>
      </c>
      <c r="B141" s="167" t="s">
        <v>155</v>
      </c>
      <c r="C141" s="167" t="s">
        <v>185</v>
      </c>
      <c r="D141" s="167" t="s">
        <v>174</v>
      </c>
      <c r="E141" s="167" t="s">
        <v>113</v>
      </c>
      <c r="F141" s="167" t="str">
        <f>INDEX('Rate Design (Consol)'!$B$48:$B$66,MATCH('Bill Impact Detail'!G141,'Rate Design (Consol)'!$C$48:$C$66,0))</f>
        <v>GS-5</v>
      </c>
      <c r="G141" s="167" t="s">
        <v>15</v>
      </c>
      <c r="H141" s="167" t="str">
        <f>INDEX('Rate Design (Consol)'!$D$48:$D$66,MATCH('Bill Impact Detail'!I141,'Rate Design (Consol)'!$E$48:$E$66,0))</f>
        <v>GS-5</v>
      </c>
      <c r="I141" s="167" t="str">
        <f t="shared" si="72"/>
        <v>General Service - 5</v>
      </c>
      <c r="J141" s="167" t="str">
        <f>VLOOKUP(I141,'Rate Design (Consol)'!$E$48:$F$66,2,FALSE)</f>
        <v>&gt; 50,000 &lt; = 250,000</v>
      </c>
      <c r="K141" s="169" t="str">
        <f t="shared" si="81"/>
        <v>CFG-CFG - Firm Transportation Service - 7-GS-5</v>
      </c>
      <c r="L141" s="169">
        <v>9</v>
      </c>
      <c r="M141" s="169" t="s">
        <v>257</v>
      </c>
      <c r="N141" s="138">
        <f>VLOOKUP(K141,'G2-8 Summary'!J:O,6,FALSE)</f>
        <v>131677</v>
      </c>
      <c r="O141" s="63">
        <f>INDEX('G2-8 Summary'!S:S,MATCH('Bill Impact Detail'!K141,'G2-8 Summary'!J:J,0))</f>
        <v>700</v>
      </c>
      <c r="P141" s="63">
        <f>SUMIFS('Rate Design (Consol)'!K:K,'Rate Design (Consol)'!A:A,M141,'Rate Design (Consol)'!D:D,H141)</f>
        <v>750</v>
      </c>
      <c r="Q141" s="63"/>
      <c r="R141" s="142">
        <f t="shared" si="92"/>
        <v>0.20016</v>
      </c>
      <c r="S141" s="141">
        <f>INDEX('G2-8 Summary'!V:V,MATCH('Bill Impact Detail'!K141,'G2-8 Summary'!J:J,0))</f>
        <v>0.123</v>
      </c>
      <c r="T141" s="141">
        <f>SUMIFS('Rate Design (Consol)'!L:L,'Rate Design (Consol)'!A:A,M141,'Rate Design (Consol)'!D:D,H141)</f>
        <v>0.52</v>
      </c>
      <c r="U141" s="141"/>
      <c r="W141" s="64">
        <f>VLOOKUP($K141,'G2-8 Summary'!$J:$AA,15,FALSE)</f>
        <v>7.7160000000000006E-2</v>
      </c>
      <c r="X141" s="64"/>
      <c r="Y141" s="64"/>
      <c r="Z141" s="64"/>
      <c r="AB141" s="63">
        <f t="shared" si="82"/>
        <v>8400</v>
      </c>
      <c r="AC141" s="63">
        <f t="shared" si="83"/>
        <v>16196.271000000001</v>
      </c>
      <c r="AD141" s="63">
        <f t="shared" si="84"/>
        <v>10160.197320000001</v>
      </c>
      <c r="AE141" s="63">
        <f t="shared" si="85"/>
        <v>0</v>
      </c>
      <c r="AF141" s="63">
        <f t="shared" si="86"/>
        <v>0</v>
      </c>
      <c r="AG141" s="63">
        <f t="shared" si="87"/>
        <v>0</v>
      </c>
      <c r="AH141" s="202">
        <f t="shared" si="88"/>
        <v>34756.46832</v>
      </c>
      <c r="AI141" s="138"/>
      <c r="AJ141" s="63">
        <f t="shared" si="89"/>
        <v>9000</v>
      </c>
      <c r="AK141" s="63">
        <f t="shared" si="90"/>
        <v>68472.040000000008</v>
      </c>
      <c r="AL141" s="63"/>
      <c r="AM141" s="63">
        <f t="shared" si="93"/>
        <v>0</v>
      </c>
      <c r="AN141" s="63">
        <f t="shared" si="94"/>
        <v>0</v>
      </c>
      <c r="AO141" s="63">
        <f t="shared" si="95"/>
        <v>0</v>
      </c>
      <c r="AP141" s="202">
        <f t="shared" si="73"/>
        <v>77472.040000000008</v>
      </c>
      <c r="AQ141" s="63">
        <f t="shared" si="91"/>
        <v>42715.571680000008</v>
      </c>
      <c r="AR141" s="157">
        <f t="shared" si="96"/>
        <v>1.228996320532949</v>
      </c>
      <c r="AT141" s="111">
        <f>VLOOKUP(K141,'G2-8 Summary'!J:P,7,FALSE)</f>
        <v>20</v>
      </c>
      <c r="AU141" s="157">
        <f t="shared" si="78"/>
        <v>0.17699115044247787</v>
      </c>
      <c r="AW141" s="138">
        <f t="shared" si="79"/>
        <v>7560.28</v>
      </c>
      <c r="AX141" s="139">
        <f t="shared" si="80"/>
        <v>0.2175</v>
      </c>
      <c r="BC141" s="109"/>
    </row>
    <row r="142" spans="1:55" s="167" customFormat="1" x14ac:dyDescent="0.25">
      <c r="A142" s="167" t="s">
        <v>172</v>
      </c>
      <c r="B142" s="167" t="s">
        <v>155</v>
      </c>
      <c r="C142" s="167" t="s">
        <v>185</v>
      </c>
      <c r="D142" s="167" t="s">
        <v>174</v>
      </c>
      <c r="E142" s="167" t="s">
        <v>113</v>
      </c>
      <c r="F142" s="167" t="str">
        <f>INDEX('Rate Design (Consol)'!$B$48:$B$66,MATCH('Bill Impact Detail'!G142,'Rate Design (Consol)'!$C$48:$C$66,0))</f>
        <v>GS-6</v>
      </c>
      <c r="G142" s="167" t="s">
        <v>16</v>
      </c>
      <c r="H142" s="167" t="str">
        <f>INDEX('Rate Design (Consol)'!$D$48:$D$66,MATCH('Bill Impact Detail'!I142,'Rate Design (Consol)'!$E$48:$E$66,0))</f>
        <v>GS-6</v>
      </c>
      <c r="I142" s="167" t="str">
        <f t="shared" si="72"/>
        <v>General Service - 6</v>
      </c>
      <c r="J142" s="167" t="str">
        <f>VLOOKUP(I142,'Rate Design (Consol)'!$E$48:$F$66,2,FALSE)</f>
        <v>&gt; 250,000 &lt; = 500,000</v>
      </c>
      <c r="K142" s="169" t="str">
        <f t="shared" si="81"/>
        <v>CFG-CFG - Firm Transportation Service - 7-GS-6</v>
      </c>
      <c r="L142" s="169">
        <v>10</v>
      </c>
      <c r="M142" s="169" t="s">
        <v>257</v>
      </c>
      <c r="N142" s="138">
        <f>VLOOKUP(K142,'G2-8 Summary'!J:O,6,FALSE)</f>
        <v>325033</v>
      </c>
      <c r="O142" s="63">
        <f>INDEX('G2-8 Summary'!S:S,MATCH('Bill Impact Detail'!K142,'G2-8 Summary'!J:J,0))</f>
        <v>700</v>
      </c>
      <c r="P142" s="63">
        <f>SUMIFS('Rate Design (Consol)'!K:K,'Rate Design (Consol)'!A:A,M142,'Rate Design (Consol)'!D:D,H142)</f>
        <v>2500</v>
      </c>
      <c r="Q142" s="63"/>
      <c r="R142" s="142">
        <f t="shared" si="92"/>
        <v>0.20016</v>
      </c>
      <c r="S142" s="141">
        <f>INDEX('G2-8 Summary'!V:V,MATCH('Bill Impact Detail'!K142,'G2-8 Summary'!J:J,0))</f>
        <v>0.123</v>
      </c>
      <c r="T142" s="141">
        <f>SUMIFS('Rate Design (Consol)'!L:L,'Rate Design (Consol)'!A:A,M142,'Rate Design (Consol)'!D:D,H142)</f>
        <v>0.49419000000000002</v>
      </c>
      <c r="U142" s="141"/>
      <c r="W142" s="64">
        <f>VLOOKUP($K142,'G2-8 Summary'!$J:$AA,15,FALSE)</f>
        <v>7.7160000000000006E-2</v>
      </c>
      <c r="X142" s="64"/>
      <c r="Y142" s="64"/>
      <c r="Z142" s="64"/>
      <c r="AB142" s="63">
        <f t="shared" si="82"/>
        <v>8400</v>
      </c>
      <c r="AC142" s="63">
        <f t="shared" si="83"/>
        <v>39979.059000000001</v>
      </c>
      <c r="AD142" s="63">
        <f t="shared" si="84"/>
        <v>25079.546280000002</v>
      </c>
      <c r="AE142" s="63">
        <f t="shared" si="85"/>
        <v>0</v>
      </c>
      <c r="AF142" s="63">
        <f t="shared" si="86"/>
        <v>0</v>
      </c>
      <c r="AG142" s="63">
        <f t="shared" si="87"/>
        <v>0</v>
      </c>
      <c r="AH142" s="202">
        <f t="shared" si="88"/>
        <v>73458.605280000003</v>
      </c>
      <c r="AI142" s="138"/>
      <c r="AJ142" s="63">
        <f t="shared" si="89"/>
        <v>30000</v>
      </c>
      <c r="AK142" s="63">
        <f t="shared" si="90"/>
        <v>160628.05827000001</v>
      </c>
      <c r="AL142" s="63"/>
      <c r="AM142" s="63">
        <f t="shared" si="93"/>
        <v>0</v>
      </c>
      <c r="AN142" s="63">
        <f t="shared" si="94"/>
        <v>0</v>
      </c>
      <c r="AO142" s="63">
        <f t="shared" si="95"/>
        <v>0</v>
      </c>
      <c r="AP142" s="202">
        <f t="shared" si="73"/>
        <v>190628.05827000001</v>
      </c>
      <c r="AQ142" s="63">
        <f t="shared" si="91"/>
        <v>117169.45299000001</v>
      </c>
      <c r="AR142" s="157">
        <f t="shared" si="96"/>
        <v>1.5950405339631573</v>
      </c>
      <c r="AT142" s="111">
        <f>VLOOKUP(K142,'G2-8 Summary'!J:P,7,FALSE)</f>
        <v>3</v>
      </c>
      <c r="AU142" s="157">
        <f t="shared" si="78"/>
        <v>8.8235294117647065E-2</v>
      </c>
      <c r="AW142" s="138">
        <f t="shared" si="79"/>
        <v>10338.48</v>
      </c>
      <c r="AX142" s="139">
        <f t="shared" si="80"/>
        <v>0.14069999999999999</v>
      </c>
      <c r="BC142" s="109"/>
    </row>
    <row r="143" spans="1:55" s="167" customFormat="1" x14ac:dyDescent="0.25">
      <c r="A143" s="167" t="s">
        <v>172</v>
      </c>
      <c r="B143" s="167" t="s">
        <v>155</v>
      </c>
      <c r="C143" s="167" t="s">
        <v>185</v>
      </c>
      <c r="D143" s="167" t="s">
        <v>174</v>
      </c>
      <c r="E143" s="167" t="s">
        <v>113</v>
      </c>
      <c r="F143" s="167" t="str">
        <f>INDEX('Rate Design (Consol)'!$B$48:$B$66,MATCH('Bill Impact Detail'!G143,'Rate Design (Consol)'!$C$48:$C$66,0))</f>
        <v>GS-7</v>
      </c>
      <c r="G143" s="167" t="s">
        <v>17</v>
      </c>
      <c r="H143" s="167" t="str">
        <f>INDEX('Rate Design (Consol)'!$D$48:$D$66,MATCH('Bill Impact Detail'!I143,'Rate Design (Consol)'!$E$48:$E$66,0))</f>
        <v>GS-7</v>
      </c>
      <c r="I143" s="167" t="str">
        <f t="shared" si="72"/>
        <v>General Service - 7</v>
      </c>
      <c r="J143" s="167" t="str">
        <f>VLOOKUP(I143,'Rate Design (Consol)'!$E$48:$F$66,2,FALSE)</f>
        <v>&gt; 500,000 &lt; = 1,000,000</v>
      </c>
      <c r="K143" s="169" t="str">
        <f t="shared" si="81"/>
        <v>CFG-CFG - Firm Transportation Service - 7-GS-7</v>
      </c>
      <c r="L143" s="169">
        <v>11</v>
      </c>
      <c r="M143" s="169" t="s">
        <v>257</v>
      </c>
      <c r="N143" s="138">
        <f>VLOOKUP(K143,'G2-8 Summary'!J:O,6,FALSE)</f>
        <v>667664</v>
      </c>
      <c r="O143" s="63">
        <f>INDEX('G2-8 Summary'!S:S,MATCH('Bill Impact Detail'!K143,'G2-8 Summary'!J:J,0))</f>
        <v>700</v>
      </c>
      <c r="P143" s="63">
        <f>SUMIFS('Rate Design (Consol)'!K:K,'Rate Design (Consol)'!A:A,M143,'Rate Design (Consol)'!D:D,H143)</f>
        <v>4500</v>
      </c>
      <c r="Q143" s="63"/>
      <c r="R143" s="142">
        <f t="shared" si="92"/>
        <v>0.20016</v>
      </c>
      <c r="S143" s="141">
        <f>INDEX('G2-8 Summary'!V:V,MATCH('Bill Impact Detail'!K143,'G2-8 Summary'!J:J,0))</f>
        <v>0.123</v>
      </c>
      <c r="T143" s="141">
        <f>SUMIFS('Rate Design (Consol)'!L:L,'Rate Design (Consol)'!A:A,M143,'Rate Design (Consol)'!D:D,H143)</f>
        <v>0.38796999999999998</v>
      </c>
      <c r="U143" s="141"/>
      <c r="W143" s="64">
        <f>VLOOKUP($K143,'G2-8 Summary'!$J:$AA,15,FALSE)</f>
        <v>7.7160000000000006E-2</v>
      </c>
      <c r="X143" s="64"/>
      <c r="Y143" s="64"/>
      <c r="Z143" s="64"/>
      <c r="AB143" s="63">
        <f t="shared" si="82"/>
        <v>8400</v>
      </c>
      <c r="AC143" s="63">
        <f t="shared" si="83"/>
        <v>82122.672000000006</v>
      </c>
      <c r="AD143" s="63">
        <f t="shared" si="84"/>
        <v>51516.954240000006</v>
      </c>
      <c r="AE143" s="63">
        <f t="shared" si="85"/>
        <v>0</v>
      </c>
      <c r="AF143" s="63">
        <f t="shared" si="86"/>
        <v>0</v>
      </c>
      <c r="AG143" s="63">
        <f t="shared" si="87"/>
        <v>0</v>
      </c>
      <c r="AH143" s="202">
        <f t="shared" si="88"/>
        <v>142039.62624000001</v>
      </c>
      <c r="AI143" s="138"/>
      <c r="AJ143" s="63">
        <f t="shared" si="89"/>
        <v>54000</v>
      </c>
      <c r="AK143" s="63">
        <f t="shared" si="90"/>
        <v>259033.60207999998</v>
      </c>
      <c r="AL143" s="63"/>
      <c r="AM143" s="63">
        <f t="shared" si="93"/>
        <v>0</v>
      </c>
      <c r="AN143" s="63">
        <f t="shared" si="94"/>
        <v>0</v>
      </c>
      <c r="AO143" s="63">
        <f t="shared" si="95"/>
        <v>0</v>
      </c>
      <c r="AP143" s="202">
        <f t="shared" si="73"/>
        <v>313033.60207999998</v>
      </c>
      <c r="AQ143" s="63">
        <f t="shared" si="91"/>
        <v>170993.97583999997</v>
      </c>
      <c r="AR143" s="157">
        <f t="shared" si="96"/>
        <v>1.2038469852847731</v>
      </c>
      <c r="AT143" s="111">
        <f>VLOOKUP(K143,'G2-8 Summary'!J:P,7,FALSE)</f>
        <v>1</v>
      </c>
      <c r="AU143" s="157">
        <f t="shared" si="78"/>
        <v>8.3333333333333329E-2</v>
      </c>
      <c r="AW143" s="138">
        <f t="shared" si="79"/>
        <v>14249.5</v>
      </c>
      <c r="AX143" s="139">
        <f t="shared" si="80"/>
        <v>0.1003</v>
      </c>
      <c r="BC143" s="109"/>
    </row>
    <row r="144" spans="1:55" s="167" customFormat="1" x14ac:dyDescent="0.25">
      <c r="A144" s="167" t="s">
        <v>172</v>
      </c>
      <c r="B144" s="167" t="s">
        <v>155</v>
      </c>
      <c r="C144" s="167" t="s">
        <v>186</v>
      </c>
      <c r="D144" s="167" t="s">
        <v>174</v>
      </c>
      <c r="E144" s="167" t="s">
        <v>118</v>
      </c>
      <c r="F144" s="167" t="str">
        <f>INDEX('Rate Design (Consol)'!$B$48:$B$66,MATCH('Bill Impact Detail'!G144,'Rate Design (Consol)'!$C$48:$C$66,0))</f>
        <v>GS-5</v>
      </c>
      <c r="G144" s="167" t="s">
        <v>15</v>
      </c>
      <c r="H144" s="167" t="str">
        <f>INDEX('Rate Design (Consol)'!$D$48:$D$66,MATCH('Bill Impact Detail'!I144,'Rate Design (Consol)'!$E$48:$E$66,0))</f>
        <v>GS-5</v>
      </c>
      <c r="I144" s="167" t="str">
        <f t="shared" si="72"/>
        <v>General Service - 5</v>
      </c>
      <c r="J144" s="167" t="str">
        <f>VLOOKUP(I144,'Rate Design (Consol)'!$E$48:$F$66,2,FALSE)</f>
        <v>&gt; 50,000 &lt; = 250,000</v>
      </c>
      <c r="K144" s="169" t="str">
        <f t="shared" si="81"/>
        <v>CFG-CFG - Firm Transportation Service - 8-GS-5</v>
      </c>
      <c r="L144" s="169">
        <v>9</v>
      </c>
      <c r="M144" s="169" t="s">
        <v>257</v>
      </c>
      <c r="N144" s="138">
        <f>VLOOKUP(K144,'G2-8 Summary'!J:O,6,FALSE)</f>
        <v>164505</v>
      </c>
      <c r="O144" s="63">
        <f>INDEX('G2-8 Summary'!S:S,MATCH('Bill Impact Detail'!K144,'G2-8 Summary'!J:J,0))</f>
        <v>1200</v>
      </c>
      <c r="P144" s="63">
        <f>SUMIFS('Rate Design (Consol)'!K:K,'Rate Design (Consol)'!A:A,M144,'Rate Design (Consol)'!D:D,H144)</f>
        <v>750</v>
      </c>
      <c r="Q144" s="63"/>
      <c r="R144" s="142">
        <f t="shared" si="92"/>
        <v>0.19342000000000001</v>
      </c>
      <c r="S144" s="141">
        <f>INDEX('G2-8 Summary'!V:V,MATCH('Bill Impact Detail'!K144,'G2-8 Summary'!J:J,0))</f>
        <v>0.11024</v>
      </c>
      <c r="T144" s="141">
        <f>SUMIFS('Rate Design (Consol)'!L:L,'Rate Design (Consol)'!A:A,M144,'Rate Design (Consol)'!D:D,H144)</f>
        <v>0.52</v>
      </c>
      <c r="U144" s="141"/>
      <c r="W144" s="64">
        <f>VLOOKUP($K144,'G2-8 Summary'!$J:$AA,15,FALSE)</f>
        <v>8.3180000000000004E-2</v>
      </c>
      <c r="X144" s="64"/>
      <c r="Y144" s="64"/>
      <c r="Z144" s="64"/>
      <c r="AB144" s="63">
        <f t="shared" si="82"/>
        <v>14400</v>
      </c>
      <c r="AC144" s="63">
        <f t="shared" si="83"/>
        <v>18135.031200000001</v>
      </c>
      <c r="AD144" s="63">
        <f t="shared" si="84"/>
        <v>13683.525900000001</v>
      </c>
      <c r="AE144" s="63">
        <f t="shared" si="85"/>
        <v>0</v>
      </c>
      <c r="AF144" s="63">
        <f t="shared" si="86"/>
        <v>0</v>
      </c>
      <c r="AG144" s="63">
        <f t="shared" si="87"/>
        <v>0</v>
      </c>
      <c r="AH144" s="202">
        <f t="shared" si="88"/>
        <v>46218.557100000005</v>
      </c>
      <c r="AI144" s="138"/>
      <c r="AJ144" s="63">
        <f t="shared" si="89"/>
        <v>9000</v>
      </c>
      <c r="AK144" s="63">
        <f t="shared" si="90"/>
        <v>85542.6</v>
      </c>
      <c r="AL144" s="63"/>
      <c r="AM144" s="63">
        <f t="shared" si="93"/>
        <v>0</v>
      </c>
      <c r="AN144" s="63">
        <f t="shared" si="94"/>
        <v>0</v>
      </c>
      <c r="AO144" s="63">
        <f t="shared" si="95"/>
        <v>0</v>
      </c>
      <c r="AP144" s="202">
        <f t="shared" si="73"/>
        <v>94542.6</v>
      </c>
      <c r="AQ144" s="63">
        <f t="shared" si="91"/>
        <v>48324.0429</v>
      </c>
      <c r="AR144" s="157">
        <f t="shared" si="96"/>
        <v>1.045554987695624</v>
      </c>
      <c r="AT144" s="111">
        <f>VLOOKUP(K144,'G2-8 Summary'!J:P,7,FALSE)</f>
        <v>6</v>
      </c>
      <c r="AU144" s="157">
        <f t="shared" si="78"/>
        <v>5.3097345132743362E-2</v>
      </c>
      <c r="AW144" s="138">
        <f t="shared" si="79"/>
        <v>2565.88</v>
      </c>
      <c r="AX144" s="139">
        <f t="shared" si="80"/>
        <v>5.5500000000000001E-2</v>
      </c>
      <c r="BC144" s="109"/>
    </row>
    <row r="145" spans="1:55" s="167" customFormat="1" x14ac:dyDescent="0.25">
      <c r="A145" s="167" t="s">
        <v>172</v>
      </c>
      <c r="B145" s="167" t="s">
        <v>155</v>
      </c>
      <c r="C145" s="167" t="s">
        <v>186</v>
      </c>
      <c r="D145" s="167" t="s">
        <v>174</v>
      </c>
      <c r="E145" s="167" t="s">
        <v>118</v>
      </c>
      <c r="F145" s="167" t="str">
        <f>INDEX('Rate Design (Consol)'!$B$48:$B$66,MATCH('Bill Impact Detail'!G145,'Rate Design (Consol)'!$C$48:$C$66,0))</f>
        <v>GS-6</v>
      </c>
      <c r="G145" s="167" t="s">
        <v>16</v>
      </c>
      <c r="H145" s="167" t="str">
        <f>INDEX('Rate Design (Consol)'!$D$48:$D$66,MATCH('Bill Impact Detail'!I145,'Rate Design (Consol)'!$E$48:$E$66,0))</f>
        <v>GS-6</v>
      </c>
      <c r="I145" s="167" t="str">
        <f t="shared" si="72"/>
        <v>General Service - 6</v>
      </c>
      <c r="J145" s="167" t="str">
        <f>VLOOKUP(I145,'Rate Design (Consol)'!$E$48:$F$66,2,FALSE)</f>
        <v>&gt; 250,000 &lt; = 500,000</v>
      </c>
      <c r="K145" s="169" t="str">
        <f t="shared" si="81"/>
        <v>CFG-CFG - Firm Transportation Service - 8-GS-6</v>
      </c>
      <c r="L145" s="169">
        <v>10</v>
      </c>
      <c r="M145" s="169" t="s">
        <v>257</v>
      </c>
      <c r="N145" s="138">
        <f>VLOOKUP(K145,'G2-8 Summary'!J:O,6,FALSE)</f>
        <v>347005</v>
      </c>
      <c r="O145" s="63">
        <f>INDEX('G2-8 Summary'!S:S,MATCH('Bill Impact Detail'!K145,'G2-8 Summary'!J:J,0))</f>
        <v>1200</v>
      </c>
      <c r="P145" s="63">
        <f>SUMIFS('Rate Design (Consol)'!K:K,'Rate Design (Consol)'!A:A,M145,'Rate Design (Consol)'!D:D,H145)</f>
        <v>2500</v>
      </c>
      <c r="Q145" s="63"/>
      <c r="R145" s="142">
        <f t="shared" si="92"/>
        <v>0.19342000000000001</v>
      </c>
      <c r="S145" s="141">
        <f>INDEX('G2-8 Summary'!V:V,MATCH('Bill Impact Detail'!K145,'G2-8 Summary'!J:J,0))</f>
        <v>0.11024</v>
      </c>
      <c r="T145" s="141">
        <f>SUMIFS('Rate Design (Consol)'!L:L,'Rate Design (Consol)'!A:A,M145,'Rate Design (Consol)'!D:D,H145)</f>
        <v>0.49419000000000002</v>
      </c>
      <c r="U145" s="141"/>
      <c r="W145" s="64">
        <f>VLOOKUP($K145,'G2-8 Summary'!$J:$AA,15,FALSE)</f>
        <v>8.3180000000000004E-2</v>
      </c>
      <c r="X145" s="64"/>
      <c r="Y145" s="64"/>
      <c r="Z145" s="64"/>
      <c r="AB145" s="63">
        <f t="shared" si="82"/>
        <v>14400</v>
      </c>
      <c r="AC145" s="63">
        <f t="shared" si="83"/>
        <v>38253.831200000001</v>
      </c>
      <c r="AD145" s="63">
        <f t="shared" si="84"/>
        <v>28863.875900000003</v>
      </c>
      <c r="AE145" s="63">
        <f t="shared" si="85"/>
        <v>0</v>
      </c>
      <c r="AF145" s="63">
        <f t="shared" si="86"/>
        <v>0</v>
      </c>
      <c r="AG145" s="63">
        <f t="shared" si="87"/>
        <v>0</v>
      </c>
      <c r="AH145" s="202">
        <f t="shared" si="88"/>
        <v>81517.7071</v>
      </c>
      <c r="AI145" s="138"/>
      <c r="AJ145" s="63">
        <f t="shared" si="89"/>
        <v>30000</v>
      </c>
      <c r="AK145" s="63">
        <f t="shared" si="90"/>
        <v>171486.40095000001</v>
      </c>
      <c r="AL145" s="63"/>
      <c r="AM145" s="63">
        <f t="shared" si="93"/>
        <v>0</v>
      </c>
      <c r="AN145" s="63">
        <f t="shared" si="94"/>
        <v>0</v>
      </c>
      <c r="AO145" s="63">
        <f t="shared" si="95"/>
        <v>0</v>
      </c>
      <c r="AP145" s="202">
        <f t="shared" si="73"/>
        <v>201486.40095000001</v>
      </c>
      <c r="AQ145" s="63">
        <f t="shared" si="91"/>
        <v>119968.69385000001</v>
      </c>
      <c r="AR145" s="157">
        <f t="shared" si="96"/>
        <v>1.4716887669918284</v>
      </c>
      <c r="AT145" s="111">
        <f>VLOOKUP(K145,'G2-8 Summary'!J:P,7,FALSE)</f>
        <v>13</v>
      </c>
      <c r="AU145" s="157">
        <f t="shared" si="78"/>
        <v>0.38235294117647056</v>
      </c>
      <c r="AW145" s="138">
        <f t="shared" si="79"/>
        <v>45870.38</v>
      </c>
      <c r="AX145" s="139">
        <f t="shared" si="80"/>
        <v>0.56269999999999998</v>
      </c>
      <c r="BC145" s="109"/>
    </row>
    <row r="146" spans="1:55" s="167" customFormat="1" x14ac:dyDescent="0.25">
      <c r="A146" s="167" t="s">
        <v>172</v>
      </c>
      <c r="B146" s="167" t="s">
        <v>155</v>
      </c>
      <c r="C146" s="167" t="s">
        <v>187</v>
      </c>
      <c r="D146" s="167" t="s">
        <v>174</v>
      </c>
      <c r="E146" s="167" t="s">
        <v>115</v>
      </c>
      <c r="F146" s="167" t="str">
        <f>INDEX('Rate Design (Consol)'!$B$48:$B$66,MATCH('Bill Impact Detail'!G146,'Rate Design (Consol)'!$C$48:$C$66,0))</f>
        <v>GS-4</v>
      </c>
      <c r="G146" s="167" t="s">
        <v>14</v>
      </c>
      <c r="H146" s="167" t="str">
        <f>INDEX('Rate Design (Consol)'!$D$48:$D$66,MATCH('Bill Impact Detail'!I146,'Rate Design (Consol)'!$E$48:$E$66,0))</f>
        <v>GS-4</v>
      </c>
      <c r="I146" s="167" t="str">
        <f t="shared" si="72"/>
        <v>General Service - 4</v>
      </c>
      <c r="J146" s="167" t="str">
        <f>VLOOKUP(I146,'Rate Design (Consol)'!$E$48:$F$66,2,FALSE)</f>
        <v>&gt; 10,000 &lt; = 50,000</v>
      </c>
      <c r="K146" s="169" t="str">
        <f t="shared" si="81"/>
        <v>CFG-CFG - Firm Transportation Service - 9-GS-4</v>
      </c>
      <c r="L146" s="169">
        <v>8</v>
      </c>
      <c r="M146" s="169" t="s">
        <v>257</v>
      </c>
      <c r="N146" s="138">
        <f>VLOOKUP(K146,'G2-8 Summary'!J:O,6,FALSE)</f>
        <v>24459</v>
      </c>
      <c r="O146" s="63">
        <f>INDEX('G2-8 Summary'!S:S,MATCH('Bill Impact Detail'!K146,'G2-8 Summary'!J:J,0))</f>
        <v>2000</v>
      </c>
      <c r="P146" s="63">
        <f>SUMIFS('Rate Design (Consol)'!K:K,'Rate Design (Consol)'!A:A,M146,'Rate Design (Consol)'!D:D,H146)</f>
        <v>275</v>
      </c>
      <c r="Q146" s="63"/>
      <c r="R146" s="142">
        <f t="shared" si="92"/>
        <v>0.22033</v>
      </c>
      <c r="S146" s="141">
        <f>INDEX('G2-8 Summary'!V:V,MATCH('Bill Impact Detail'!K146,'G2-8 Summary'!J:J,0))</f>
        <v>9.1329999999999995E-2</v>
      </c>
      <c r="T146" s="141">
        <f>SUMIFS('Rate Design (Consol)'!L:L,'Rate Design (Consol)'!A:A,M146,'Rate Design (Consol)'!D:D,H146)</f>
        <v>0.59182999999999997</v>
      </c>
      <c r="U146" s="141"/>
      <c r="W146" s="64">
        <f>VLOOKUP($K146,'G2-8 Summary'!$J:$AA,15,FALSE)</f>
        <v>0.129</v>
      </c>
      <c r="X146" s="64"/>
      <c r="Y146" s="64"/>
      <c r="Z146" s="64"/>
      <c r="AB146" s="63">
        <f t="shared" si="82"/>
        <v>24000</v>
      </c>
      <c r="AC146" s="63">
        <f t="shared" si="83"/>
        <v>2233.8404699999996</v>
      </c>
      <c r="AD146" s="63">
        <f t="shared" si="84"/>
        <v>3155.2110000000002</v>
      </c>
      <c r="AE146" s="63">
        <f t="shared" si="85"/>
        <v>0</v>
      </c>
      <c r="AF146" s="63">
        <f t="shared" si="86"/>
        <v>0</v>
      </c>
      <c r="AG146" s="63">
        <f t="shared" si="87"/>
        <v>0</v>
      </c>
      <c r="AH146" s="202">
        <f t="shared" si="88"/>
        <v>29389.051469999999</v>
      </c>
      <c r="AI146" s="138"/>
      <c r="AJ146" s="63">
        <f t="shared" si="89"/>
        <v>3300</v>
      </c>
      <c r="AK146" s="63">
        <f t="shared" si="90"/>
        <v>14475.569969999999</v>
      </c>
      <c r="AL146" s="63"/>
      <c r="AM146" s="63">
        <f t="shared" si="93"/>
        <v>0</v>
      </c>
      <c r="AN146" s="63">
        <f t="shared" si="94"/>
        <v>0</v>
      </c>
      <c r="AO146" s="63">
        <f t="shared" si="95"/>
        <v>0</v>
      </c>
      <c r="AP146" s="202">
        <f t="shared" si="73"/>
        <v>17775.569969999997</v>
      </c>
      <c r="AQ146" s="63">
        <f t="shared" si="91"/>
        <v>-11613.481500000002</v>
      </c>
      <c r="AR146" s="157">
        <f t="shared" si="96"/>
        <v>-0.39516353604861687</v>
      </c>
      <c r="AT146" s="111">
        <f>VLOOKUP(K146,'G2-8 Summary'!J:P,7,FALSE)</f>
        <v>1</v>
      </c>
      <c r="AU146" s="157">
        <f t="shared" si="78"/>
        <v>7.1684587813620072E-4</v>
      </c>
      <c r="AW146" s="138">
        <f t="shared" si="79"/>
        <v>-8.33</v>
      </c>
      <c r="AX146" s="139">
        <f t="shared" si="80"/>
        <v>-2.9999999999999997E-4</v>
      </c>
      <c r="BC146" s="109"/>
    </row>
    <row r="147" spans="1:55" s="167" customFormat="1" x14ac:dyDescent="0.25">
      <c r="A147" s="167" t="s">
        <v>172</v>
      </c>
      <c r="B147" s="167" t="s">
        <v>155</v>
      </c>
      <c r="C147" s="167" t="s">
        <v>187</v>
      </c>
      <c r="D147" s="167" t="s">
        <v>174</v>
      </c>
      <c r="E147" s="167" t="s">
        <v>115</v>
      </c>
      <c r="F147" s="167" t="str">
        <f>INDEX('Rate Design (Consol)'!$B$48:$B$66,MATCH('Bill Impact Detail'!G147,'Rate Design (Consol)'!$C$48:$C$66,0))</f>
        <v>GS-5</v>
      </c>
      <c r="G147" s="167" t="s">
        <v>15</v>
      </c>
      <c r="H147" s="167" t="str">
        <f>INDEX('Rate Design (Consol)'!$D$48:$D$66,MATCH('Bill Impact Detail'!I147,'Rate Design (Consol)'!$E$48:$E$66,0))</f>
        <v>GS-5</v>
      </c>
      <c r="I147" s="167" t="str">
        <f t="shared" si="72"/>
        <v>General Service - 5</v>
      </c>
      <c r="J147" s="167" t="str">
        <f>VLOOKUP(I147,'Rate Design (Consol)'!$E$48:$F$66,2,FALSE)</f>
        <v>&gt; 50,000 &lt; = 250,000</v>
      </c>
      <c r="K147" s="169" t="str">
        <f t="shared" si="81"/>
        <v>CFG-CFG - Firm Transportation Service - 9-GS-5</v>
      </c>
      <c r="L147" s="169">
        <v>9</v>
      </c>
      <c r="M147" s="169" t="s">
        <v>257</v>
      </c>
      <c r="N147" s="138">
        <f>VLOOKUP(K147,'G2-8 Summary'!J:O,6,FALSE)</f>
        <v>128709</v>
      </c>
      <c r="O147" s="63">
        <f>INDEX('G2-8 Summary'!S:S,MATCH('Bill Impact Detail'!K147,'G2-8 Summary'!J:J,0))</f>
        <v>2000</v>
      </c>
      <c r="P147" s="63">
        <f>SUMIFS('Rate Design (Consol)'!K:K,'Rate Design (Consol)'!A:A,M147,'Rate Design (Consol)'!D:D,H147)</f>
        <v>750</v>
      </c>
      <c r="Q147" s="63"/>
      <c r="R147" s="142">
        <f t="shared" si="92"/>
        <v>0.22033</v>
      </c>
      <c r="S147" s="141">
        <f>INDEX('G2-8 Summary'!V:V,MATCH('Bill Impact Detail'!K147,'G2-8 Summary'!J:J,0))</f>
        <v>9.1329999999999995E-2</v>
      </c>
      <c r="T147" s="141">
        <f>SUMIFS('Rate Design (Consol)'!L:L,'Rate Design (Consol)'!A:A,M147,'Rate Design (Consol)'!D:D,H147)</f>
        <v>0.52</v>
      </c>
      <c r="U147" s="141"/>
      <c r="W147" s="64">
        <f>VLOOKUP($K147,'G2-8 Summary'!$J:$AA,15,FALSE)</f>
        <v>0.129</v>
      </c>
      <c r="X147" s="64"/>
      <c r="Y147" s="64"/>
      <c r="Z147" s="64"/>
      <c r="AB147" s="63">
        <f t="shared" si="82"/>
        <v>24000</v>
      </c>
      <c r="AC147" s="63">
        <f t="shared" si="83"/>
        <v>11754.992969999999</v>
      </c>
      <c r="AD147" s="63">
        <f t="shared" si="84"/>
        <v>16603.460999999999</v>
      </c>
      <c r="AE147" s="63">
        <f t="shared" si="85"/>
        <v>0</v>
      </c>
      <c r="AF147" s="63">
        <f t="shared" si="86"/>
        <v>0</v>
      </c>
      <c r="AG147" s="63">
        <f t="shared" si="87"/>
        <v>0</v>
      </c>
      <c r="AH147" s="202">
        <f t="shared" si="88"/>
        <v>52358.453970000002</v>
      </c>
      <c r="AI147" s="138"/>
      <c r="AJ147" s="63">
        <f t="shared" si="89"/>
        <v>9000</v>
      </c>
      <c r="AK147" s="63">
        <f t="shared" si="90"/>
        <v>66928.680000000008</v>
      </c>
      <c r="AL147" s="63"/>
      <c r="AM147" s="63">
        <f t="shared" si="93"/>
        <v>0</v>
      </c>
      <c r="AN147" s="63">
        <f t="shared" si="94"/>
        <v>0</v>
      </c>
      <c r="AO147" s="63">
        <f t="shared" si="95"/>
        <v>0</v>
      </c>
      <c r="AP147" s="202">
        <f t="shared" si="73"/>
        <v>75928.680000000008</v>
      </c>
      <c r="AQ147" s="63">
        <f t="shared" si="91"/>
        <v>23570.226030000005</v>
      </c>
      <c r="AR147" s="157">
        <f t="shared" si="96"/>
        <v>0.45017039738234282</v>
      </c>
      <c r="AT147" s="111">
        <f>VLOOKUP(K147,'G2-8 Summary'!J:P,7,FALSE)</f>
        <v>1</v>
      </c>
      <c r="AU147" s="157">
        <f t="shared" si="78"/>
        <v>8.8495575221238937E-3</v>
      </c>
      <c r="AW147" s="138">
        <f t="shared" si="79"/>
        <v>208.59</v>
      </c>
      <c r="AX147" s="139">
        <f t="shared" si="80"/>
        <v>4.0000000000000001E-3</v>
      </c>
      <c r="BC147" s="109"/>
    </row>
    <row r="148" spans="1:55" s="167" customFormat="1" x14ac:dyDescent="0.25">
      <c r="A148" s="167" t="s">
        <v>172</v>
      </c>
      <c r="B148" s="167" t="s">
        <v>155</v>
      </c>
      <c r="C148" s="167" t="s">
        <v>187</v>
      </c>
      <c r="D148" s="167" t="s">
        <v>174</v>
      </c>
      <c r="E148" s="167" t="s">
        <v>115</v>
      </c>
      <c r="F148" s="167" t="str">
        <f>INDEX('Rate Design (Consol)'!$B$48:$B$66,MATCH('Bill Impact Detail'!G148,'Rate Design (Consol)'!$C$48:$C$66,0))</f>
        <v>GS-6</v>
      </c>
      <c r="G148" s="167" t="s">
        <v>16</v>
      </c>
      <c r="H148" s="167" t="str">
        <f>INDEX('Rate Design (Consol)'!$D$48:$D$66,MATCH('Bill Impact Detail'!I148,'Rate Design (Consol)'!$E$48:$E$66,0))</f>
        <v>GS-6</v>
      </c>
      <c r="I148" s="167" t="str">
        <f t="shared" si="72"/>
        <v>General Service - 6</v>
      </c>
      <c r="J148" s="167" t="str">
        <f>VLOOKUP(I148,'Rate Design (Consol)'!$E$48:$F$66,2,FALSE)</f>
        <v>&gt; 250,000 &lt; = 500,000</v>
      </c>
      <c r="K148" s="169" t="str">
        <f t="shared" si="81"/>
        <v>CFG-CFG - Firm Transportation Service - 9-GS-6</v>
      </c>
      <c r="L148" s="169">
        <v>10</v>
      </c>
      <c r="M148" s="169" t="s">
        <v>257</v>
      </c>
      <c r="N148" s="138">
        <f>VLOOKUP(K148,'G2-8 Summary'!J:O,6,FALSE)</f>
        <v>481287</v>
      </c>
      <c r="O148" s="63">
        <f>INDEX('G2-8 Summary'!S:S,MATCH('Bill Impact Detail'!K148,'G2-8 Summary'!J:J,0))</f>
        <v>2000</v>
      </c>
      <c r="P148" s="63">
        <f>SUMIFS('Rate Design (Consol)'!K:K,'Rate Design (Consol)'!A:A,M148,'Rate Design (Consol)'!D:D,H148)</f>
        <v>2500</v>
      </c>
      <c r="Q148" s="63"/>
      <c r="R148" s="142">
        <f t="shared" si="92"/>
        <v>0.22033</v>
      </c>
      <c r="S148" s="141">
        <f>INDEX('G2-8 Summary'!V:V,MATCH('Bill Impact Detail'!K148,'G2-8 Summary'!J:J,0))</f>
        <v>9.1329999999999995E-2</v>
      </c>
      <c r="T148" s="141">
        <f>SUMIFS('Rate Design (Consol)'!L:L,'Rate Design (Consol)'!A:A,M148,'Rate Design (Consol)'!D:D,H148)</f>
        <v>0.49419000000000002</v>
      </c>
      <c r="U148" s="141"/>
      <c r="W148" s="64">
        <f>VLOOKUP($K148,'G2-8 Summary'!$J:$AA,15,FALSE)</f>
        <v>0.129</v>
      </c>
      <c r="X148" s="64"/>
      <c r="Y148" s="64"/>
      <c r="Z148" s="64"/>
      <c r="AB148" s="63">
        <f t="shared" si="82"/>
        <v>24000</v>
      </c>
      <c r="AC148" s="63">
        <f t="shared" si="83"/>
        <v>43955.941709999999</v>
      </c>
      <c r="AD148" s="63">
        <f t="shared" si="84"/>
        <v>62086.023000000001</v>
      </c>
      <c r="AE148" s="63">
        <f t="shared" si="85"/>
        <v>0</v>
      </c>
      <c r="AF148" s="63">
        <f t="shared" si="86"/>
        <v>0</v>
      </c>
      <c r="AG148" s="63">
        <f t="shared" si="87"/>
        <v>0</v>
      </c>
      <c r="AH148" s="202">
        <f t="shared" si="88"/>
        <v>130041.96471</v>
      </c>
      <c r="AI148" s="138"/>
      <c r="AJ148" s="63">
        <f t="shared" si="89"/>
        <v>30000</v>
      </c>
      <c r="AK148" s="63">
        <f t="shared" si="90"/>
        <v>237847.22253</v>
      </c>
      <c r="AL148" s="63"/>
      <c r="AM148" s="63">
        <f t="shared" si="93"/>
        <v>0</v>
      </c>
      <c r="AN148" s="63">
        <f t="shared" si="94"/>
        <v>0</v>
      </c>
      <c r="AO148" s="63">
        <f t="shared" si="95"/>
        <v>0</v>
      </c>
      <c r="AP148" s="202">
        <f t="shared" si="73"/>
        <v>267847.22253000003</v>
      </c>
      <c r="AQ148" s="63">
        <f t="shared" si="91"/>
        <v>137805.25782000003</v>
      </c>
      <c r="AR148" s="157">
        <f t="shared" si="96"/>
        <v>1.0596983683483447</v>
      </c>
      <c r="AT148" s="111">
        <f>VLOOKUP(K148,'G2-8 Summary'!J:P,7,FALSE)</f>
        <v>2</v>
      </c>
      <c r="AU148" s="157">
        <f t="shared" si="78"/>
        <v>5.8823529411764705E-2</v>
      </c>
      <c r="AW148" s="138">
        <f t="shared" si="79"/>
        <v>8106.19</v>
      </c>
      <c r="AX148" s="139">
        <f t="shared" si="80"/>
        <v>6.2300000000000001E-2</v>
      </c>
      <c r="BC148" s="109"/>
    </row>
    <row r="149" spans="1:55" s="167" customFormat="1" x14ac:dyDescent="0.25">
      <c r="A149" s="167" t="s">
        <v>172</v>
      </c>
      <c r="B149" s="167" t="s">
        <v>155</v>
      </c>
      <c r="C149" s="167" t="s">
        <v>187</v>
      </c>
      <c r="D149" s="167" t="s">
        <v>174</v>
      </c>
      <c r="E149" s="167" t="s">
        <v>115</v>
      </c>
      <c r="F149" s="167" t="str">
        <f>INDEX('Rate Design (Consol)'!$B$48:$B$66,MATCH('Bill Impact Detail'!G149,'Rate Design (Consol)'!$C$48:$C$66,0))</f>
        <v>GS-7</v>
      </c>
      <c r="G149" s="167" t="s">
        <v>17</v>
      </c>
      <c r="H149" s="167" t="str">
        <f>INDEX('Rate Design (Consol)'!$D$48:$D$66,MATCH('Bill Impact Detail'!I149,'Rate Design (Consol)'!$E$48:$E$66,0))</f>
        <v>GS-7</v>
      </c>
      <c r="I149" s="167" t="str">
        <f t="shared" si="72"/>
        <v>General Service - 7</v>
      </c>
      <c r="J149" s="167" t="str">
        <f>VLOOKUP(I149,'Rate Design (Consol)'!$E$48:$F$66,2,FALSE)</f>
        <v>&gt; 500,000 &lt; = 1,000,000</v>
      </c>
      <c r="K149" s="169" t="str">
        <f t="shared" si="81"/>
        <v>CFG-CFG - Firm Transportation Service - 9-GS-7</v>
      </c>
      <c r="L149" s="169">
        <v>11</v>
      </c>
      <c r="M149" s="169" t="s">
        <v>257</v>
      </c>
      <c r="N149" s="138">
        <f>VLOOKUP(K149,'G2-8 Summary'!J:O,6,FALSE)</f>
        <v>862528</v>
      </c>
      <c r="O149" s="63">
        <f>INDEX('G2-8 Summary'!S:S,MATCH('Bill Impact Detail'!K149,'G2-8 Summary'!J:J,0))</f>
        <v>2000</v>
      </c>
      <c r="P149" s="63">
        <f>SUMIFS('Rate Design (Consol)'!K:K,'Rate Design (Consol)'!A:A,M149,'Rate Design (Consol)'!D:D,H149)</f>
        <v>4500</v>
      </c>
      <c r="Q149" s="63"/>
      <c r="R149" s="142">
        <f t="shared" si="92"/>
        <v>0.22033</v>
      </c>
      <c r="S149" s="141">
        <f>INDEX('G2-8 Summary'!V:V,MATCH('Bill Impact Detail'!K149,'G2-8 Summary'!J:J,0))</f>
        <v>9.1329999999999995E-2</v>
      </c>
      <c r="T149" s="141">
        <f>SUMIFS('Rate Design (Consol)'!L:L,'Rate Design (Consol)'!A:A,M149,'Rate Design (Consol)'!D:D,H149)</f>
        <v>0.38796999999999998</v>
      </c>
      <c r="U149" s="141"/>
      <c r="W149" s="64">
        <f>VLOOKUP($K149,'G2-8 Summary'!$J:$AA,15,FALSE)</f>
        <v>0.129</v>
      </c>
      <c r="X149" s="64"/>
      <c r="Y149" s="64"/>
      <c r="Z149" s="64"/>
      <c r="AB149" s="63">
        <f t="shared" si="82"/>
        <v>24000</v>
      </c>
      <c r="AC149" s="63">
        <f t="shared" si="83"/>
        <v>78774.682239999995</v>
      </c>
      <c r="AD149" s="63">
        <f t="shared" si="84"/>
        <v>111266.11200000001</v>
      </c>
      <c r="AE149" s="63">
        <f t="shared" si="85"/>
        <v>0</v>
      </c>
      <c r="AF149" s="63">
        <f t="shared" si="86"/>
        <v>0</v>
      </c>
      <c r="AG149" s="63">
        <f t="shared" si="87"/>
        <v>0</v>
      </c>
      <c r="AH149" s="202">
        <f t="shared" si="88"/>
        <v>214040.79424000002</v>
      </c>
      <c r="AI149" s="138"/>
      <c r="AJ149" s="63">
        <f t="shared" si="89"/>
        <v>54000</v>
      </c>
      <c r="AK149" s="63">
        <f t="shared" si="90"/>
        <v>334634.98816000001</v>
      </c>
      <c r="AL149" s="63"/>
      <c r="AM149" s="63">
        <f t="shared" si="93"/>
        <v>0</v>
      </c>
      <c r="AN149" s="63">
        <f t="shared" si="94"/>
        <v>0</v>
      </c>
      <c r="AO149" s="63">
        <f t="shared" si="95"/>
        <v>0</v>
      </c>
      <c r="AP149" s="202">
        <f t="shared" si="73"/>
        <v>388634.98816000001</v>
      </c>
      <c r="AQ149" s="63">
        <f t="shared" si="91"/>
        <v>174594.19391999999</v>
      </c>
      <c r="AR149" s="157">
        <f t="shared" si="96"/>
        <v>0.81570522357635589</v>
      </c>
      <c r="AT149" s="111">
        <f>VLOOKUP(K149,'G2-8 Summary'!J:P,7,FALSE)</f>
        <v>3</v>
      </c>
      <c r="AU149" s="157">
        <f t="shared" si="78"/>
        <v>0.25</v>
      </c>
      <c r="AW149" s="138">
        <f t="shared" si="79"/>
        <v>43648.55</v>
      </c>
      <c r="AX149" s="139">
        <f t="shared" si="80"/>
        <v>0.2039</v>
      </c>
      <c r="BC149" s="109"/>
    </row>
    <row r="150" spans="1:55" s="167" customFormat="1" x14ac:dyDescent="0.25">
      <c r="A150" s="167" t="s">
        <v>172</v>
      </c>
      <c r="B150" s="167" t="s">
        <v>152</v>
      </c>
      <c r="C150" s="167" t="s">
        <v>188</v>
      </c>
      <c r="D150" s="167" t="s">
        <v>174</v>
      </c>
      <c r="E150" s="167" t="s">
        <v>80</v>
      </c>
      <c r="F150" s="167" t="str">
        <f>INDEX('Rate Design (Consol)'!$B$48:$B$66,MATCH('Bill Impact Detail'!G150,'Rate Design (Consol)'!$C$48:$C$66,0))</f>
        <v>RES-2</v>
      </c>
      <c r="G150" s="167" t="s">
        <v>9</v>
      </c>
      <c r="H150" s="167" t="str">
        <f>INDEX('Rate Design (Consol)'!$D$48:$D$66,MATCH('Bill Impact Detail'!I150,'Rate Design (Consol)'!$E$48:$E$66,0))</f>
        <v>RES-2</v>
      </c>
      <c r="I150" s="167" t="str">
        <f t="shared" ref="I150:I165" si="97">G150</f>
        <v>Residential - 2</v>
      </c>
      <c r="J150" s="167" t="str">
        <f>VLOOKUP(I150,'Rate Design (Consol)'!$E$48:$F$66,2,FALSE)</f>
        <v>&gt; 100 &lt; = 250</v>
      </c>
      <c r="K150" s="169" t="str">
        <f t="shared" si="81"/>
        <v>CFG-CFG - Firm Transportation Service - A (Fixed Residential)-RES-2</v>
      </c>
      <c r="L150" s="169">
        <v>2</v>
      </c>
      <c r="M150" s="169" t="s">
        <v>257</v>
      </c>
      <c r="N150" s="138">
        <f>VLOOKUP(K150,'G2-8 Summary'!J:O,6,FALSE)</f>
        <v>142</v>
      </c>
      <c r="O150" s="63">
        <f>INDEX('G2-8 Summary'!S:S,MATCH('Bill Impact Detail'!K150,'G2-8 Summary'!J:J,0))</f>
        <v>17</v>
      </c>
      <c r="P150" s="63">
        <f>SUMIFS('Rate Design (Consol)'!K:K,'Rate Design (Consol)'!A:A,M150,'Rate Design (Consol)'!D:D,H150)</f>
        <v>19.5</v>
      </c>
      <c r="Q150" s="63"/>
      <c r="R150" s="142">
        <f t="shared" si="92"/>
        <v>0.71307000000000009</v>
      </c>
      <c r="S150" s="141">
        <f>INDEX('G2-8 Summary'!V:V,MATCH('Bill Impact Detail'!K150,'G2-8 Summary'!J:J,0))</f>
        <v>0</v>
      </c>
      <c r="T150" s="141">
        <f>SUMIFS('Rate Design (Consol)'!L:L,'Rate Design (Consol)'!A:A,M150,'Rate Design (Consol)'!D:D,H150)</f>
        <v>0.65271999999999997</v>
      </c>
      <c r="U150" s="141"/>
      <c r="W150" s="64">
        <f>VLOOKUP($K150,'G2-8 Summary'!$J:$AA,15,FALSE)</f>
        <v>0.71307000000000009</v>
      </c>
      <c r="X150" s="64"/>
      <c r="Y150" s="64"/>
      <c r="Z150" s="64"/>
      <c r="AB150" s="63">
        <f t="shared" si="82"/>
        <v>204</v>
      </c>
      <c r="AC150" s="63">
        <f t="shared" si="83"/>
        <v>0</v>
      </c>
      <c r="AD150" s="63">
        <f t="shared" si="84"/>
        <v>101.25594000000001</v>
      </c>
      <c r="AE150" s="63">
        <f t="shared" si="85"/>
        <v>0</v>
      </c>
      <c r="AF150" s="63">
        <f t="shared" si="86"/>
        <v>0</v>
      </c>
      <c r="AG150" s="63">
        <f t="shared" si="87"/>
        <v>0</v>
      </c>
      <c r="AH150" s="202">
        <f t="shared" si="88"/>
        <v>305.25594000000001</v>
      </c>
      <c r="AI150" s="138"/>
      <c r="AJ150" s="63">
        <f t="shared" si="89"/>
        <v>234</v>
      </c>
      <c r="AK150" s="63">
        <f t="shared" si="90"/>
        <v>92.686239999999998</v>
      </c>
      <c r="AL150" s="63"/>
      <c r="AM150" s="63">
        <f t="shared" si="93"/>
        <v>0</v>
      </c>
      <c r="AN150" s="63">
        <f t="shared" si="94"/>
        <v>0</v>
      </c>
      <c r="AO150" s="63">
        <f t="shared" si="95"/>
        <v>0</v>
      </c>
      <c r="AP150" s="202">
        <f t="shared" si="73"/>
        <v>326.68624</v>
      </c>
      <c r="AQ150" s="63">
        <f t="shared" si="91"/>
        <v>21.430299999999988</v>
      </c>
      <c r="AR150" s="157">
        <f t="shared" si="96"/>
        <v>7.0204366866702048E-2</v>
      </c>
      <c r="AT150" s="111">
        <f>VLOOKUP(K150,'G2-8 Summary'!J:P,7,FALSE)</f>
        <v>5</v>
      </c>
      <c r="AU150" s="157">
        <f t="shared" si="78"/>
        <v>1.3511687609782462E-4</v>
      </c>
      <c r="AW150" s="138">
        <f t="shared" si="79"/>
        <v>0</v>
      </c>
      <c r="AX150" s="139">
        <f t="shared" si="80"/>
        <v>0</v>
      </c>
      <c r="BC150" s="109"/>
    </row>
    <row r="151" spans="1:55" s="167" customFormat="1" x14ac:dyDescent="0.25">
      <c r="A151" s="167" t="s">
        <v>172</v>
      </c>
      <c r="B151" s="167" t="s">
        <v>152</v>
      </c>
      <c r="C151" s="167" t="s">
        <v>188</v>
      </c>
      <c r="D151" s="167" t="s">
        <v>174</v>
      </c>
      <c r="E151" s="167" t="s">
        <v>80</v>
      </c>
      <c r="F151" s="167" t="str">
        <f>INDEX('Rate Design (Consol)'!$B$48:$B$66,MATCH('Bill Impact Detail'!G151,'Rate Design (Consol)'!$C$48:$C$66,0))</f>
        <v>RES-3</v>
      </c>
      <c r="G151" s="167" t="s">
        <v>266</v>
      </c>
      <c r="H151" s="167" t="str">
        <f>INDEX('Rate Design (Consol)'!$D$48:$D$66,MATCH('Bill Impact Detail'!I151,'Rate Design (Consol)'!$E$48:$E$66,0))</f>
        <v>RES-3</v>
      </c>
      <c r="I151" s="167" t="str">
        <f t="shared" si="97"/>
        <v>Residential - 3</v>
      </c>
      <c r="J151" s="167" t="str">
        <f>VLOOKUP(I151,'Rate Design (Consol)'!$E$48:$F$66,2,FALSE)</f>
        <v>n/a</v>
      </c>
      <c r="K151" s="169" t="str">
        <f t="shared" si="81"/>
        <v>CFG-CFG - Firm Transportation Service - A (Fixed Residential)-RES-3</v>
      </c>
      <c r="L151" s="169">
        <v>3</v>
      </c>
      <c r="M151" s="169" t="s">
        <v>257</v>
      </c>
      <c r="N151" s="138">
        <f>VLOOKUP(K151,'G2-8 Summary'!J:O,6,FALSE)</f>
        <v>247</v>
      </c>
      <c r="O151" s="63">
        <f>INDEX('G2-8 Summary'!S:S,MATCH('Bill Impact Detail'!K151,'G2-8 Summary'!J:J,0))</f>
        <v>17</v>
      </c>
      <c r="P151" s="63">
        <f>SUMIFS('Rate Design (Consol)'!K:K,'Rate Design (Consol)'!A:A,M151,'Rate Design (Consol)'!D:D,H151)</f>
        <v>26.5</v>
      </c>
      <c r="Q151" s="63"/>
      <c r="R151" s="142">
        <f t="shared" si="92"/>
        <v>0.71307000000000009</v>
      </c>
      <c r="S151" s="141">
        <f>INDEX('G2-8 Summary'!V:V,MATCH('Bill Impact Detail'!K151,'G2-8 Summary'!J:J,0))</f>
        <v>0</v>
      </c>
      <c r="T151" s="141">
        <f>SUMIFS('Rate Design (Consol)'!L:L,'Rate Design (Consol)'!A:A,M151,'Rate Design (Consol)'!D:D,H151)</f>
        <v>0.65386</v>
      </c>
      <c r="U151" s="141"/>
      <c r="W151" s="64">
        <f>VLOOKUP($K151,'G2-8 Summary'!$J:$AA,15,FALSE)</f>
        <v>0.71307000000000009</v>
      </c>
      <c r="X151" s="64"/>
      <c r="Y151" s="64"/>
      <c r="Z151" s="64"/>
      <c r="AB151" s="63">
        <f t="shared" si="82"/>
        <v>204</v>
      </c>
      <c r="AC151" s="63">
        <f t="shared" si="83"/>
        <v>0</v>
      </c>
      <c r="AD151" s="63">
        <f t="shared" si="84"/>
        <v>176.12829000000002</v>
      </c>
      <c r="AE151" s="63">
        <f t="shared" si="85"/>
        <v>0</v>
      </c>
      <c r="AF151" s="63">
        <f t="shared" si="86"/>
        <v>0</v>
      </c>
      <c r="AG151" s="63">
        <f t="shared" si="87"/>
        <v>0</v>
      </c>
      <c r="AH151" s="202">
        <f t="shared" si="88"/>
        <v>380.12828999999999</v>
      </c>
      <c r="AI151" s="138"/>
      <c r="AJ151" s="63">
        <f t="shared" si="89"/>
        <v>318</v>
      </c>
      <c r="AK151" s="63">
        <f t="shared" si="90"/>
        <v>161.50342000000001</v>
      </c>
      <c r="AL151" s="63"/>
      <c r="AM151" s="63">
        <f t="shared" si="93"/>
        <v>0</v>
      </c>
      <c r="AN151" s="63">
        <f t="shared" si="94"/>
        <v>0</v>
      </c>
      <c r="AO151" s="63">
        <f t="shared" si="95"/>
        <v>0</v>
      </c>
      <c r="AP151" s="202">
        <f t="shared" si="73"/>
        <v>479.50342000000001</v>
      </c>
      <c r="AQ151" s="63">
        <f t="shared" si="91"/>
        <v>99.375130000000013</v>
      </c>
      <c r="AR151" s="157">
        <f t="shared" si="96"/>
        <v>0.26142524146255997</v>
      </c>
      <c r="AT151" s="111">
        <f>VLOOKUP(K151,'G2-8 Summary'!J:P,7,FALSE)</f>
        <v>1</v>
      </c>
      <c r="AU151" s="157">
        <f t="shared" si="78"/>
        <v>5.1735733871384965E-5</v>
      </c>
      <c r="AW151" s="138">
        <f t="shared" si="79"/>
        <v>0.01</v>
      </c>
      <c r="AX151" s="139">
        <f t="shared" si="80"/>
        <v>0</v>
      </c>
      <c r="BC151" s="109"/>
    </row>
    <row r="152" spans="1:55" s="167" customFormat="1" x14ac:dyDescent="0.25">
      <c r="A152" s="167" t="s">
        <v>172</v>
      </c>
      <c r="B152" s="167" t="s">
        <v>152</v>
      </c>
      <c r="C152" s="167" t="s">
        <v>188</v>
      </c>
      <c r="D152" s="167" t="s">
        <v>174</v>
      </c>
      <c r="E152" s="167" t="s">
        <v>80</v>
      </c>
      <c r="F152" s="167" t="str">
        <f>INDEX('Rate Design (Consol)'!$B$48:$B$66,MATCH('Bill Impact Detail'!G152,'Rate Design (Consol)'!$C$48:$C$66,0))</f>
        <v>RES-1</v>
      </c>
      <c r="G152" s="167" t="s">
        <v>8</v>
      </c>
      <c r="H152" s="167" t="str">
        <f>INDEX('Rate Design (Consol)'!$D$48:$D$66,MATCH('Bill Impact Detail'!I152,'Rate Design (Consol)'!$E$48:$E$66,0))</f>
        <v>RES-1</v>
      </c>
      <c r="I152" s="167" t="str">
        <f t="shared" si="97"/>
        <v>Residential - 1</v>
      </c>
      <c r="J152" s="167" t="str">
        <f>VLOOKUP(I152,'Rate Design (Consol)'!$E$48:$F$66,2,FALSE)</f>
        <v>&lt; = 100</v>
      </c>
      <c r="K152" s="169" t="str">
        <f t="shared" si="81"/>
        <v>CFG-CFG - Firm Transportation Service - A (Fixed Residential)-RES-1</v>
      </c>
      <c r="L152" s="169">
        <v>1</v>
      </c>
      <c r="M152" s="169" t="s">
        <v>257</v>
      </c>
      <c r="N152" s="138">
        <f>VLOOKUP(K152,'G2-8 Summary'!J:O,6,FALSE)</f>
        <v>67</v>
      </c>
      <c r="O152" s="63">
        <f>INDEX('G2-8 Summary'!S:S,MATCH('Bill Impact Detail'!K152,'G2-8 Summary'!J:J,0))</f>
        <v>17</v>
      </c>
      <c r="P152" s="63">
        <f>SUMIFS('Rate Design (Consol)'!K:K,'Rate Design (Consol)'!A:A,M152,'Rate Design (Consol)'!D:D,H152)</f>
        <v>16.5</v>
      </c>
      <c r="Q152" s="63"/>
      <c r="R152" s="142">
        <f t="shared" si="92"/>
        <v>0.71307000000000009</v>
      </c>
      <c r="S152" s="141">
        <f>INDEX('G2-8 Summary'!V:V,MATCH('Bill Impact Detail'!K152,'G2-8 Summary'!J:J,0))</f>
        <v>0</v>
      </c>
      <c r="T152" s="141">
        <f>SUMIFS('Rate Design (Consol)'!L:L,'Rate Design (Consol)'!A:A,M152,'Rate Design (Consol)'!D:D,H152)</f>
        <v>0.65229000000000004</v>
      </c>
      <c r="U152" s="141"/>
      <c r="W152" s="64">
        <f>VLOOKUP($K152,'G2-8 Summary'!$J:$AA,15,FALSE)</f>
        <v>0.71307000000000009</v>
      </c>
      <c r="X152" s="64"/>
      <c r="Y152" s="64"/>
      <c r="Z152" s="64"/>
      <c r="AB152" s="63">
        <f t="shared" si="82"/>
        <v>204</v>
      </c>
      <c r="AC152" s="63">
        <f t="shared" si="83"/>
        <v>0</v>
      </c>
      <c r="AD152" s="63">
        <f t="shared" si="84"/>
        <v>47.775690000000004</v>
      </c>
      <c r="AE152" s="63">
        <f t="shared" si="85"/>
        <v>0</v>
      </c>
      <c r="AF152" s="63">
        <f t="shared" si="86"/>
        <v>0</v>
      </c>
      <c r="AG152" s="63">
        <f t="shared" si="87"/>
        <v>0</v>
      </c>
      <c r="AH152" s="202">
        <f t="shared" si="88"/>
        <v>251.77569</v>
      </c>
      <c r="AI152" s="138"/>
      <c r="AJ152" s="63">
        <f t="shared" si="89"/>
        <v>198</v>
      </c>
      <c r="AK152" s="63">
        <f t="shared" si="90"/>
        <v>43.703430000000004</v>
      </c>
      <c r="AL152" s="63"/>
      <c r="AM152" s="63">
        <f t="shared" si="93"/>
        <v>0</v>
      </c>
      <c r="AN152" s="63">
        <f t="shared" si="94"/>
        <v>0</v>
      </c>
      <c r="AO152" s="63">
        <f t="shared" si="95"/>
        <v>0</v>
      </c>
      <c r="AP152" s="202">
        <f t="shared" si="73"/>
        <v>241.70343</v>
      </c>
      <c r="AQ152" s="63">
        <f t="shared" si="91"/>
        <v>-10.07226</v>
      </c>
      <c r="AR152" s="157">
        <f t="shared" si="96"/>
        <v>-4.0004894833174723E-2</v>
      </c>
      <c r="AT152" s="111">
        <f>VLOOKUP(K152,'G2-8 Summary'!J:P,7,FALSE)</f>
        <v>24</v>
      </c>
      <c r="AU152" s="157">
        <f t="shared" si="78"/>
        <v>8.6253369272237194E-4</v>
      </c>
      <c r="AW152" s="138">
        <f t="shared" si="79"/>
        <v>-0.01</v>
      </c>
      <c r="AX152" s="139">
        <f t="shared" si="80"/>
        <v>0</v>
      </c>
      <c r="BC152" s="109"/>
    </row>
    <row r="153" spans="1:55" s="167" customFormat="1" x14ac:dyDescent="0.25">
      <c r="A153" s="167" t="s">
        <v>172</v>
      </c>
      <c r="B153" s="167" t="s">
        <v>155</v>
      </c>
      <c r="C153" s="167" t="s">
        <v>188</v>
      </c>
      <c r="D153" s="167" t="s">
        <v>174</v>
      </c>
      <c r="E153" s="167" t="s">
        <v>102</v>
      </c>
      <c r="F153" s="167" t="str">
        <f>INDEX('Rate Design (Consol)'!$B$48:$B$66,MATCH('Bill Impact Detail'!G153,'Rate Design (Consol)'!$C$48:$C$66,0))</f>
        <v>GS-1</v>
      </c>
      <c r="G153" s="167" t="s">
        <v>11</v>
      </c>
      <c r="H153" s="167" t="str">
        <f>INDEX('Rate Design (Consol)'!$D$48:$D$66,MATCH('Bill Impact Detail'!I153,'Rate Design (Consol)'!$E$48:$E$66,0))</f>
        <v>GS-1</v>
      </c>
      <c r="I153" s="167" t="str">
        <f t="shared" si="97"/>
        <v>General Service - 1</v>
      </c>
      <c r="J153" s="167" t="str">
        <f>VLOOKUP(I153,'Rate Design (Consol)'!$E$48:$F$66,2,FALSE)</f>
        <v>&lt; = 1000</v>
      </c>
      <c r="K153" s="169" t="str">
        <f t="shared" si="81"/>
        <v>CFG-CFG - Firm Transportation Service - A Non-Residential-GS-1</v>
      </c>
      <c r="L153" s="169">
        <v>5</v>
      </c>
      <c r="M153" s="169" t="s">
        <v>257</v>
      </c>
      <c r="N153" s="138">
        <f>VLOOKUP(K153,'G2-8 Summary'!J:O,6,FALSE)</f>
        <v>35</v>
      </c>
      <c r="O153" s="63">
        <f>INDEX('G2-8 Summary'!S:S,MATCH('Bill Impact Detail'!K153,'G2-8 Summary'!J:J,0))</f>
        <v>13</v>
      </c>
      <c r="P153" s="63">
        <f>SUMIFS('Rate Design (Consol)'!K:K,'Rate Design (Consol)'!A:A,M153,'Rate Design (Consol)'!D:D,H153)</f>
        <v>40</v>
      </c>
      <c r="Q153" s="63"/>
      <c r="R153" s="142">
        <f t="shared" si="92"/>
        <v>1.17665</v>
      </c>
      <c r="S153" s="141">
        <f>INDEX('G2-8 Summary'!V:V,MATCH('Bill Impact Detail'!K153,'G2-8 Summary'!J:J,0))</f>
        <v>0.46357999999999999</v>
      </c>
      <c r="T153" s="141">
        <f>SUMIFS('Rate Design (Consol)'!L:L,'Rate Design (Consol)'!A:A,M153,'Rate Design (Consol)'!D:D,H153)</f>
        <v>0.70123999999999997</v>
      </c>
      <c r="U153" s="141"/>
      <c r="W153" s="64">
        <f>VLOOKUP($K153,'G2-8 Summary'!$J:$AA,15,FALSE)</f>
        <v>0.71307000000000009</v>
      </c>
      <c r="X153" s="64"/>
      <c r="Y153" s="64"/>
      <c r="Z153" s="64"/>
      <c r="AB153" s="63">
        <f t="shared" si="82"/>
        <v>156</v>
      </c>
      <c r="AC153" s="63">
        <f t="shared" si="83"/>
        <v>16.225300000000001</v>
      </c>
      <c r="AD153" s="63">
        <f t="shared" si="84"/>
        <v>24.957450000000001</v>
      </c>
      <c r="AE153" s="63">
        <f t="shared" si="85"/>
        <v>0</v>
      </c>
      <c r="AF153" s="63">
        <f t="shared" si="86"/>
        <v>0</v>
      </c>
      <c r="AG153" s="63">
        <f t="shared" si="87"/>
        <v>0</v>
      </c>
      <c r="AH153" s="202">
        <f t="shared" si="88"/>
        <v>197.18275</v>
      </c>
      <c r="AI153" s="138"/>
      <c r="AJ153" s="63">
        <f t="shared" si="89"/>
        <v>480</v>
      </c>
      <c r="AK153" s="63">
        <f t="shared" si="90"/>
        <v>24.543399999999998</v>
      </c>
      <c r="AL153" s="63"/>
      <c r="AM153" s="63">
        <f t="shared" si="93"/>
        <v>0</v>
      </c>
      <c r="AN153" s="63">
        <f t="shared" si="94"/>
        <v>0</v>
      </c>
      <c r="AO153" s="63">
        <f t="shared" si="95"/>
        <v>0</v>
      </c>
      <c r="AP153" s="202">
        <f t="shared" ref="AP153:AP165" si="98">SUM(AJ153:AO153)</f>
        <v>504.54340000000002</v>
      </c>
      <c r="AQ153" s="63">
        <f t="shared" si="91"/>
        <v>307.36065000000002</v>
      </c>
      <c r="AR153" s="157">
        <f t="shared" si="96"/>
        <v>1.5587603378084545</v>
      </c>
      <c r="AT153" s="111">
        <f>VLOOKUP(K153,'G2-8 Summary'!J:P,7,FALSE)</f>
        <v>9</v>
      </c>
      <c r="AU153" s="157">
        <f t="shared" si="78"/>
        <v>4.2392840320301462E-3</v>
      </c>
      <c r="AW153" s="138">
        <f t="shared" si="79"/>
        <v>1.3</v>
      </c>
      <c r="AX153" s="139">
        <f t="shared" si="80"/>
        <v>6.6E-3</v>
      </c>
      <c r="BC153" s="109"/>
    </row>
    <row r="154" spans="1:55" s="167" customFormat="1" x14ac:dyDescent="0.25">
      <c r="A154" s="167" t="s">
        <v>172</v>
      </c>
      <c r="B154" s="167" t="s">
        <v>152</v>
      </c>
      <c r="C154" s="167" t="s">
        <v>188</v>
      </c>
      <c r="D154" s="167" t="s">
        <v>174</v>
      </c>
      <c r="E154" s="167" t="s">
        <v>75</v>
      </c>
      <c r="F154" s="167" t="str">
        <f>INDEX('Rate Design (Consol)'!$B$48:$B$66,MATCH('Bill Impact Detail'!G154,'Rate Design (Consol)'!$C$48:$C$66,0))</f>
        <v>RES-2</v>
      </c>
      <c r="G154" s="167" t="s">
        <v>9</v>
      </c>
      <c r="H154" s="167" t="str">
        <f>INDEX('Rate Design (Consol)'!$D$48:$D$66,MATCH('Bill Impact Detail'!I154,'Rate Design (Consol)'!$E$48:$E$66,0))</f>
        <v>RES-2</v>
      </c>
      <c r="I154" s="167" t="str">
        <f t="shared" si="97"/>
        <v>Residential - 2</v>
      </c>
      <c r="J154" s="167" t="str">
        <f>VLOOKUP(I154,'Rate Design (Consol)'!$E$48:$F$66,2,FALSE)</f>
        <v>&gt; 100 &lt; = 250</v>
      </c>
      <c r="K154" s="169" t="str">
        <f t="shared" si="81"/>
        <v>CFG-CFG - Firm Transportation Service - A Residential-RES-2</v>
      </c>
      <c r="L154" s="169">
        <v>2</v>
      </c>
      <c r="M154" s="169" t="s">
        <v>257</v>
      </c>
      <c r="N154" s="138">
        <f>VLOOKUP(K154,'G2-8 Summary'!J:O,6,FALSE)</f>
        <v>139</v>
      </c>
      <c r="O154" s="63">
        <f>INDEX('G2-8 Summary'!S:S,MATCH('Bill Impact Detail'!K154,'G2-8 Summary'!J:J,0))</f>
        <v>13</v>
      </c>
      <c r="P154" s="63">
        <f>SUMIFS('Rate Design (Consol)'!K:K,'Rate Design (Consol)'!A:A,M154,'Rate Design (Consol)'!D:D,H154)</f>
        <v>19.5</v>
      </c>
      <c r="Q154" s="63"/>
      <c r="R154" s="142">
        <f t="shared" si="92"/>
        <v>1.17665</v>
      </c>
      <c r="S154" s="141">
        <f>INDEX('G2-8 Summary'!V:V,MATCH('Bill Impact Detail'!K154,'G2-8 Summary'!J:J,0))</f>
        <v>0.46357999999999999</v>
      </c>
      <c r="T154" s="141">
        <f>SUMIFS('Rate Design (Consol)'!L:L,'Rate Design (Consol)'!A:A,M154,'Rate Design (Consol)'!D:D,H154)</f>
        <v>0.65271999999999997</v>
      </c>
      <c r="U154" s="141"/>
      <c r="W154" s="64">
        <f>VLOOKUP($K154,'G2-8 Summary'!$J:$AA,15,FALSE)</f>
        <v>0.71307000000000009</v>
      </c>
      <c r="X154" s="64"/>
      <c r="Y154" s="64"/>
      <c r="Z154" s="64"/>
      <c r="AB154" s="63">
        <f t="shared" si="82"/>
        <v>156</v>
      </c>
      <c r="AC154" s="63">
        <f t="shared" si="83"/>
        <v>64.437619999999995</v>
      </c>
      <c r="AD154" s="63">
        <f t="shared" si="84"/>
        <v>99.116730000000018</v>
      </c>
      <c r="AE154" s="63">
        <f t="shared" si="85"/>
        <v>0</v>
      </c>
      <c r="AF154" s="63">
        <f t="shared" si="86"/>
        <v>0</v>
      </c>
      <c r="AG154" s="63">
        <f t="shared" si="87"/>
        <v>0</v>
      </c>
      <c r="AH154" s="202">
        <f t="shared" si="88"/>
        <v>319.55435</v>
      </c>
      <c r="AI154" s="138"/>
      <c r="AJ154" s="63">
        <f t="shared" si="89"/>
        <v>234</v>
      </c>
      <c r="AK154" s="63">
        <f t="shared" si="90"/>
        <v>90.728079999999991</v>
      </c>
      <c r="AL154" s="63"/>
      <c r="AM154" s="63">
        <f t="shared" si="93"/>
        <v>0</v>
      </c>
      <c r="AN154" s="63">
        <f t="shared" si="94"/>
        <v>0</v>
      </c>
      <c r="AO154" s="63">
        <f t="shared" si="95"/>
        <v>0</v>
      </c>
      <c r="AP154" s="202">
        <f t="shared" si="98"/>
        <v>324.72807999999998</v>
      </c>
      <c r="AQ154" s="63">
        <f t="shared" si="91"/>
        <v>5.1737299999999777</v>
      </c>
      <c r="AR154" s="157">
        <f t="shared" si="96"/>
        <v>1.6190453986935173E-2</v>
      </c>
      <c r="AT154" s="111">
        <f>VLOOKUP(K154,'G2-8 Summary'!J:P,7,FALSE)</f>
        <v>285</v>
      </c>
      <c r="AU154" s="157">
        <f t="shared" si="78"/>
        <v>7.7016619375760032E-3</v>
      </c>
      <c r="AW154" s="138">
        <f t="shared" si="79"/>
        <v>0.04</v>
      </c>
      <c r="AX154" s="139">
        <f t="shared" si="80"/>
        <v>1E-4</v>
      </c>
      <c r="BC154" s="109"/>
    </row>
    <row r="155" spans="1:55" s="167" customFormat="1" x14ac:dyDescent="0.25">
      <c r="A155" s="167" t="s">
        <v>172</v>
      </c>
      <c r="B155" s="167" t="s">
        <v>152</v>
      </c>
      <c r="C155" s="167" t="s">
        <v>188</v>
      </c>
      <c r="D155" s="167" t="s">
        <v>174</v>
      </c>
      <c r="E155" s="167" t="s">
        <v>75</v>
      </c>
      <c r="F155" s="167" t="str">
        <f>INDEX('Rate Design (Consol)'!$B$48:$B$66,MATCH('Bill Impact Detail'!G155,'Rate Design (Consol)'!$C$48:$C$66,0))</f>
        <v>RES-3</v>
      </c>
      <c r="G155" s="167" t="s">
        <v>266</v>
      </c>
      <c r="H155" s="167" t="str">
        <f>INDEX('Rate Design (Consol)'!$D$48:$D$66,MATCH('Bill Impact Detail'!I155,'Rate Design (Consol)'!$E$48:$E$66,0))</f>
        <v>RES-3</v>
      </c>
      <c r="I155" s="167" t="str">
        <f t="shared" si="97"/>
        <v>Residential - 3</v>
      </c>
      <c r="J155" s="167" t="str">
        <f>VLOOKUP(I155,'Rate Design (Consol)'!$E$48:$F$66,2,FALSE)</f>
        <v>n/a</v>
      </c>
      <c r="K155" s="169" t="str">
        <f t="shared" si="81"/>
        <v>CFG-CFG - Firm Transportation Service - A Residential-RES-3</v>
      </c>
      <c r="L155" s="169">
        <v>3</v>
      </c>
      <c r="M155" s="169" t="s">
        <v>257</v>
      </c>
      <c r="N155" s="138">
        <f>VLOOKUP(K155,'G2-8 Summary'!J:O,6,FALSE)</f>
        <v>449</v>
      </c>
      <c r="O155" s="63">
        <f>INDEX('G2-8 Summary'!S:S,MATCH('Bill Impact Detail'!K155,'G2-8 Summary'!J:J,0))</f>
        <v>13</v>
      </c>
      <c r="P155" s="63">
        <f>SUMIFS('Rate Design (Consol)'!K:K,'Rate Design (Consol)'!A:A,M155,'Rate Design (Consol)'!D:D,H155)</f>
        <v>26.5</v>
      </c>
      <c r="Q155" s="63"/>
      <c r="R155" s="142">
        <f t="shared" si="92"/>
        <v>1.17665</v>
      </c>
      <c r="S155" s="141">
        <f>INDEX('G2-8 Summary'!V:V,MATCH('Bill Impact Detail'!K155,'G2-8 Summary'!J:J,0))</f>
        <v>0.46357999999999999</v>
      </c>
      <c r="T155" s="141">
        <f>SUMIFS('Rate Design (Consol)'!L:L,'Rate Design (Consol)'!A:A,M155,'Rate Design (Consol)'!D:D,H155)</f>
        <v>0.65386</v>
      </c>
      <c r="U155" s="141"/>
      <c r="W155" s="64">
        <f>VLOOKUP($K155,'G2-8 Summary'!$J:$AA,15,FALSE)</f>
        <v>0.71307000000000009</v>
      </c>
      <c r="X155" s="64"/>
      <c r="Y155" s="64"/>
      <c r="Z155" s="64"/>
      <c r="AB155" s="63">
        <f t="shared" si="82"/>
        <v>156</v>
      </c>
      <c r="AC155" s="63">
        <f t="shared" si="83"/>
        <v>208.14741999999998</v>
      </c>
      <c r="AD155" s="63">
        <f t="shared" si="84"/>
        <v>320.16843000000006</v>
      </c>
      <c r="AE155" s="63">
        <f t="shared" si="85"/>
        <v>0</v>
      </c>
      <c r="AF155" s="63">
        <f t="shared" si="86"/>
        <v>0</v>
      </c>
      <c r="AG155" s="63">
        <f t="shared" si="87"/>
        <v>0</v>
      </c>
      <c r="AH155" s="202">
        <f t="shared" si="88"/>
        <v>684.31585000000007</v>
      </c>
      <c r="AI155" s="138"/>
      <c r="AJ155" s="63">
        <f t="shared" si="89"/>
        <v>318</v>
      </c>
      <c r="AK155" s="63">
        <f t="shared" si="90"/>
        <v>293.58314000000001</v>
      </c>
      <c r="AL155" s="63"/>
      <c r="AM155" s="63">
        <f t="shared" si="93"/>
        <v>0</v>
      </c>
      <c r="AN155" s="63">
        <f t="shared" si="94"/>
        <v>0</v>
      </c>
      <c r="AO155" s="63">
        <f t="shared" si="95"/>
        <v>0</v>
      </c>
      <c r="AP155" s="202">
        <f t="shared" si="98"/>
        <v>611.58313999999996</v>
      </c>
      <c r="AQ155" s="63">
        <f t="shared" si="91"/>
        <v>-72.732710000000111</v>
      </c>
      <c r="AR155" s="157">
        <f t="shared" si="96"/>
        <v>-0.1062852920913641</v>
      </c>
      <c r="AT155" s="111">
        <f>VLOOKUP(K155,'G2-8 Summary'!J:P,7,FALSE)</f>
        <v>14</v>
      </c>
      <c r="AU155" s="157">
        <f t="shared" si="78"/>
        <v>7.2430027419938953E-4</v>
      </c>
      <c r="AW155" s="138">
        <f t="shared" si="79"/>
        <v>-0.05</v>
      </c>
      <c r="AX155" s="139">
        <f t="shared" si="80"/>
        <v>-1E-4</v>
      </c>
      <c r="BC155" s="109"/>
    </row>
    <row r="156" spans="1:55" s="167" customFormat="1" x14ac:dyDescent="0.25">
      <c r="A156" s="167" t="s">
        <v>172</v>
      </c>
      <c r="B156" s="167" t="s">
        <v>152</v>
      </c>
      <c r="C156" s="167" t="s">
        <v>188</v>
      </c>
      <c r="D156" s="167" t="s">
        <v>174</v>
      </c>
      <c r="E156" s="167" t="s">
        <v>75</v>
      </c>
      <c r="F156" s="167" t="str">
        <f>INDEX('Rate Design (Consol)'!$B$48:$B$66,MATCH('Bill Impact Detail'!G156,'Rate Design (Consol)'!$C$48:$C$66,0))</f>
        <v>RES-1</v>
      </c>
      <c r="G156" s="167" t="s">
        <v>8</v>
      </c>
      <c r="H156" s="167" t="str">
        <f>INDEX('Rate Design (Consol)'!$D$48:$D$66,MATCH('Bill Impact Detail'!I156,'Rate Design (Consol)'!$E$48:$E$66,0))</f>
        <v>RES-1</v>
      </c>
      <c r="I156" s="167" t="str">
        <f t="shared" si="97"/>
        <v>Residential - 1</v>
      </c>
      <c r="J156" s="167" t="str">
        <f>VLOOKUP(I156,'Rate Design (Consol)'!$E$48:$F$66,2,FALSE)</f>
        <v>&lt; = 100</v>
      </c>
      <c r="K156" s="169" t="str">
        <f t="shared" si="81"/>
        <v>CFG-CFG - Firm Transportation Service - A Residential-RES-1</v>
      </c>
      <c r="L156" s="169">
        <v>1</v>
      </c>
      <c r="M156" s="169" t="s">
        <v>257</v>
      </c>
      <c r="N156" s="138">
        <f>VLOOKUP(K156,'G2-8 Summary'!J:O,6,FALSE)</f>
        <v>55</v>
      </c>
      <c r="O156" s="63">
        <f>INDEX('G2-8 Summary'!S:S,MATCH('Bill Impact Detail'!K156,'G2-8 Summary'!J:J,0))</f>
        <v>13</v>
      </c>
      <c r="P156" s="63">
        <f>SUMIFS('Rate Design (Consol)'!K:K,'Rate Design (Consol)'!A:A,M156,'Rate Design (Consol)'!D:D,H156)</f>
        <v>16.5</v>
      </c>
      <c r="Q156" s="63"/>
      <c r="R156" s="142">
        <f t="shared" si="92"/>
        <v>1.17665</v>
      </c>
      <c r="S156" s="141">
        <f>INDEX('G2-8 Summary'!V:V,MATCH('Bill Impact Detail'!K156,'G2-8 Summary'!J:J,0))</f>
        <v>0.46357999999999999</v>
      </c>
      <c r="T156" s="141">
        <f>SUMIFS('Rate Design (Consol)'!L:L,'Rate Design (Consol)'!A:A,M156,'Rate Design (Consol)'!D:D,H156)</f>
        <v>0.65229000000000004</v>
      </c>
      <c r="U156" s="141"/>
      <c r="W156" s="64">
        <f>VLOOKUP($K156,'G2-8 Summary'!$J:$AA,15,FALSE)</f>
        <v>0.71307000000000009</v>
      </c>
      <c r="X156" s="64"/>
      <c r="Y156" s="64"/>
      <c r="Z156" s="64"/>
      <c r="AB156" s="63">
        <f t="shared" si="82"/>
        <v>156</v>
      </c>
      <c r="AC156" s="63">
        <f t="shared" si="83"/>
        <v>25.4969</v>
      </c>
      <c r="AD156" s="63">
        <f t="shared" si="84"/>
        <v>39.218850000000003</v>
      </c>
      <c r="AE156" s="63">
        <f t="shared" si="85"/>
        <v>0</v>
      </c>
      <c r="AF156" s="63">
        <f t="shared" si="86"/>
        <v>0</v>
      </c>
      <c r="AG156" s="63">
        <f t="shared" si="87"/>
        <v>0</v>
      </c>
      <c r="AH156" s="202">
        <f t="shared" si="88"/>
        <v>220.71575000000001</v>
      </c>
      <c r="AI156" s="138"/>
      <c r="AJ156" s="63">
        <f t="shared" si="89"/>
        <v>198</v>
      </c>
      <c r="AK156" s="63">
        <f t="shared" si="90"/>
        <v>35.875950000000003</v>
      </c>
      <c r="AL156" s="63"/>
      <c r="AM156" s="63">
        <f t="shared" si="93"/>
        <v>0</v>
      </c>
      <c r="AN156" s="63">
        <f t="shared" si="94"/>
        <v>0</v>
      </c>
      <c r="AO156" s="63">
        <f t="shared" si="95"/>
        <v>0</v>
      </c>
      <c r="AP156" s="202">
        <f t="shared" si="98"/>
        <v>233.87594999999999</v>
      </c>
      <c r="AQ156" s="63">
        <f t="shared" si="91"/>
        <v>13.160199999999975</v>
      </c>
      <c r="AR156" s="157">
        <f t="shared" si="96"/>
        <v>5.962510604703096E-2</v>
      </c>
      <c r="AT156" s="111">
        <f>VLOOKUP(K156,'G2-8 Summary'!J:P,7,FALSE)</f>
        <v>804</v>
      </c>
      <c r="AU156" s="157">
        <f t="shared" si="78"/>
        <v>2.8894878706199462E-2</v>
      </c>
      <c r="AW156" s="138">
        <f t="shared" si="79"/>
        <v>0.38</v>
      </c>
      <c r="AX156" s="139">
        <f t="shared" si="80"/>
        <v>1.6999999999999999E-3</v>
      </c>
      <c r="BC156" s="109"/>
    </row>
    <row r="157" spans="1:55" s="167" customFormat="1" x14ac:dyDescent="0.25">
      <c r="A157" s="167" t="s">
        <v>172</v>
      </c>
      <c r="B157" s="167" t="s">
        <v>155</v>
      </c>
      <c r="C157" s="167" t="s">
        <v>189</v>
      </c>
      <c r="D157" s="167" t="s">
        <v>174</v>
      </c>
      <c r="E157" s="167" t="s">
        <v>108</v>
      </c>
      <c r="F157" s="167" t="str">
        <f>INDEX('Rate Design (Consol)'!$B$48:$B$66,MATCH('Bill Impact Detail'!G157,'Rate Design (Consol)'!$C$48:$C$66,0))</f>
        <v>GS-1</v>
      </c>
      <c r="G157" s="167" t="s">
        <v>11</v>
      </c>
      <c r="H157" s="167" t="str">
        <f>INDEX('Rate Design (Consol)'!$D$48:$D$66,MATCH('Bill Impact Detail'!I157,'Rate Design (Consol)'!$E$48:$E$66,0))</f>
        <v>GS-1</v>
      </c>
      <c r="I157" s="167" t="str">
        <f t="shared" si="97"/>
        <v>General Service - 1</v>
      </c>
      <c r="J157" s="167" t="str">
        <f>VLOOKUP(I157,'Rate Design (Consol)'!$E$48:$F$66,2,FALSE)</f>
        <v>&lt; = 1000</v>
      </c>
      <c r="K157" s="169" t="str">
        <f t="shared" si="81"/>
        <v>CFG-CFG - Firm Transportation Service - B (Fixed Non-Residential)-GS-1</v>
      </c>
      <c r="L157" s="169">
        <v>5</v>
      </c>
      <c r="M157" s="169" t="s">
        <v>257</v>
      </c>
      <c r="N157" s="138">
        <f>VLOOKUP(K157,'G2-8 Summary'!J:O,6,FALSE)</f>
        <v>17</v>
      </c>
      <c r="O157" s="63">
        <f>INDEX('G2-8 Summary'!S:S,MATCH('Bill Impact Detail'!K157,'G2-8 Summary'!J:J,0))</f>
        <v>23</v>
      </c>
      <c r="P157" s="63">
        <f>SUMIFS('Rate Design (Consol)'!K:K,'Rate Design (Consol)'!A:A,M157,'Rate Design (Consol)'!D:D,H157)</f>
        <v>40</v>
      </c>
      <c r="Q157" s="63"/>
      <c r="R157" s="142">
        <f t="shared" si="92"/>
        <v>0.21507999999999991</v>
      </c>
      <c r="S157" s="141">
        <f>INDEX('G2-8 Summary'!V:V,MATCH('Bill Impact Detail'!K157,'G2-8 Summary'!J:J,0))</f>
        <v>0</v>
      </c>
      <c r="T157" s="141">
        <f>SUMIFS('Rate Design (Consol)'!L:L,'Rate Design (Consol)'!A:A,M157,'Rate Design (Consol)'!D:D,H157)</f>
        <v>0.70123999999999997</v>
      </c>
      <c r="U157" s="141"/>
      <c r="W157" s="64">
        <f>VLOOKUP($K157,'G2-8 Summary'!$J:$AA,15,FALSE)</f>
        <v>0.21507999999999991</v>
      </c>
      <c r="X157" s="64"/>
      <c r="Y157" s="64"/>
      <c r="Z157" s="64"/>
      <c r="AB157" s="63">
        <f t="shared" si="82"/>
        <v>276</v>
      </c>
      <c r="AC157" s="63">
        <f t="shared" si="83"/>
        <v>0</v>
      </c>
      <c r="AD157" s="63">
        <f t="shared" si="84"/>
        <v>3.6563599999999985</v>
      </c>
      <c r="AE157" s="63">
        <f t="shared" si="85"/>
        <v>0</v>
      </c>
      <c r="AF157" s="63">
        <f t="shared" si="86"/>
        <v>0</v>
      </c>
      <c r="AG157" s="63">
        <f t="shared" si="87"/>
        <v>0</v>
      </c>
      <c r="AH157" s="202">
        <f t="shared" si="88"/>
        <v>279.65636000000001</v>
      </c>
      <c r="AI157" s="138"/>
      <c r="AJ157" s="63">
        <f t="shared" si="89"/>
        <v>480</v>
      </c>
      <c r="AK157" s="63">
        <f t="shared" si="90"/>
        <v>11.92108</v>
      </c>
      <c r="AL157" s="63"/>
      <c r="AM157" s="63">
        <f t="shared" si="93"/>
        <v>0</v>
      </c>
      <c r="AN157" s="63">
        <f t="shared" si="94"/>
        <v>0</v>
      </c>
      <c r="AO157" s="63">
        <f t="shared" si="95"/>
        <v>0</v>
      </c>
      <c r="AP157" s="202">
        <f t="shared" si="98"/>
        <v>491.92108000000002</v>
      </c>
      <c r="AQ157" s="63">
        <f t="shared" si="91"/>
        <v>212.26472000000001</v>
      </c>
      <c r="AR157" s="157">
        <f t="shared" si="96"/>
        <v>0.7590198198961039</v>
      </c>
      <c r="AT157" s="111">
        <f>VLOOKUP(K157,'G2-8 Summary'!J:P,7,FALSE)</f>
        <v>1</v>
      </c>
      <c r="AU157" s="157">
        <f t="shared" si="78"/>
        <v>4.7103155911446069E-4</v>
      </c>
      <c r="AW157" s="138">
        <f t="shared" si="79"/>
        <v>0.1</v>
      </c>
      <c r="AX157" s="139">
        <f t="shared" si="80"/>
        <v>4.0000000000000002E-4</v>
      </c>
      <c r="BC157" s="109"/>
    </row>
    <row r="158" spans="1:55" s="167" customFormat="1" x14ac:dyDescent="0.25">
      <c r="A158" s="167" t="s">
        <v>172</v>
      </c>
      <c r="B158" s="167" t="s">
        <v>152</v>
      </c>
      <c r="C158" s="167" t="s">
        <v>189</v>
      </c>
      <c r="D158" s="167" t="s">
        <v>174</v>
      </c>
      <c r="E158" s="167" t="s">
        <v>81</v>
      </c>
      <c r="F158" s="167" t="str">
        <f>INDEX('Rate Design (Consol)'!$B$48:$B$66,MATCH('Bill Impact Detail'!G158,'Rate Design (Consol)'!$C$48:$C$66,0))</f>
        <v>RES-2</v>
      </c>
      <c r="G158" s="167" t="s">
        <v>9</v>
      </c>
      <c r="H158" s="167" t="str">
        <f>INDEX('Rate Design (Consol)'!$D$48:$D$66,MATCH('Bill Impact Detail'!I158,'Rate Design (Consol)'!$E$48:$E$66,0))</f>
        <v>RES-2</v>
      </c>
      <c r="I158" s="167" t="str">
        <f t="shared" si="97"/>
        <v>Residential - 2</v>
      </c>
      <c r="J158" s="167" t="str">
        <f>VLOOKUP(I158,'Rate Design (Consol)'!$E$48:$F$66,2,FALSE)</f>
        <v>&gt; 100 &lt; = 250</v>
      </c>
      <c r="K158" s="169" t="str">
        <f t="shared" si="81"/>
        <v>CFG-CFG - Firm Transportation Service - B (Fixed Residential)-RES-2</v>
      </c>
      <c r="L158" s="169">
        <v>2</v>
      </c>
      <c r="M158" s="169" t="s">
        <v>257</v>
      </c>
      <c r="N158" s="138">
        <f>VLOOKUP(K158,'G2-8 Summary'!J:O,6,FALSE)</f>
        <v>144</v>
      </c>
      <c r="O158" s="63">
        <f>INDEX('G2-8 Summary'!S:S,MATCH('Bill Impact Detail'!K158,'G2-8 Summary'!J:J,0))</f>
        <v>23</v>
      </c>
      <c r="P158" s="63">
        <f>SUMIFS('Rate Design (Consol)'!K:K,'Rate Design (Consol)'!A:A,M158,'Rate Design (Consol)'!D:D,H158)</f>
        <v>19.5</v>
      </c>
      <c r="Q158" s="63"/>
      <c r="R158" s="142">
        <f t="shared" si="92"/>
        <v>0.21507999999999991</v>
      </c>
      <c r="S158" s="141">
        <f>INDEX('G2-8 Summary'!V:V,MATCH('Bill Impact Detail'!K158,'G2-8 Summary'!J:J,0))</f>
        <v>0</v>
      </c>
      <c r="T158" s="141">
        <f>SUMIFS('Rate Design (Consol)'!L:L,'Rate Design (Consol)'!A:A,M158,'Rate Design (Consol)'!D:D,H158)</f>
        <v>0.65271999999999997</v>
      </c>
      <c r="U158" s="141"/>
      <c r="W158" s="64">
        <f>VLOOKUP($K158,'G2-8 Summary'!$J:$AA,15,FALSE)</f>
        <v>0.21507999999999991</v>
      </c>
      <c r="X158" s="64"/>
      <c r="Y158" s="64"/>
      <c r="Z158" s="64"/>
      <c r="AB158" s="63">
        <f t="shared" si="82"/>
        <v>276</v>
      </c>
      <c r="AC158" s="63">
        <f t="shared" si="83"/>
        <v>0</v>
      </c>
      <c r="AD158" s="63">
        <f t="shared" si="84"/>
        <v>30.971519999999988</v>
      </c>
      <c r="AE158" s="63">
        <f t="shared" si="85"/>
        <v>0</v>
      </c>
      <c r="AF158" s="63">
        <f t="shared" si="86"/>
        <v>0</v>
      </c>
      <c r="AG158" s="63">
        <f t="shared" si="87"/>
        <v>0</v>
      </c>
      <c r="AH158" s="202">
        <f t="shared" si="88"/>
        <v>306.97152</v>
      </c>
      <c r="AI158" s="138"/>
      <c r="AJ158" s="63">
        <f t="shared" si="89"/>
        <v>234</v>
      </c>
      <c r="AK158" s="63">
        <f t="shared" si="90"/>
        <v>93.991680000000002</v>
      </c>
      <c r="AL158" s="63"/>
      <c r="AM158" s="63">
        <f t="shared" si="93"/>
        <v>0</v>
      </c>
      <c r="AN158" s="63">
        <f t="shared" si="94"/>
        <v>0</v>
      </c>
      <c r="AO158" s="63">
        <f t="shared" si="95"/>
        <v>0</v>
      </c>
      <c r="AP158" s="202">
        <f t="shared" si="98"/>
        <v>327.99167999999997</v>
      </c>
      <c r="AQ158" s="63">
        <f t="shared" si="91"/>
        <v>21.020159999999976</v>
      </c>
      <c r="AR158" s="157">
        <f t="shared" si="96"/>
        <v>6.8475928972172972E-2</v>
      </c>
      <c r="AT158" s="111">
        <f>VLOOKUP(K158,'G2-8 Summary'!J:P,7,FALSE)</f>
        <v>41</v>
      </c>
      <c r="AU158" s="157">
        <f t="shared" si="78"/>
        <v>1.1079583840021619E-3</v>
      </c>
      <c r="AW158" s="138">
        <f t="shared" si="79"/>
        <v>0.02</v>
      </c>
      <c r="AX158" s="139">
        <f t="shared" si="80"/>
        <v>1E-4</v>
      </c>
      <c r="BC158" s="109"/>
    </row>
    <row r="159" spans="1:55" s="167" customFormat="1" x14ac:dyDescent="0.25">
      <c r="A159" s="167" t="s">
        <v>172</v>
      </c>
      <c r="B159" s="167" t="s">
        <v>152</v>
      </c>
      <c r="C159" s="167" t="s">
        <v>189</v>
      </c>
      <c r="D159" s="167" t="s">
        <v>174</v>
      </c>
      <c r="E159" s="167" t="s">
        <v>81</v>
      </c>
      <c r="F159" s="167" t="str">
        <f>INDEX('Rate Design (Consol)'!$B$48:$B$66,MATCH('Bill Impact Detail'!G159,'Rate Design (Consol)'!$C$48:$C$66,0))</f>
        <v>RES-3</v>
      </c>
      <c r="G159" s="167" t="s">
        <v>266</v>
      </c>
      <c r="H159" s="167" t="str">
        <f>INDEX('Rate Design (Consol)'!$D$48:$D$66,MATCH('Bill Impact Detail'!I159,'Rate Design (Consol)'!$E$48:$E$66,0))</f>
        <v>RES-3</v>
      </c>
      <c r="I159" s="167" t="str">
        <f t="shared" si="97"/>
        <v>Residential - 3</v>
      </c>
      <c r="J159" s="167" t="str">
        <f>VLOOKUP(I159,'Rate Design (Consol)'!$E$48:$F$66,2,FALSE)</f>
        <v>n/a</v>
      </c>
      <c r="K159" s="169" t="str">
        <f t="shared" si="81"/>
        <v>CFG-CFG - Firm Transportation Service - B (Fixed Residential)-RES-3</v>
      </c>
      <c r="L159" s="169">
        <v>3</v>
      </c>
      <c r="M159" s="169" t="s">
        <v>257</v>
      </c>
      <c r="N159" s="138">
        <f>VLOOKUP(K159,'G2-8 Summary'!J:O,6,FALSE)</f>
        <v>332</v>
      </c>
      <c r="O159" s="63">
        <f>INDEX('G2-8 Summary'!S:S,MATCH('Bill Impact Detail'!K159,'G2-8 Summary'!J:J,0))</f>
        <v>23</v>
      </c>
      <c r="P159" s="63">
        <f>SUMIFS('Rate Design (Consol)'!K:K,'Rate Design (Consol)'!A:A,M159,'Rate Design (Consol)'!D:D,H159)</f>
        <v>26.5</v>
      </c>
      <c r="Q159" s="63"/>
      <c r="R159" s="142">
        <f t="shared" si="92"/>
        <v>0.21507999999999991</v>
      </c>
      <c r="S159" s="141">
        <f>INDEX('G2-8 Summary'!V:V,MATCH('Bill Impact Detail'!K159,'G2-8 Summary'!J:J,0))</f>
        <v>0</v>
      </c>
      <c r="T159" s="141">
        <f>SUMIFS('Rate Design (Consol)'!L:L,'Rate Design (Consol)'!A:A,M159,'Rate Design (Consol)'!D:D,H159)</f>
        <v>0.65386</v>
      </c>
      <c r="U159" s="141"/>
      <c r="W159" s="64">
        <f>VLOOKUP($K159,'G2-8 Summary'!$J:$AA,15,FALSE)</f>
        <v>0.21507999999999991</v>
      </c>
      <c r="X159" s="64"/>
      <c r="Y159" s="64"/>
      <c r="Z159" s="64"/>
      <c r="AB159" s="63">
        <f t="shared" si="82"/>
        <v>276</v>
      </c>
      <c r="AC159" s="63">
        <f t="shared" si="83"/>
        <v>0</v>
      </c>
      <c r="AD159" s="63">
        <f t="shared" si="84"/>
        <v>71.406559999999971</v>
      </c>
      <c r="AE159" s="63">
        <f t="shared" si="85"/>
        <v>0</v>
      </c>
      <c r="AF159" s="63">
        <f t="shared" si="86"/>
        <v>0</v>
      </c>
      <c r="AG159" s="63">
        <f t="shared" si="87"/>
        <v>0</v>
      </c>
      <c r="AH159" s="202">
        <f t="shared" si="88"/>
        <v>347.40655999999996</v>
      </c>
      <c r="AI159" s="138"/>
      <c r="AJ159" s="63">
        <f t="shared" si="89"/>
        <v>318</v>
      </c>
      <c r="AK159" s="63">
        <f t="shared" si="90"/>
        <v>217.08152000000001</v>
      </c>
      <c r="AL159" s="63"/>
      <c r="AM159" s="63">
        <f t="shared" si="93"/>
        <v>0</v>
      </c>
      <c r="AN159" s="63">
        <f t="shared" si="94"/>
        <v>0</v>
      </c>
      <c r="AO159" s="63">
        <f t="shared" si="95"/>
        <v>0</v>
      </c>
      <c r="AP159" s="202">
        <f t="shared" si="98"/>
        <v>535.08151999999995</v>
      </c>
      <c r="AQ159" s="63">
        <f t="shared" si="91"/>
        <v>187.67496</v>
      </c>
      <c r="AR159" s="157">
        <f t="shared" si="96"/>
        <v>0.54021708743784236</v>
      </c>
      <c r="AT159" s="111">
        <f>VLOOKUP(K159,'G2-8 Summary'!J:P,7,FALSE)</f>
        <v>3</v>
      </c>
      <c r="AU159" s="157">
        <f t="shared" si="78"/>
        <v>1.552072016141549E-4</v>
      </c>
      <c r="AW159" s="138">
        <f t="shared" si="79"/>
        <v>0.03</v>
      </c>
      <c r="AX159" s="139">
        <f t="shared" si="80"/>
        <v>1E-4</v>
      </c>
      <c r="BC159" s="109"/>
    </row>
    <row r="160" spans="1:55" s="167" customFormat="1" x14ac:dyDescent="0.25">
      <c r="A160" s="167" t="s">
        <v>172</v>
      </c>
      <c r="B160" s="167" t="s">
        <v>152</v>
      </c>
      <c r="C160" s="167" t="s">
        <v>189</v>
      </c>
      <c r="D160" s="167" t="s">
        <v>174</v>
      </c>
      <c r="E160" s="167" t="s">
        <v>81</v>
      </c>
      <c r="F160" s="167" t="str">
        <f>INDEX('Rate Design (Consol)'!$B$48:$B$66,MATCH('Bill Impact Detail'!G160,'Rate Design (Consol)'!$C$48:$C$66,0))</f>
        <v>RES-1</v>
      </c>
      <c r="G160" s="167" t="s">
        <v>8</v>
      </c>
      <c r="H160" s="167" t="str">
        <f>INDEX('Rate Design (Consol)'!$D$48:$D$66,MATCH('Bill Impact Detail'!I160,'Rate Design (Consol)'!$E$48:$E$66,0))</f>
        <v>RES-1</v>
      </c>
      <c r="I160" s="167" t="str">
        <f t="shared" si="97"/>
        <v>Residential - 1</v>
      </c>
      <c r="J160" s="167" t="str">
        <f>VLOOKUP(I160,'Rate Design (Consol)'!$E$48:$F$66,2,FALSE)</f>
        <v>&lt; = 100</v>
      </c>
      <c r="K160" s="169" t="str">
        <f t="shared" si="81"/>
        <v>CFG-CFG - Firm Transportation Service - B (Fixed Residential)-RES-1</v>
      </c>
      <c r="L160" s="169">
        <v>1</v>
      </c>
      <c r="M160" s="169" t="s">
        <v>257</v>
      </c>
      <c r="N160" s="138">
        <f>VLOOKUP(K160,'G2-8 Summary'!J:O,6,FALSE)</f>
        <v>66</v>
      </c>
      <c r="O160" s="63">
        <f>INDEX('G2-8 Summary'!S:S,MATCH('Bill Impact Detail'!K160,'G2-8 Summary'!J:J,0))</f>
        <v>23</v>
      </c>
      <c r="P160" s="63">
        <f>SUMIFS('Rate Design (Consol)'!K:K,'Rate Design (Consol)'!A:A,M160,'Rate Design (Consol)'!D:D,H160)</f>
        <v>16.5</v>
      </c>
      <c r="Q160" s="63"/>
      <c r="R160" s="142">
        <f t="shared" si="92"/>
        <v>0.21507999999999991</v>
      </c>
      <c r="S160" s="141">
        <f>INDEX('G2-8 Summary'!V:V,MATCH('Bill Impact Detail'!K160,'G2-8 Summary'!J:J,0))</f>
        <v>0</v>
      </c>
      <c r="T160" s="141">
        <f>SUMIFS('Rate Design (Consol)'!L:L,'Rate Design (Consol)'!A:A,M160,'Rate Design (Consol)'!D:D,H160)</f>
        <v>0.65229000000000004</v>
      </c>
      <c r="U160" s="141"/>
      <c r="W160" s="64">
        <f>VLOOKUP($K160,'G2-8 Summary'!$J:$AA,15,FALSE)</f>
        <v>0.21507999999999991</v>
      </c>
      <c r="X160" s="64"/>
      <c r="Y160" s="64"/>
      <c r="Z160" s="64"/>
      <c r="AB160" s="63">
        <f t="shared" si="82"/>
        <v>276</v>
      </c>
      <c r="AC160" s="63">
        <f t="shared" si="83"/>
        <v>0</v>
      </c>
      <c r="AD160" s="63">
        <f t="shared" si="84"/>
        <v>14.195279999999993</v>
      </c>
      <c r="AE160" s="63">
        <f t="shared" si="85"/>
        <v>0</v>
      </c>
      <c r="AF160" s="63">
        <f t="shared" si="86"/>
        <v>0</v>
      </c>
      <c r="AG160" s="63">
        <f t="shared" si="87"/>
        <v>0</v>
      </c>
      <c r="AH160" s="202">
        <f t="shared" si="88"/>
        <v>290.19527999999997</v>
      </c>
      <c r="AI160" s="138"/>
      <c r="AJ160" s="63">
        <f t="shared" si="89"/>
        <v>198</v>
      </c>
      <c r="AK160" s="63">
        <f t="shared" si="90"/>
        <v>43.051140000000004</v>
      </c>
      <c r="AL160" s="63"/>
      <c r="AM160" s="63">
        <f t="shared" si="93"/>
        <v>0</v>
      </c>
      <c r="AN160" s="63">
        <f t="shared" si="94"/>
        <v>0</v>
      </c>
      <c r="AO160" s="63">
        <f t="shared" si="95"/>
        <v>0</v>
      </c>
      <c r="AP160" s="202">
        <f t="shared" si="98"/>
        <v>241.05114</v>
      </c>
      <c r="AQ160" s="63">
        <f t="shared" si="91"/>
        <v>-49.144139999999965</v>
      </c>
      <c r="AR160" s="157">
        <f t="shared" si="96"/>
        <v>-0.16934851593726807</v>
      </c>
      <c r="AT160" s="111">
        <f>VLOOKUP(K160,'G2-8 Summary'!J:P,7,FALSE)</f>
        <v>17</v>
      </c>
      <c r="AU160" s="157">
        <f t="shared" si="78"/>
        <v>6.109613656783468E-4</v>
      </c>
      <c r="AW160" s="138">
        <f t="shared" si="79"/>
        <v>-0.03</v>
      </c>
      <c r="AX160" s="139">
        <f t="shared" si="80"/>
        <v>-1E-4</v>
      </c>
      <c r="BC160" s="109"/>
    </row>
    <row r="161" spans="1:55" s="167" customFormat="1" x14ac:dyDescent="0.25">
      <c r="A161" s="167" t="s">
        <v>172</v>
      </c>
      <c r="B161" s="167" t="s">
        <v>155</v>
      </c>
      <c r="C161" s="167" t="s">
        <v>189</v>
      </c>
      <c r="D161" s="167" t="s">
        <v>174</v>
      </c>
      <c r="E161" s="167" t="s">
        <v>104</v>
      </c>
      <c r="F161" s="167" t="str">
        <f>INDEX('Rate Design (Consol)'!$B$48:$B$66,MATCH('Bill Impact Detail'!G161,'Rate Design (Consol)'!$C$48:$C$66,0))</f>
        <v>GS-1</v>
      </c>
      <c r="G161" s="167" t="s">
        <v>11</v>
      </c>
      <c r="H161" s="167" t="str">
        <f>INDEX('Rate Design (Consol)'!$D$48:$D$66,MATCH('Bill Impact Detail'!I161,'Rate Design (Consol)'!$E$48:$E$66,0))</f>
        <v>GS-1</v>
      </c>
      <c r="I161" s="167" t="str">
        <f t="shared" si="97"/>
        <v>General Service - 1</v>
      </c>
      <c r="J161" s="167" t="str">
        <f>VLOOKUP(I161,'Rate Design (Consol)'!$E$48:$F$66,2,FALSE)</f>
        <v>&lt; = 1000</v>
      </c>
      <c r="K161" s="169" t="str">
        <f t="shared" si="81"/>
        <v>CFG-CFG - Firm Transportation Service - B Non-Residential-GS-1</v>
      </c>
      <c r="L161" s="169">
        <v>5</v>
      </c>
      <c r="M161" s="169" t="s">
        <v>257</v>
      </c>
      <c r="N161" s="138">
        <f>VLOOKUP(K161,'G2-8 Summary'!J:O,6,FALSE)</f>
        <v>116</v>
      </c>
      <c r="O161" s="63">
        <f>INDEX('G2-8 Summary'!S:S,MATCH('Bill Impact Detail'!K161,'G2-8 Summary'!J:J,0))</f>
        <v>15.5</v>
      </c>
      <c r="P161" s="63">
        <f>SUMIFS('Rate Design (Consol)'!K:K,'Rate Design (Consol)'!A:A,M161,'Rate Design (Consol)'!D:D,H161)</f>
        <v>40</v>
      </c>
      <c r="Q161" s="63"/>
      <c r="R161" s="142">
        <f t="shared" si="92"/>
        <v>0.7079399999999999</v>
      </c>
      <c r="S161" s="141">
        <f>INDEX('G2-8 Summary'!V:V,MATCH('Bill Impact Detail'!K161,'G2-8 Summary'!J:J,0))</f>
        <v>0.49286000000000002</v>
      </c>
      <c r="T161" s="141">
        <f>SUMIFS('Rate Design (Consol)'!L:L,'Rate Design (Consol)'!A:A,M161,'Rate Design (Consol)'!D:D,H161)</f>
        <v>0.70123999999999997</v>
      </c>
      <c r="U161" s="141"/>
      <c r="W161" s="64">
        <f>VLOOKUP($K161,'G2-8 Summary'!$J:$AA,15,FALSE)</f>
        <v>0.21507999999999991</v>
      </c>
      <c r="X161" s="64"/>
      <c r="Y161" s="64"/>
      <c r="Z161" s="64"/>
      <c r="AB161" s="63">
        <f t="shared" si="82"/>
        <v>186</v>
      </c>
      <c r="AC161" s="63">
        <f t="shared" si="83"/>
        <v>57.171759999999999</v>
      </c>
      <c r="AD161" s="63">
        <f t="shared" si="84"/>
        <v>24.949279999999991</v>
      </c>
      <c r="AE161" s="63">
        <f t="shared" si="85"/>
        <v>0</v>
      </c>
      <c r="AF161" s="63">
        <f t="shared" si="86"/>
        <v>0</v>
      </c>
      <c r="AG161" s="63">
        <f t="shared" si="87"/>
        <v>0</v>
      </c>
      <c r="AH161" s="202">
        <f t="shared" si="88"/>
        <v>268.12103999999999</v>
      </c>
      <c r="AI161" s="138"/>
      <c r="AJ161" s="63">
        <f t="shared" si="89"/>
        <v>480</v>
      </c>
      <c r="AK161" s="63">
        <f t="shared" si="90"/>
        <v>81.34384</v>
      </c>
      <c r="AL161" s="63"/>
      <c r="AM161" s="63">
        <f t="shared" si="93"/>
        <v>0</v>
      </c>
      <c r="AN161" s="63">
        <f t="shared" si="94"/>
        <v>0</v>
      </c>
      <c r="AO161" s="63">
        <f t="shared" si="95"/>
        <v>0</v>
      </c>
      <c r="AP161" s="202">
        <f t="shared" si="98"/>
        <v>561.34384</v>
      </c>
      <c r="AQ161" s="63">
        <f t="shared" si="91"/>
        <v>293.22280000000001</v>
      </c>
      <c r="AR161" s="157">
        <f t="shared" si="96"/>
        <v>1.0936210004257778</v>
      </c>
      <c r="AT161" s="111">
        <f>VLOOKUP(K161,'G2-8 Summary'!J:P,7,FALSE)</f>
        <v>5</v>
      </c>
      <c r="AU161" s="157">
        <f t="shared" si="78"/>
        <v>2.3551577955723034E-3</v>
      </c>
      <c r="AW161" s="138">
        <f t="shared" si="79"/>
        <v>0.69</v>
      </c>
      <c r="AX161" s="139">
        <f t="shared" si="80"/>
        <v>2.5999999999999999E-3</v>
      </c>
      <c r="BC161" s="109"/>
    </row>
    <row r="162" spans="1:55" s="167" customFormat="1" x14ac:dyDescent="0.25">
      <c r="A162" s="167" t="s">
        <v>172</v>
      </c>
      <c r="B162" s="167" t="s">
        <v>152</v>
      </c>
      <c r="C162" s="167" t="s">
        <v>189</v>
      </c>
      <c r="D162" s="167" t="s">
        <v>174</v>
      </c>
      <c r="E162" s="167" t="s">
        <v>74</v>
      </c>
      <c r="F162" s="167" t="str">
        <f>INDEX('Rate Design (Consol)'!$B$48:$B$66,MATCH('Bill Impact Detail'!G162,'Rate Design (Consol)'!$C$48:$C$66,0))</f>
        <v>RES-2</v>
      </c>
      <c r="G162" s="167" t="s">
        <v>9</v>
      </c>
      <c r="H162" s="167" t="str">
        <f>INDEX('Rate Design (Consol)'!$D$48:$D$66,MATCH('Bill Impact Detail'!I162,'Rate Design (Consol)'!$E$48:$E$66,0))</f>
        <v>RES-2</v>
      </c>
      <c r="I162" s="167" t="str">
        <f t="shared" si="97"/>
        <v>Residential - 2</v>
      </c>
      <c r="J162" s="167" t="str">
        <f>VLOOKUP(I162,'Rate Design (Consol)'!$E$48:$F$66,2,FALSE)</f>
        <v>&gt; 100 &lt; = 250</v>
      </c>
      <c r="K162" s="169" t="str">
        <f t="shared" si="81"/>
        <v>CFG-CFG - Firm Transportation Service - B Residential-RES-2</v>
      </c>
      <c r="L162" s="169">
        <v>2</v>
      </c>
      <c r="M162" s="169" t="s">
        <v>257</v>
      </c>
      <c r="N162" s="138">
        <f>VLOOKUP(K162,'G2-8 Summary'!J:O,6,FALSE)</f>
        <v>150</v>
      </c>
      <c r="O162" s="63">
        <f>INDEX('G2-8 Summary'!S:S,MATCH('Bill Impact Detail'!K162,'G2-8 Summary'!J:J,0))</f>
        <v>15.5</v>
      </c>
      <c r="P162" s="63">
        <f>SUMIFS('Rate Design (Consol)'!K:K,'Rate Design (Consol)'!A:A,M162,'Rate Design (Consol)'!D:D,H162)</f>
        <v>19.5</v>
      </c>
      <c r="Q162" s="63"/>
      <c r="R162" s="142">
        <f t="shared" si="92"/>
        <v>0.7079399999999999</v>
      </c>
      <c r="S162" s="141">
        <f>INDEX('G2-8 Summary'!V:V,MATCH('Bill Impact Detail'!K162,'G2-8 Summary'!J:J,0))</f>
        <v>0.49286000000000002</v>
      </c>
      <c r="T162" s="141">
        <f>SUMIFS('Rate Design (Consol)'!L:L,'Rate Design (Consol)'!A:A,M162,'Rate Design (Consol)'!D:D,H162)</f>
        <v>0.65271999999999997</v>
      </c>
      <c r="U162" s="141"/>
      <c r="W162" s="64">
        <f>VLOOKUP($K162,'G2-8 Summary'!$J:$AA,15,FALSE)</f>
        <v>0.21507999999999991</v>
      </c>
      <c r="X162" s="64"/>
      <c r="Y162" s="64"/>
      <c r="Z162" s="64"/>
      <c r="AB162" s="63">
        <f t="shared" si="82"/>
        <v>186</v>
      </c>
      <c r="AC162" s="63">
        <f t="shared" si="83"/>
        <v>73.929000000000002</v>
      </c>
      <c r="AD162" s="63">
        <f t="shared" si="84"/>
        <v>32.261999999999986</v>
      </c>
      <c r="AE162" s="63">
        <f t="shared" si="85"/>
        <v>0</v>
      </c>
      <c r="AF162" s="63">
        <f t="shared" si="86"/>
        <v>0</v>
      </c>
      <c r="AG162" s="63">
        <f t="shared" si="87"/>
        <v>0</v>
      </c>
      <c r="AH162" s="202">
        <f t="shared" si="88"/>
        <v>292.19099999999997</v>
      </c>
      <c r="AI162" s="138"/>
      <c r="AJ162" s="63">
        <f t="shared" si="89"/>
        <v>234</v>
      </c>
      <c r="AK162" s="63">
        <f t="shared" si="90"/>
        <v>97.908000000000001</v>
      </c>
      <c r="AL162" s="63"/>
      <c r="AM162" s="63">
        <f t="shared" si="93"/>
        <v>0</v>
      </c>
      <c r="AN162" s="63">
        <f t="shared" si="94"/>
        <v>0</v>
      </c>
      <c r="AO162" s="63">
        <f t="shared" si="95"/>
        <v>0</v>
      </c>
      <c r="AP162" s="202">
        <f t="shared" si="98"/>
        <v>331.90800000000002</v>
      </c>
      <c r="AQ162" s="63">
        <f t="shared" si="91"/>
        <v>39.717000000000041</v>
      </c>
      <c r="AR162" s="157">
        <f t="shared" si="96"/>
        <v>0.13592821134121189</v>
      </c>
      <c r="AT162" s="111">
        <f>VLOOKUP(K162,'G2-8 Summary'!J:P,7,FALSE)</f>
        <v>1243</v>
      </c>
      <c r="AU162" s="157">
        <f t="shared" si="78"/>
        <v>3.3590055397919198E-2</v>
      </c>
      <c r="AW162" s="138">
        <f t="shared" si="79"/>
        <v>1.33</v>
      </c>
      <c r="AX162" s="139">
        <f t="shared" si="80"/>
        <v>4.5999999999999999E-3</v>
      </c>
      <c r="BC162" s="109"/>
    </row>
    <row r="163" spans="1:55" s="167" customFormat="1" x14ac:dyDescent="0.25">
      <c r="A163" s="167" t="s">
        <v>172</v>
      </c>
      <c r="B163" s="167" t="s">
        <v>152</v>
      </c>
      <c r="C163" s="167" t="s">
        <v>189</v>
      </c>
      <c r="D163" s="167" t="s">
        <v>174</v>
      </c>
      <c r="E163" s="167" t="s">
        <v>74</v>
      </c>
      <c r="F163" s="167" t="str">
        <f>INDEX('Rate Design (Consol)'!$B$48:$B$66,MATCH('Bill Impact Detail'!G163,'Rate Design (Consol)'!$C$48:$C$66,0))</f>
        <v>RES-3</v>
      </c>
      <c r="G163" s="167" t="s">
        <v>266</v>
      </c>
      <c r="H163" s="167" t="str">
        <f>INDEX('Rate Design (Consol)'!$D$48:$D$66,MATCH('Bill Impact Detail'!I163,'Rate Design (Consol)'!$E$48:$E$66,0))</f>
        <v>RES-3</v>
      </c>
      <c r="I163" s="167" t="str">
        <f t="shared" si="97"/>
        <v>Residential - 3</v>
      </c>
      <c r="J163" s="167" t="str">
        <f>VLOOKUP(I163,'Rate Design (Consol)'!$E$48:$F$66,2,FALSE)</f>
        <v>n/a</v>
      </c>
      <c r="K163" s="169" t="str">
        <f t="shared" si="81"/>
        <v>CFG-CFG - Firm Transportation Service - B Residential-RES-3</v>
      </c>
      <c r="L163" s="169">
        <v>3</v>
      </c>
      <c r="M163" s="169" t="s">
        <v>257</v>
      </c>
      <c r="N163" s="138">
        <f>VLOOKUP(K163,'G2-8 Summary'!J:O,6,FALSE)</f>
        <v>340</v>
      </c>
      <c r="O163" s="63">
        <f>INDEX('G2-8 Summary'!S:S,MATCH('Bill Impact Detail'!K163,'G2-8 Summary'!J:J,0))</f>
        <v>15.5</v>
      </c>
      <c r="P163" s="63">
        <f>SUMIFS('Rate Design (Consol)'!K:K,'Rate Design (Consol)'!A:A,M163,'Rate Design (Consol)'!D:D,H163)</f>
        <v>26.5</v>
      </c>
      <c r="Q163" s="63"/>
      <c r="R163" s="142">
        <f t="shared" si="92"/>
        <v>0.7079399999999999</v>
      </c>
      <c r="S163" s="141">
        <f>INDEX('G2-8 Summary'!V:V,MATCH('Bill Impact Detail'!K163,'G2-8 Summary'!J:J,0))</f>
        <v>0.49286000000000002</v>
      </c>
      <c r="T163" s="141">
        <f>SUMIFS('Rate Design (Consol)'!L:L,'Rate Design (Consol)'!A:A,M163,'Rate Design (Consol)'!D:D,H163)</f>
        <v>0.65386</v>
      </c>
      <c r="U163" s="141"/>
      <c r="W163" s="64">
        <f>VLOOKUP($K163,'G2-8 Summary'!$J:$AA,15,FALSE)</f>
        <v>0.21507999999999991</v>
      </c>
      <c r="X163" s="64"/>
      <c r="Y163" s="64"/>
      <c r="Z163" s="64"/>
      <c r="AB163" s="63">
        <f t="shared" si="82"/>
        <v>186</v>
      </c>
      <c r="AC163" s="63">
        <f t="shared" si="83"/>
        <v>167.57240000000002</v>
      </c>
      <c r="AD163" s="63">
        <f t="shared" si="84"/>
        <v>73.127199999999974</v>
      </c>
      <c r="AE163" s="63">
        <f t="shared" si="85"/>
        <v>0</v>
      </c>
      <c r="AF163" s="63">
        <f t="shared" si="86"/>
        <v>0</v>
      </c>
      <c r="AG163" s="63">
        <f t="shared" si="87"/>
        <v>0</v>
      </c>
      <c r="AH163" s="202">
        <f t="shared" si="88"/>
        <v>426.69959999999998</v>
      </c>
      <c r="AI163" s="138"/>
      <c r="AJ163" s="63">
        <f t="shared" si="89"/>
        <v>318</v>
      </c>
      <c r="AK163" s="63">
        <f t="shared" si="90"/>
        <v>222.3124</v>
      </c>
      <c r="AL163" s="63"/>
      <c r="AM163" s="63">
        <f t="shared" si="93"/>
        <v>0</v>
      </c>
      <c r="AN163" s="63">
        <f t="shared" si="94"/>
        <v>0</v>
      </c>
      <c r="AO163" s="63">
        <f t="shared" si="95"/>
        <v>0</v>
      </c>
      <c r="AP163" s="202">
        <f t="shared" si="98"/>
        <v>540.31240000000003</v>
      </c>
      <c r="AQ163" s="63">
        <f t="shared" si="91"/>
        <v>113.61280000000005</v>
      </c>
      <c r="AR163" s="157">
        <f t="shared" si="96"/>
        <v>0.26625944809884999</v>
      </c>
      <c r="AT163" s="111">
        <f>VLOOKUP(K163,'G2-8 Summary'!J:P,7,FALSE)</f>
        <v>113</v>
      </c>
      <c r="AU163" s="157">
        <f t="shared" si="78"/>
        <v>5.8461379274665007E-3</v>
      </c>
      <c r="AW163" s="138">
        <f t="shared" si="79"/>
        <v>0.66</v>
      </c>
      <c r="AX163" s="139">
        <f t="shared" si="80"/>
        <v>1.6000000000000001E-3</v>
      </c>
      <c r="BC163" s="109"/>
    </row>
    <row r="164" spans="1:55" s="167" customFormat="1" x14ac:dyDescent="0.25">
      <c r="A164" s="167" t="s">
        <v>172</v>
      </c>
      <c r="B164" s="167" t="s">
        <v>152</v>
      </c>
      <c r="C164" s="167" t="s">
        <v>189</v>
      </c>
      <c r="D164" s="167" t="s">
        <v>174</v>
      </c>
      <c r="E164" s="167" t="s">
        <v>74</v>
      </c>
      <c r="F164" s="167" t="str">
        <f>INDEX('Rate Design (Consol)'!$B$48:$B$66,MATCH('Bill Impact Detail'!G164,'Rate Design (Consol)'!$C$48:$C$66,0))</f>
        <v>RES-1</v>
      </c>
      <c r="G164" s="167" t="s">
        <v>8</v>
      </c>
      <c r="H164" s="167" t="str">
        <f>INDEX('Rate Design (Consol)'!$D$48:$D$66,MATCH('Bill Impact Detail'!I164,'Rate Design (Consol)'!$E$48:$E$66,0))</f>
        <v>RES-1</v>
      </c>
      <c r="I164" s="167" t="str">
        <f t="shared" si="97"/>
        <v>Residential - 1</v>
      </c>
      <c r="J164" s="167" t="str">
        <f>VLOOKUP(I164,'Rate Design (Consol)'!$E$48:$F$66,2,FALSE)</f>
        <v>&lt; = 100</v>
      </c>
      <c r="K164" s="169" t="str">
        <f t="shared" si="81"/>
        <v>CFG-CFG - Firm Transportation Service - B Residential-RES-1</v>
      </c>
      <c r="L164" s="169">
        <v>1</v>
      </c>
      <c r="M164" s="169" t="s">
        <v>257</v>
      </c>
      <c r="N164" s="138">
        <f>VLOOKUP(K164,'G2-8 Summary'!J:O,6,FALSE)</f>
        <v>68</v>
      </c>
      <c r="O164" s="63">
        <f>INDEX('G2-8 Summary'!S:S,MATCH('Bill Impact Detail'!K164,'G2-8 Summary'!J:J,0))</f>
        <v>15.5</v>
      </c>
      <c r="P164" s="63">
        <f>SUMIFS('Rate Design (Consol)'!K:K,'Rate Design (Consol)'!A:A,M164,'Rate Design (Consol)'!D:D,H164)</f>
        <v>16.5</v>
      </c>
      <c r="Q164" s="63"/>
      <c r="R164" s="142">
        <f t="shared" si="92"/>
        <v>0.7079399999999999</v>
      </c>
      <c r="S164" s="141">
        <f>INDEX('G2-8 Summary'!V:V,MATCH('Bill Impact Detail'!K164,'G2-8 Summary'!J:J,0))</f>
        <v>0.49286000000000002</v>
      </c>
      <c r="T164" s="141">
        <f>SUMIFS('Rate Design (Consol)'!L:L,'Rate Design (Consol)'!A:A,M164,'Rate Design (Consol)'!D:D,H164)</f>
        <v>0.65229000000000004</v>
      </c>
      <c r="U164" s="141"/>
      <c r="W164" s="64">
        <f>VLOOKUP($K164,'G2-8 Summary'!$J:$AA,15,FALSE)</f>
        <v>0.21507999999999991</v>
      </c>
      <c r="X164" s="64"/>
      <c r="Y164" s="64"/>
      <c r="Z164" s="64"/>
      <c r="AB164" s="63">
        <f t="shared" si="82"/>
        <v>186</v>
      </c>
      <c r="AC164" s="63">
        <f t="shared" si="83"/>
        <v>33.514479999999999</v>
      </c>
      <c r="AD164" s="63">
        <f t="shared" si="84"/>
        <v>14.625439999999994</v>
      </c>
      <c r="AE164" s="63">
        <f t="shared" si="85"/>
        <v>0</v>
      </c>
      <c r="AF164" s="63">
        <f t="shared" si="86"/>
        <v>0</v>
      </c>
      <c r="AG164" s="63">
        <f t="shared" si="87"/>
        <v>0</v>
      </c>
      <c r="AH164" s="202">
        <f t="shared" si="88"/>
        <v>234.13991999999999</v>
      </c>
      <c r="AI164" s="138"/>
      <c r="AJ164" s="63">
        <f t="shared" si="89"/>
        <v>198</v>
      </c>
      <c r="AK164" s="63">
        <f t="shared" si="90"/>
        <v>44.355720000000005</v>
      </c>
      <c r="AL164" s="63"/>
      <c r="AM164" s="63">
        <f t="shared" si="93"/>
        <v>0</v>
      </c>
      <c r="AN164" s="63">
        <f t="shared" si="94"/>
        <v>0</v>
      </c>
      <c r="AO164" s="63">
        <f t="shared" si="95"/>
        <v>0</v>
      </c>
      <c r="AP164" s="202">
        <f t="shared" si="98"/>
        <v>242.35572000000002</v>
      </c>
      <c r="AQ164" s="63">
        <f t="shared" si="91"/>
        <v>8.21580000000003</v>
      </c>
      <c r="AR164" s="157">
        <f t="shared" si="96"/>
        <v>3.508927482336216E-2</v>
      </c>
      <c r="AT164" s="111">
        <f>VLOOKUP(K164,'G2-8 Summary'!J:P,7,FALSE)</f>
        <v>846</v>
      </c>
      <c r="AU164" s="157">
        <f t="shared" si="78"/>
        <v>3.040431266846361E-2</v>
      </c>
      <c r="AW164" s="138">
        <f t="shared" si="79"/>
        <v>0.25</v>
      </c>
      <c r="AX164" s="139">
        <f t="shared" si="80"/>
        <v>1.1000000000000001E-3</v>
      </c>
      <c r="BC164" s="109"/>
    </row>
    <row r="165" spans="1:55" s="167" customFormat="1" x14ac:dyDescent="0.25">
      <c r="A165" s="167" t="s">
        <v>172</v>
      </c>
      <c r="B165" s="167" t="s">
        <v>155</v>
      </c>
      <c r="C165" s="167" t="s">
        <v>190</v>
      </c>
      <c r="D165" s="167" t="s">
        <v>174</v>
      </c>
      <c r="E165" s="167" t="s">
        <v>123</v>
      </c>
      <c r="F165" s="167" t="str">
        <f>INDEX('Rate Design (Consol)'!$B$48:$B$66,MATCH('Bill Impact Detail'!G165,'Rate Design (Consol)'!$C$48:$C$66,0))</f>
        <v>COM - NGV</v>
      </c>
      <c r="G165" s="167" t="s">
        <v>19</v>
      </c>
      <c r="H165" s="167" t="str">
        <f>INDEX('Rate Design (Consol)'!$D$48:$D$66,MATCH('Bill Impact Detail'!I165,'Rate Design (Consol)'!$E$48:$E$66,0))</f>
        <v>COM - NGV</v>
      </c>
      <c r="I165" s="167" t="str">
        <f t="shared" si="97"/>
        <v>Commercial - NGV</v>
      </c>
      <c r="J165" s="167" t="str">
        <f>VLOOKUP(I165,'Rate Design (Consol)'!$E$48:$F$66,2,FALSE)</f>
        <v>n/a</v>
      </c>
      <c r="K165" s="169" t="str">
        <f t="shared" si="81"/>
        <v>CFG-CFG - Firm Transportation Service - NGV-COM - NGV</v>
      </c>
      <c r="L165" s="169">
        <v>14</v>
      </c>
      <c r="M165" s="169" t="s">
        <v>257</v>
      </c>
      <c r="N165" s="138">
        <f>VLOOKUP(K165,'G2-8 Summary'!J:O,6,FALSE)</f>
        <v>100131</v>
      </c>
      <c r="O165" s="63">
        <f>INDEX('G2-8 Summary'!S:S,MATCH('Bill Impact Detail'!K165,'G2-8 Summary'!J:J,0))</f>
        <v>100</v>
      </c>
      <c r="P165" s="63">
        <f>SUMIFS('Rate Design (Consol)'!K:K,'Rate Design (Consol)'!A:A,M165,'Rate Design (Consol)'!D:D,H165)</f>
        <v>250</v>
      </c>
      <c r="Q165" s="63"/>
      <c r="R165" s="142">
        <f t="shared" si="92"/>
        <v>0.22440000000000002</v>
      </c>
      <c r="S165" s="141">
        <f>INDEX('G2-8 Summary'!V:V,MATCH('Bill Impact Detail'!K165,'G2-8 Summary'!J:J,0))</f>
        <v>0.17111000000000001</v>
      </c>
      <c r="T165" s="141">
        <f>SUMIFS('Rate Design (Consol)'!L:L,'Rate Design (Consol)'!A:A,M165,'Rate Design (Consol)'!D:D,H165)</f>
        <v>0.49803999999999998</v>
      </c>
      <c r="U165" s="141"/>
      <c r="W165" s="64">
        <f>VLOOKUP($K165,'G2-8 Summary'!$J:$AA,15,FALSE)</f>
        <v>5.3290000000000004E-2</v>
      </c>
      <c r="X165" s="64"/>
      <c r="Y165" s="64"/>
      <c r="Z165" s="64"/>
      <c r="AB165" s="63">
        <f t="shared" si="82"/>
        <v>1200</v>
      </c>
      <c r="AC165" s="63">
        <f t="shared" si="83"/>
        <v>17133.415410000001</v>
      </c>
      <c r="AD165" s="63">
        <f t="shared" si="84"/>
        <v>5335.98099</v>
      </c>
      <c r="AE165" s="63">
        <f t="shared" si="85"/>
        <v>0</v>
      </c>
      <c r="AF165" s="63">
        <f t="shared" si="86"/>
        <v>0</v>
      </c>
      <c r="AG165" s="63">
        <f t="shared" si="87"/>
        <v>0</v>
      </c>
      <c r="AH165" s="202">
        <f t="shared" si="88"/>
        <v>23669.396400000001</v>
      </c>
      <c r="AI165" s="138"/>
      <c r="AJ165" s="63">
        <f t="shared" si="89"/>
        <v>3000</v>
      </c>
      <c r="AK165" s="63">
        <f t="shared" si="90"/>
        <v>49869.243239999996</v>
      </c>
      <c r="AL165" s="63"/>
      <c r="AM165" s="63">
        <f t="shared" si="93"/>
        <v>0</v>
      </c>
      <c r="AN165" s="63">
        <f t="shared" si="94"/>
        <v>0</v>
      </c>
      <c r="AO165" s="63">
        <f t="shared" si="95"/>
        <v>0</v>
      </c>
      <c r="AP165" s="202">
        <f t="shared" si="98"/>
        <v>52869.243239999996</v>
      </c>
      <c r="AQ165" s="63">
        <f t="shared" si="91"/>
        <v>29199.846839999995</v>
      </c>
      <c r="AR165" s="157">
        <f t="shared" si="96"/>
        <v>1.2336540546509245</v>
      </c>
      <c r="AT165" s="111">
        <f>VLOOKUP(K165,'G2-8 Summary'!J:P,7,FALSE)</f>
        <v>1</v>
      </c>
      <c r="AU165" s="157">
        <f t="shared" si="78"/>
        <v>0.33333333333333331</v>
      </c>
      <c r="AW165" s="138">
        <f t="shared" si="79"/>
        <v>9733.2800000000007</v>
      </c>
      <c r="AX165" s="139">
        <f t="shared" si="80"/>
        <v>0.41120000000000001</v>
      </c>
      <c r="BC165" s="109"/>
    </row>
    <row r="166" spans="1:55" x14ac:dyDescent="0.25">
      <c r="AT166" s="32">
        <f>SUM(AT7:AT165)</f>
        <v>94386</v>
      </c>
    </row>
    <row r="168" spans="1:55" x14ac:dyDescent="0.25">
      <c r="AH168" s="81"/>
    </row>
    <row r="169" spans="1:55" x14ac:dyDescent="0.25">
      <c r="AH169" s="80"/>
      <c r="AZ169">
        <v>3.17</v>
      </c>
    </row>
    <row r="170" spans="1:55" x14ac:dyDescent="0.25">
      <c r="AH170" s="80"/>
    </row>
    <row r="171" spans="1:55" x14ac:dyDescent="0.25">
      <c r="AH171" s="80"/>
    </row>
    <row r="172" spans="1:55" x14ac:dyDescent="0.25">
      <c r="AH172" s="80"/>
    </row>
    <row r="173" spans="1:55" x14ac:dyDescent="0.25">
      <c r="AH173" s="80"/>
    </row>
    <row r="174" spans="1:55" x14ac:dyDescent="0.25">
      <c r="AH174" s="80"/>
    </row>
    <row r="186" spans="23:26" x14ac:dyDescent="0.25">
      <c r="W186" s="68" t="e">
        <f>VLOOKUP($K186,'G2-8 Summary'!$J:$AA,14,FALSE)</f>
        <v>#N/A</v>
      </c>
      <c r="X186" s="68" t="e">
        <f>VLOOKUP($K186,'G2-8 Summary'!$J:$AA,15,FALSE)</f>
        <v>#N/A</v>
      </c>
      <c r="Y186" s="68" t="e">
        <f>VLOOKUP($K186,'G2-8 Summary'!$J:$AA,16,FALSE)</f>
        <v>#N/A</v>
      </c>
      <c r="Z186" s="68" t="e">
        <f>VLOOKUP($K186,'G2-8 Summary'!$J:$AA,17,FALSE)</f>
        <v>#N/A</v>
      </c>
    </row>
  </sheetData>
  <autoFilter ref="A6:BC166" xr:uid="{D58E928B-2E00-4CF1-B491-A147B952CA72}"/>
  <sortState xmlns:xlrd2="http://schemas.microsoft.com/office/spreadsheetml/2017/richdata2" ref="A7:K152">
    <sortCondition descending="1" ref="A7:A152"/>
  </sortState>
  <mergeCells count="2">
    <mergeCell ref="AB5:AH5"/>
    <mergeCell ref="AJ5:AR5"/>
  </mergeCells>
  <phoneticPr fontId="7" type="noConversion"/>
  <pageMargins left="0.7" right="0.7" top="0.75" bottom="0.75" header="0.3" footer="0.3"/>
  <pageSetup orientation="portrait" horizontalDpi="1200" verticalDpi="1200" r:id="rId1"/>
  <cellWatches>
    <cellWatch r="AR26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47401-4E37-4264-BA56-A4DADDEEA34F}">
  <sheetPr codeName="Sheet2"/>
  <dimension ref="A1:AY253"/>
  <sheetViews>
    <sheetView zoomScale="85" zoomScaleNormal="85" workbookViewId="0">
      <pane xSplit="4" ySplit="3" topLeftCell="AK4" activePane="bottomRight" state="frozen"/>
      <selection activeCell="A3" sqref="A3:XFD12"/>
      <selection pane="topRight" activeCell="A3" sqref="A3:XFD12"/>
      <selection pane="bottomLeft" activeCell="A3" sqref="A3:XFD12"/>
      <selection pane="bottomRight" activeCell="AS3" sqref="AS3"/>
    </sheetView>
  </sheetViews>
  <sheetFormatPr defaultRowHeight="15" x14ac:dyDescent="0.25"/>
  <cols>
    <col min="1" max="1" width="11.7109375" style="148" bestFit="1" customWidth="1"/>
    <col min="2" max="3" width="9.140625" style="23"/>
    <col min="4" max="4" width="59.85546875" style="23" bestFit="1" customWidth="1"/>
    <col min="5" max="5" width="12.7109375" style="90" customWidth="1"/>
    <col min="6" max="6" width="16" style="23" customWidth="1"/>
    <col min="7" max="7" width="15.140625" style="90" customWidth="1"/>
    <col min="8" max="8" width="24.5703125" style="23" customWidth="1"/>
    <col min="9" max="9" width="42.42578125" style="23" bestFit="1" customWidth="1"/>
    <col min="10" max="10" width="29.28515625" style="61" customWidth="1"/>
    <col min="11" max="11" width="8.42578125" style="61" customWidth="1"/>
    <col min="12" max="12" width="10" style="28" customWidth="1"/>
    <col min="13" max="13" width="11.140625" style="28" customWidth="1"/>
    <col min="14" max="14" width="21.5703125" style="28" customWidth="1"/>
    <col min="15" max="15" width="12.28515625" style="148" bestFit="1" customWidth="1"/>
    <col min="16" max="18" width="16.140625" style="148" customWidth="1"/>
    <col min="19" max="19" width="16.140625" style="24" customWidth="1"/>
    <col min="20" max="20" width="9" style="148" customWidth="1"/>
    <col min="21" max="21" width="17.7109375" style="148" bestFit="1" customWidth="1"/>
    <col min="22" max="22" width="16.7109375" style="238" customWidth="1"/>
    <col min="23" max="28" width="16.7109375" style="148" customWidth="1"/>
    <col min="29" max="29" width="16.140625" style="23" customWidth="1"/>
    <col min="30" max="30" width="20.42578125" style="23" bestFit="1" customWidth="1"/>
    <col min="31" max="31" width="25.42578125" style="23" bestFit="1" customWidth="1"/>
    <col min="32" max="32" width="18.85546875" style="23" bestFit="1" customWidth="1"/>
    <col min="33" max="33" width="21.7109375" style="23" bestFit="1" customWidth="1"/>
    <col min="34" max="34" width="19.140625" style="23" bestFit="1" customWidth="1"/>
    <col min="35" max="35" width="22.5703125" style="23" bestFit="1" customWidth="1"/>
    <col min="36" max="36" width="29.5703125" style="88" customWidth="1"/>
    <col min="37" max="37" width="23" style="23" bestFit="1" customWidth="1"/>
    <col min="38" max="38" width="18.85546875" style="23" bestFit="1" customWidth="1"/>
    <col min="39" max="39" width="15.7109375" style="23" bestFit="1" customWidth="1"/>
    <col min="40" max="40" width="22.140625" style="23" customWidth="1"/>
    <col min="41" max="43" width="17" style="23" customWidth="1"/>
    <col min="44" max="44" width="13.85546875" style="23" customWidth="1"/>
    <col min="45" max="45" width="12.5703125" style="26" bestFit="1" customWidth="1"/>
    <col min="46" max="46" width="13.7109375" style="7" bestFit="1" customWidth="1"/>
    <col min="47" max="47" width="13.140625" style="7" customWidth="1"/>
    <col min="48" max="48" width="15" style="199" bestFit="1" customWidth="1"/>
    <col min="49" max="49" width="20.7109375" style="201" bestFit="1" customWidth="1"/>
    <col min="50" max="50" width="11.5703125" style="199" bestFit="1" customWidth="1"/>
    <col min="51" max="51" width="12.28515625" style="199" bestFit="1" customWidth="1"/>
    <col min="52" max="16384" width="9.140625" style="23"/>
  </cols>
  <sheetData>
    <row r="1" spans="1:51" x14ac:dyDescent="0.25">
      <c r="A1" s="23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23"/>
      <c r="Z1" s="23"/>
      <c r="AA1" s="23"/>
      <c r="AB1" s="23"/>
    </row>
    <row r="2" spans="1:51" ht="15.75" x14ac:dyDescent="0.25">
      <c r="A2" s="23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198"/>
      <c r="W2" s="226"/>
      <c r="X2" s="62"/>
      <c r="Y2" s="62"/>
      <c r="Z2" s="62"/>
      <c r="AA2" s="62"/>
      <c r="AB2" s="62"/>
      <c r="AC2" s="62"/>
      <c r="AD2" s="62"/>
      <c r="AE2" s="62"/>
      <c r="AF2" s="62"/>
    </row>
    <row r="3" spans="1:51" ht="51.75" customHeight="1" x14ac:dyDescent="0.25">
      <c r="A3" s="227" t="s">
        <v>130</v>
      </c>
      <c r="B3" s="227" t="s">
        <v>132</v>
      </c>
      <c r="C3" s="227" t="s">
        <v>130</v>
      </c>
      <c r="D3" s="227" t="s">
        <v>67</v>
      </c>
      <c r="E3" s="227" t="s">
        <v>133</v>
      </c>
      <c r="F3" s="227" t="s">
        <v>4</v>
      </c>
      <c r="G3" s="228" t="s">
        <v>275</v>
      </c>
      <c r="H3" s="228" t="s">
        <v>276</v>
      </c>
      <c r="I3" s="227" t="s">
        <v>296</v>
      </c>
      <c r="J3" s="229" t="s">
        <v>134</v>
      </c>
      <c r="K3" s="229" t="s">
        <v>130</v>
      </c>
      <c r="L3" s="230" t="s">
        <v>297</v>
      </c>
      <c r="M3" s="230" t="s">
        <v>298</v>
      </c>
      <c r="N3" s="48" t="s">
        <v>191</v>
      </c>
      <c r="O3" s="231" t="s">
        <v>280</v>
      </c>
      <c r="P3" s="232" t="s">
        <v>193</v>
      </c>
      <c r="Q3" s="232" t="s">
        <v>194</v>
      </c>
      <c r="R3" s="232" t="s">
        <v>195</v>
      </c>
      <c r="S3" s="232" t="s">
        <v>135</v>
      </c>
      <c r="T3" s="233" t="s">
        <v>137</v>
      </c>
      <c r="U3" s="232" t="s">
        <v>196</v>
      </c>
      <c r="V3" s="234" t="s">
        <v>138</v>
      </c>
      <c r="W3" s="233" t="s">
        <v>137</v>
      </c>
      <c r="X3" s="234" t="s">
        <v>139</v>
      </c>
      <c r="Y3" s="234" t="s">
        <v>140</v>
      </c>
      <c r="Z3" s="234" t="s">
        <v>141</v>
      </c>
      <c r="AA3" s="234" t="s">
        <v>142</v>
      </c>
      <c r="AB3" s="235" t="s">
        <v>137</v>
      </c>
      <c r="AC3" s="234" t="s">
        <v>197</v>
      </c>
      <c r="AD3" s="234" t="s">
        <v>198</v>
      </c>
      <c r="AE3" s="234" t="s">
        <v>37</v>
      </c>
      <c r="AF3" s="234" t="s">
        <v>199</v>
      </c>
      <c r="AG3" s="234" t="s">
        <v>140</v>
      </c>
      <c r="AH3" s="234" t="s">
        <v>141</v>
      </c>
      <c r="AI3" s="234" t="s">
        <v>142</v>
      </c>
      <c r="AJ3" s="234" t="s">
        <v>34</v>
      </c>
      <c r="AK3" s="234" t="s">
        <v>200</v>
      </c>
      <c r="AL3" s="234" t="s">
        <v>201</v>
      </c>
      <c r="AM3" s="235" t="s">
        <v>137</v>
      </c>
      <c r="AN3" s="236" t="s">
        <v>29</v>
      </c>
      <c r="AO3" s="236" t="s">
        <v>31</v>
      </c>
      <c r="AP3" s="236" t="s">
        <v>291</v>
      </c>
      <c r="AQ3" s="236" t="s">
        <v>292</v>
      </c>
      <c r="AR3" s="236" t="s">
        <v>293</v>
      </c>
      <c r="AS3" s="235" t="s">
        <v>137</v>
      </c>
      <c r="AV3" s="7"/>
      <c r="AW3" s="270"/>
    </row>
    <row r="4" spans="1:51" x14ac:dyDescent="0.25">
      <c r="A4" s="23" t="s">
        <v>172</v>
      </c>
      <c r="B4" s="23" t="s">
        <v>173</v>
      </c>
      <c r="C4" s="23" t="s">
        <v>174</v>
      </c>
      <c r="D4" s="23" t="s">
        <v>95</v>
      </c>
      <c r="E4" s="90" t="str">
        <f>INDEX('Rate Design (Consol)'!$B$48:$B$66,MATCH('G2-8 Summary'!F4,'Rate Design (Consol)'!$C$48:$C$66,0))</f>
        <v>GS-2</v>
      </c>
      <c r="F4" s="23" t="s">
        <v>12</v>
      </c>
      <c r="G4" s="90" t="str">
        <f>INDEX('Rate Design (Consol)'!$D$48:$D$66,MATCH('G2-8 Summary'!H4,'Rate Design (Consol)'!$E$48:$E$66,0))</f>
        <v>GS-2</v>
      </c>
      <c r="H4" s="23" t="str">
        <f>F4</f>
        <v>General Service - 2</v>
      </c>
      <c r="I4" s="23" t="str">
        <f>CONCATENATE(C4,"_",B4," ", AV4,"_",H4)</f>
        <v>CF_FTS-1 _General Service - 2</v>
      </c>
      <c r="J4" s="61" t="str">
        <f>CONCATENATE(A4,"-",D4,"-",G4)</f>
        <v>CFG-CFG - Firm Transportation Service - 1 (Fixed Non-Residential)-GS-2</v>
      </c>
      <c r="K4" s="62" t="s">
        <v>257</v>
      </c>
      <c r="L4" s="146">
        <v>4.6511627906976744E-2</v>
      </c>
      <c r="M4" s="146">
        <v>0.55442698031524573</v>
      </c>
      <c r="N4" s="90" t="str">
        <f>VLOOKUP(E4,'Rate Design (Consol)'!D:F,3,FALSE)</f>
        <v>&gt; 1000 &lt; = 5,000</v>
      </c>
      <c r="O4" s="237">
        <f t="shared" ref="O4:O68" si="0">ROUND(U4/P4,0)</f>
        <v>1515</v>
      </c>
      <c r="P4" s="148">
        <f>ROUND(Q4/12,0)</f>
        <v>2</v>
      </c>
      <c r="Q4" s="148">
        <f>ROUND(R4/12,0)*12</f>
        <v>24</v>
      </c>
      <c r="R4" s="148">
        <v>22.686266960111674</v>
      </c>
      <c r="S4" s="24">
        <v>29</v>
      </c>
      <c r="T4" s="25"/>
      <c r="U4" s="148">
        <v>3029.1001931794185</v>
      </c>
      <c r="V4" s="238">
        <v>0</v>
      </c>
      <c r="W4" s="25"/>
      <c r="X4" s="131">
        <f>VLOOKUP(CONCATENATE(C4,B4),'G2-7 Summary'!S:W,2,FALSE)</f>
        <v>0.11405000000000003</v>
      </c>
      <c r="Y4" s="131">
        <f>VLOOKUP(CONCATENATE(C4,B4),'G2-7 Summary'!S:W,3,FALSE)</f>
        <v>0.14627000000000001</v>
      </c>
      <c r="Z4" s="131">
        <f>VLOOKUP(CONCATENATE(C4,B4),'G2-7 Summary'!S:W,4,FALSE)</f>
        <v>0</v>
      </c>
      <c r="AA4" s="131">
        <f>VLOOKUP(CONCATENATE(C4,B4),'G2-7 Summary'!S:W,5,FALSE)</f>
        <v>0.1943</v>
      </c>
      <c r="AB4" s="25"/>
      <c r="AC4" s="149">
        <f>S4*P4*12</f>
        <v>696</v>
      </c>
      <c r="AD4" s="26">
        <f t="shared" ref="AD4:AD36" si="1">U4*V4</f>
        <v>0</v>
      </c>
      <c r="AE4" s="26">
        <f>X4*$U4</f>
        <v>345.46887703211274</v>
      </c>
      <c r="AF4" s="26"/>
      <c r="AG4" s="26">
        <f>Y4*$U4</f>
        <v>443.06648525635359</v>
      </c>
      <c r="AH4" s="26">
        <f>Z4*$U4</f>
        <v>0</v>
      </c>
      <c r="AI4" s="26">
        <f>AA4*$U4</f>
        <v>588.55416753476106</v>
      </c>
      <c r="AJ4" s="29">
        <f t="shared" ref="AJ4:AJ36" si="2">SUM(AC4:AI4)</f>
        <v>2073.0895298232272</v>
      </c>
      <c r="AK4" s="27">
        <f>-SUM(AG4:AI4)</f>
        <v>-1031.6206527911147</v>
      </c>
      <c r="AL4" s="27">
        <f>AK4+AJ4</f>
        <v>1041.4688770321125</v>
      </c>
      <c r="AN4" s="27">
        <f>SUMIFS('Rate Design (Consol)'!K:K,'Rate Design (Consol)'!A:A,K4,'Rate Design (Consol)'!D:D,G4)</f>
        <v>70</v>
      </c>
      <c r="AO4" s="23">
        <f>SUMIFS('Rate Design (Consol)'!L:L,'Rate Design (Consol)'!A:A,K4,'Rate Design (Consol)'!D:D,G4)</f>
        <v>0.69901999999999997</v>
      </c>
      <c r="AP4" s="24">
        <f>Q4*AN4</f>
        <v>1680</v>
      </c>
      <c r="AQ4" s="24">
        <f>U4*AO4</f>
        <v>2117.401617036277</v>
      </c>
      <c r="AR4" s="25">
        <f>Q4*AN4+U4*AO4</f>
        <v>3797.401617036277</v>
      </c>
      <c r="AT4" s="53"/>
      <c r="AU4" s="53"/>
      <c r="AV4" s="271"/>
      <c r="AX4" s="53"/>
      <c r="AY4" s="53"/>
    </row>
    <row r="5" spans="1:51" x14ac:dyDescent="0.25">
      <c r="A5" s="23" t="s">
        <v>172</v>
      </c>
      <c r="B5" s="23" t="s">
        <v>173</v>
      </c>
      <c r="C5" s="23" t="s">
        <v>174</v>
      </c>
      <c r="D5" s="23" t="s">
        <v>95</v>
      </c>
      <c r="E5" s="90" t="str">
        <f>INDEX('Rate Design (Consol)'!$B$48:$B$66,MATCH('G2-8 Summary'!F5,'Rate Design (Consol)'!$C$48:$C$66,0))</f>
        <v>GS-1</v>
      </c>
      <c r="F5" s="23" t="s">
        <v>11</v>
      </c>
      <c r="G5" s="90" t="str">
        <f>INDEX('Rate Design (Consol)'!$D$48:$D$66,MATCH('G2-8 Summary'!H5,'Rate Design (Consol)'!$E$48:$E$66,0))</f>
        <v>GS-1</v>
      </c>
      <c r="H5" s="23" t="str">
        <f t="shared" ref="H5:H68" si="3">F5</f>
        <v>General Service - 1</v>
      </c>
      <c r="I5" s="23" t="str">
        <f t="shared" ref="I5:I8" si="4">CONCATENATE(C5,"_",B5," ", AV5,"_",H5)</f>
        <v>CF_FTS-1 _General Service - 1</v>
      </c>
      <c r="J5" s="61" t="str">
        <f t="shared" ref="J5:J69" si="5">CONCATENATE(A5,"-",D5,"-",G5)</f>
        <v>CFG-CFG - Firm Transportation Service - 1 (Fixed Non-Residential)-GS-1</v>
      </c>
      <c r="K5" s="62" t="s">
        <v>257</v>
      </c>
      <c r="L5" s="146">
        <v>0.95348837209302328</v>
      </c>
      <c r="M5" s="146">
        <v>0.44557301968475421</v>
      </c>
      <c r="N5" s="90" t="str">
        <f>VLOOKUP(E5,'Rate Design (Consol)'!D:F,3,FALSE)</f>
        <v>&lt; = 1000</v>
      </c>
      <c r="O5" s="237">
        <f t="shared" si="0"/>
        <v>62</v>
      </c>
      <c r="P5" s="148">
        <f t="shared" ref="P5:P69" si="6">ROUND(Q5/12,0)</f>
        <v>39</v>
      </c>
      <c r="Q5" s="148">
        <f>ROUND(R5/12,0)*12</f>
        <v>468</v>
      </c>
      <c r="R5" s="148">
        <v>465.06847268228933</v>
      </c>
      <c r="S5" s="24">
        <v>29</v>
      </c>
      <c r="T5" s="25"/>
      <c r="U5" s="148">
        <v>2434.3788594761354</v>
      </c>
      <c r="V5" s="238">
        <v>0</v>
      </c>
      <c r="W5" s="25"/>
      <c r="X5" s="131">
        <f>VLOOKUP(CONCATENATE(C5,B5),'G2-7 Summary'!S:W,2,FALSE)</f>
        <v>0.11405000000000003</v>
      </c>
      <c r="Y5" s="131">
        <f>VLOOKUP(CONCATENATE(C5,B5),'G2-7 Summary'!S:W,3,FALSE)</f>
        <v>0.14627000000000001</v>
      </c>
      <c r="Z5" s="131">
        <f>VLOOKUP(CONCATENATE(C5,B5),'G2-7 Summary'!S:W,4,FALSE)</f>
        <v>0</v>
      </c>
      <c r="AA5" s="131">
        <f>VLOOKUP(CONCATENATE(C5,B5),'G2-7 Summary'!S:W,5,FALSE)</f>
        <v>0.1943</v>
      </c>
      <c r="AB5" s="25"/>
      <c r="AC5" s="149">
        <f t="shared" ref="AC5:AC36" si="7">S5*P5*12</f>
        <v>13572</v>
      </c>
      <c r="AD5" s="26">
        <f t="shared" si="1"/>
        <v>0</v>
      </c>
      <c r="AE5" s="26">
        <f t="shared" ref="AE5:AE69" si="8">X5*$U5</f>
        <v>277.64090892325333</v>
      </c>
      <c r="AF5" s="26"/>
      <c r="AG5" s="26">
        <f t="shared" ref="AG5:AG69" si="9">Y5*$U5</f>
        <v>356.07659577557433</v>
      </c>
      <c r="AH5" s="26">
        <f t="shared" ref="AH5:AH69" si="10">Z5*$U5</f>
        <v>0</v>
      </c>
      <c r="AI5" s="26">
        <f t="shared" ref="AI5:AI69" si="11">AA5*$U5</f>
        <v>472.99981239621309</v>
      </c>
      <c r="AJ5" s="29">
        <f t="shared" si="2"/>
        <v>14678.717317095039</v>
      </c>
      <c r="AK5" s="27">
        <f t="shared" ref="AK5:AK69" si="12">-SUM(AG5:AI5)</f>
        <v>-829.07640817178742</v>
      </c>
      <c r="AL5" s="27">
        <f t="shared" ref="AL5:AL69" si="13">AK5+AJ5</f>
        <v>13849.640908923251</v>
      </c>
      <c r="AN5" s="27">
        <f>SUMIFS('Rate Design (Consol)'!K:K,'Rate Design (Consol)'!A:A,K5,'Rate Design (Consol)'!D:D,G5)</f>
        <v>40</v>
      </c>
      <c r="AO5" s="23">
        <f>SUMIFS('Rate Design (Consol)'!L:L,'Rate Design (Consol)'!A:A,K5,'Rate Design (Consol)'!D:D,G5)</f>
        <v>0.70123999999999997</v>
      </c>
      <c r="AP5" s="24">
        <f t="shared" ref="AP5:AP68" si="14">Q5*AN5</f>
        <v>18720</v>
      </c>
      <c r="AQ5" s="24">
        <f t="shared" ref="AQ5:AQ68" si="15">U5*AO5</f>
        <v>1707.0838314190451</v>
      </c>
      <c r="AR5" s="25">
        <f t="shared" ref="AR5:AR68" si="16">Q5*AN5+U5*AO5</f>
        <v>20427.083831419044</v>
      </c>
      <c r="AT5" s="53"/>
      <c r="AU5" s="53"/>
      <c r="AV5" s="271"/>
      <c r="AX5" s="53"/>
      <c r="AY5" s="53"/>
    </row>
    <row r="6" spans="1:51" x14ac:dyDescent="0.25">
      <c r="A6" s="23" t="s">
        <v>172</v>
      </c>
      <c r="B6" s="23" t="s">
        <v>173</v>
      </c>
      <c r="C6" s="23" t="s">
        <v>174</v>
      </c>
      <c r="D6" s="23" t="s">
        <v>79</v>
      </c>
      <c r="E6" s="90" t="str">
        <f>INDEX('Rate Design (Consol)'!$B$48:$B$66,MATCH('G2-8 Summary'!F6,'Rate Design (Consol)'!$C$48:$C$66,0))</f>
        <v>RES-1</v>
      </c>
      <c r="F6" s="23" t="s">
        <v>8</v>
      </c>
      <c r="G6" s="90" t="str">
        <f>INDEX('Rate Design (Consol)'!$D$48:$D$66,MATCH('G2-8 Summary'!H6,'Rate Design (Consol)'!$E$48:$E$66,0))</f>
        <v>RES-1</v>
      </c>
      <c r="H6" s="23" t="str">
        <f t="shared" si="3"/>
        <v>Residential - 1</v>
      </c>
      <c r="I6" s="23" t="str">
        <f t="shared" si="4"/>
        <v>CF_FTS-1 _Residential - 1</v>
      </c>
      <c r="J6" s="61" t="str">
        <f t="shared" si="5"/>
        <v>CFG-CFG - Firm Transportation Service - 1 (Fixed Residential)-RES-1</v>
      </c>
      <c r="K6" s="62" t="s">
        <v>257</v>
      </c>
      <c r="L6" s="146">
        <v>0.21951219512195122</v>
      </c>
      <c r="M6" s="146">
        <v>5.7254059770419481E-2</v>
      </c>
      <c r="N6" s="90" t="str">
        <f>VLOOKUP(E6,'Rate Design (Consol)'!D:F,3,FALSE)</f>
        <v>&lt; = 100</v>
      </c>
      <c r="O6" s="237">
        <f t="shared" si="0"/>
        <v>53</v>
      </c>
      <c r="P6" s="148">
        <f t="shared" si="6"/>
        <v>39</v>
      </c>
      <c r="Q6" s="148">
        <f>ROUND(R6/12,0)*12+12</f>
        <v>468</v>
      </c>
      <c r="R6" s="148">
        <v>459.63955981617863</v>
      </c>
      <c r="S6" s="24">
        <v>29</v>
      </c>
      <c r="T6" s="25"/>
      <c r="U6" s="148">
        <v>2069.361638967021</v>
      </c>
      <c r="V6" s="238">
        <v>0</v>
      </c>
      <c r="W6" s="25"/>
      <c r="X6" s="131">
        <f>VLOOKUP(CONCATENATE(C6,B6),'G2-7 Summary'!S:W,2,FALSE)</f>
        <v>0.11405000000000003</v>
      </c>
      <c r="Y6" s="131">
        <f>VLOOKUP(CONCATENATE(C6,B6),'G2-7 Summary'!S:W,3,FALSE)</f>
        <v>0.14627000000000001</v>
      </c>
      <c r="Z6" s="131">
        <f>VLOOKUP(CONCATENATE(C6,B6),'G2-7 Summary'!S:W,4,FALSE)</f>
        <v>0</v>
      </c>
      <c r="AA6" s="131">
        <f>VLOOKUP(CONCATENATE(C6,B6),'G2-7 Summary'!S:W,5,FALSE)</f>
        <v>0.1943</v>
      </c>
      <c r="AB6" s="25"/>
      <c r="AC6" s="149">
        <f t="shared" si="7"/>
        <v>13572</v>
      </c>
      <c r="AD6" s="26">
        <f t="shared" si="1"/>
        <v>0</v>
      </c>
      <c r="AE6" s="26">
        <f t="shared" si="8"/>
        <v>236.01069492418881</v>
      </c>
      <c r="AF6" s="26"/>
      <c r="AG6" s="26">
        <f t="shared" si="9"/>
        <v>302.68552693170619</v>
      </c>
      <c r="AH6" s="26">
        <f t="shared" si="10"/>
        <v>0</v>
      </c>
      <c r="AI6" s="26">
        <f t="shared" si="11"/>
        <v>402.07696645129221</v>
      </c>
      <c r="AJ6" s="29">
        <f t="shared" si="2"/>
        <v>14512.773188307187</v>
      </c>
      <c r="AK6" s="27">
        <f t="shared" si="12"/>
        <v>-704.7624933829984</v>
      </c>
      <c r="AL6" s="27">
        <f t="shared" si="13"/>
        <v>13808.010694924189</v>
      </c>
      <c r="AN6" s="27">
        <f>SUMIFS('Rate Design (Consol)'!K:K,'Rate Design (Consol)'!A:A,K6,'Rate Design (Consol)'!D:D,G6)</f>
        <v>16.5</v>
      </c>
      <c r="AO6" s="23">
        <f>SUMIFS('Rate Design (Consol)'!L:L,'Rate Design (Consol)'!A:A,K6,'Rate Design (Consol)'!D:D,G6)</f>
        <v>0.65229000000000004</v>
      </c>
      <c r="AP6" s="24">
        <f t="shared" si="14"/>
        <v>7722</v>
      </c>
      <c r="AQ6" s="24">
        <f t="shared" si="15"/>
        <v>1349.8239034817982</v>
      </c>
      <c r="AR6" s="25">
        <f t="shared" si="16"/>
        <v>9071.823903481798</v>
      </c>
      <c r="AT6" s="53"/>
      <c r="AU6" s="53"/>
      <c r="AV6" s="271"/>
      <c r="AX6" s="53"/>
      <c r="AY6" s="53"/>
    </row>
    <row r="7" spans="1:51" x14ac:dyDescent="0.25">
      <c r="A7" s="23" t="s">
        <v>172</v>
      </c>
      <c r="B7" s="23" t="s">
        <v>173</v>
      </c>
      <c r="C7" s="23" t="s">
        <v>174</v>
      </c>
      <c r="D7" s="23" t="s">
        <v>79</v>
      </c>
      <c r="E7" s="90" t="str">
        <f>INDEX('Rate Design (Consol)'!$B$48:$B$66,MATCH('G2-8 Summary'!F7,'Rate Design (Consol)'!$C$48:$C$66,0))</f>
        <v>RES-3</v>
      </c>
      <c r="F7" s="23" t="s">
        <v>266</v>
      </c>
      <c r="G7" s="90" t="str">
        <f>INDEX('Rate Design (Consol)'!$D$48:$D$66,MATCH('G2-8 Summary'!H7,'Rate Design (Consol)'!$E$48:$E$66,0))</f>
        <v>RES-3</v>
      </c>
      <c r="H7" s="23" t="str">
        <f t="shared" si="3"/>
        <v>Residential - 3</v>
      </c>
      <c r="I7" s="23" t="str">
        <f t="shared" si="4"/>
        <v>CF_FTS-1 _Residential - 3</v>
      </c>
      <c r="J7" s="61" t="str">
        <f t="shared" si="5"/>
        <v>CFG-CFG - Firm Transportation Service - 1 (Fixed Residential)-RES-3</v>
      </c>
      <c r="K7" s="62" t="s">
        <v>257</v>
      </c>
      <c r="L7" s="146">
        <v>0.25609756097560976</v>
      </c>
      <c r="M7" s="146">
        <v>0.51027422377000309</v>
      </c>
      <c r="N7" s="90" t="str">
        <f>VLOOKUP(E7,'Rate Design (Consol)'!D:F,3,FALSE)</f>
        <v>&gt; 250</v>
      </c>
      <c r="O7" s="237">
        <f t="shared" si="0"/>
        <v>419</v>
      </c>
      <c r="P7" s="148">
        <f t="shared" si="6"/>
        <v>44</v>
      </c>
      <c r="Q7" s="148">
        <f>ROUND(R7/12,0)*12-12</f>
        <v>528</v>
      </c>
      <c r="R7" s="148">
        <v>536.2461531188751</v>
      </c>
      <c r="S7" s="24">
        <v>29</v>
      </c>
      <c r="T7" s="25"/>
      <c r="U7" s="148">
        <v>18443.092214901313</v>
      </c>
      <c r="V7" s="238">
        <v>0</v>
      </c>
      <c r="W7" s="25"/>
      <c r="X7" s="131">
        <f>VLOOKUP(CONCATENATE(C7,B7),'G2-7 Summary'!S:W,2,FALSE)</f>
        <v>0.11405000000000003</v>
      </c>
      <c r="Y7" s="131">
        <f>VLOOKUP(CONCATENATE(C7,B7),'G2-7 Summary'!S:W,3,FALSE)</f>
        <v>0.14627000000000001</v>
      </c>
      <c r="Z7" s="131">
        <f>VLOOKUP(CONCATENATE(C7,B7),'G2-7 Summary'!S:W,4,FALSE)</f>
        <v>0</v>
      </c>
      <c r="AA7" s="131">
        <f>VLOOKUP(CONCATENATE(C7,B7),'G2-7 Summary'!S:W,5,FALSE)</f>
        <v>0.1943</v>
      </c>
      <c r="AB7" s="25"/>
      <c r="AC7" s="149">
        <f t="shared" si="7"/>
        <v>15312</v>
      </c>
      <c r="AD7" s="26">
        <f t="shared" si="1"/>
        <v>0</v>
      </c>
      <c r="AE7" s="26">
        <f t="shared" si="8"/>
        <v>2103.4346671094954</v>
      </c>
      <c r="AF7" s="26"/>
      <c r="AG7" s="26">
        <f t="shared" si="9"/>
        <v>2697.6710982736154</v>
      </c>
      <c r="AH7" s="26">
        <f t="shared" si="10"/>
        <v>0</v>
      </c>
      <c r="AI7" s="26">
        <f t="shared" si="11"/>
        <v>3583.4928173553253</v>
      </c>
      <c r="AJ7" s="29">
        <f t="shared" si="2"/>
        <v>23696.598582738436</v>
      </c>
      <c r="AK7" s="27">
        <f t="shared" si="12"/>
        <v>-6281.1639156289402</v>
      </c>
      <c r="AL7" s="27">
        <f t="shared" si="13"/>
        <v>17415.434667109497</v>
      </c>
      <c r="AN7" s="27">
        <f>SUMIFS('Rate Design (Consol)'!K:K,'Rate Design (Consol)'!A:A,K7,'Rate Design (Consol)'!D:D,G7)</f>
        <v>26.5</v>
      </c>
      <c r="AO7" s="23">
        <f>SUMIFS('Rate Design (Consol)'!L:L,'Rate Design (Consol)'!A:A,K7,'Rate Design (Consol)'!D:D,G7)</f>
        <v>0.65386</v>
      </c>
      <c r="AP7" s="24">
        <f t="shared" si="14"/>
        <v>13992</v>
      </c>
      <c r="AQ7" s="24">
        <f t="shared" si="15"/>
        <v>12059.200275635372</v>
      </c>
      <c r="AR7" s="25">
        <f t="shared" si="16"/>
        <v>26051.200275635372</v>
      </c>
      <c r="AT7" s="53"/>
      <c r="AU7" s="53"/>
      <c r="AV7" s="271"/>
      <c r="AX7" s="53"/>
      <c r="AY7" s="53"/>
    </row>
    <row r="8" spans="1:51" x14ac:dyDescent="0.25">
      <c r="A8" s="23" t="s">
        <v>172</v>
      </c>
      <c r="B8" s="23" t="s">
        <v>173</v>
      </c>
      <c r="C8" s="23" t="s">
        <v>174</v>
      </c>
      <c r="D8" s="23" t="s">
        <v>79</v>
      </c>
      <c r="E8" s="90" t="str">
        <f>INDEX('Rate Design (Consol)'!$B$48:$B$66,MATCH('G2-8 Summary'!F8,'Rate Design (Consol)'!$C$48:$C$66,0))</f>
        <v>RES-2</v>
      </c>
      <c r="F8" s="23" t="s">
        <v>9</v>
      </c>
      <c r="G8" s="90" t="str">
        <f>INDEX('Rate Design (Consol)'!$D$48:$D$66,MATCH('G2-8 Summary'!H8,'Rate Design (Consol)'!$E$48:$E$66,0))</f>
        <v>RES-2</v>
      </c>
      <c r="H8" s="23" t="str">
        <f t="shared" si="3"/>
        <v>Residential - 2</v>
      </c>
      <c r="I8" s="23" t="str">
        <f t="shared" si="4"/>
        <v>CF_FTS-1 _Residential - 2</v>
      </c>
      <c r="J8" s="61" t="str">
        <f t="shared" si="5"/>
        <v>CFG-CFG - Firm Transportation Service - 1 (Fixed Residential)-RES-2</v>
      </c>
      <c r="K8" s="62" t="s">
        <v>257</v>
      </c>
      <c r="L8" s="146">
        <v>0.52439024390243905</v>
      </c>
      <c r="M8" s="146">
        <v>0.43247171645957733</v>
      </c>
      <c r="N8" s="90" t="str">
        <f>VLOOKUP(E8,'Rate Design (Consol)'!D:F,3,FALSE)</f>
        <v>&gt; 100 &lt; = 250</v>
      </c>
      <c r="O8" s="237">
        <f t="shared" si="0"/>
        <v>172</v>
      </c>
      <c r="P8" s="148">
        <f t="shared" si="6"/>
        <v>91</v>
      </c>
      <c r="Q8" s="148">
        <f>ROUND(R8/12,0)*12-12</f>
        <v>1092</v>
      </c>
      <c r="R8" s="148">
        <v>1098.0278373386491</v>
      </c>
      <c r="S8" s="24">
        <v>29</v>
      </c>
      <c r="T8" s="25"/>
      <c r="U8" s="148">
        <v>15631.037931078661</v>
      </c>
      <c r="V8" s="238">
        <v>0</v>
      </c>
      <c r="W8" s="25"/>
      <c r="X8" s="131">
        <f>VLOOKUP(CONCATENATE(C8,B8),'G2-7 Summary'!S:W,2,FALSE)</f>
        <v>0.11405000000000003</v>
      </c>
      <c r="Y8" s="131">
        <f>VLOOKUP(CONCATENATE(C8,B8),'G2-7 Summary'!S:W,3,FALSE)</f>
        <v>0.14627000000000001</v>
      </c>
      <c r="Z8" s="131">
        <f>VLOOKUP(CONCATENATE(C8,B8),'G2-7 Summary'!S:W,4,FALSE)</f>
        <v>0</v>
      </c>
      <c r="AA8" s="131">
        <f>VLOOKUP(CONCATENATE(C8,B8),'G2-7 Summary'!S:W,5,FALSE)</f>
        <v>0.1943</v>
      </c>
      <c r="AB8" s="25"/>
      <c r="AC8" s="149">
        <f t="shared" si="7"/>
        <v>31668</v>
      </c>
      <c r="AD8" s="26">
        <f t="shared" si="1"/>
        <v>0</v>
      </c>
      <c r="AE8" s="26">
        <f t="shared" si="8"/>
        <v>1782.7198760395218</v>
      </c>
      <c r="AF8" s="26"/>
      <c r="AG8" s="26">
        <f t="shared" si="9"/>
        <v>2286.3519181788761</v>
      </c>
      <c r="AH8" s="26">
        <f t="shared" si="10"/>
        <v>0</v>
      </c>
      <c r="AI8" s="26">
        <f t="shared" si="11"/>
        <v>3037.1106700085838</v>
      </c>
      <c r="AJ8" s="29">
        <f t="shared" si="2"/>
        <v>38774.182464226978</v>
      </c>
      <c r="AK8" s="27">
        <f t="shared" si="12"/>
        <v>-5323.4625881874599</v>
      </c>
      <c r="AL8" s="27">
        <f t="shared" si="13"/>
        <v>33450.719876039519</v>
      </c>
      <c r="AN8" s="27">
        <f>SUMIFS('Rate Design (Consol)'!K:K,'Rate Design (Consol)'!A:A,K8,'Rate Design (Consol)'!D:D,G8)</f>
        <v>19.5</v>
      </c>
      <c r="AO8" s="23">
        <f>SUMIFS('Rate Design (Consol)'!L:L,'Rate Design (Consol)'!A:A,K8,'Rate Design (Consol)'!D:D,G8)</f>
        <v>0.65271999999999997</v>
      </c>
      <c r="AP8" s="24">
        <f t="shared" si="14"/>
        <v>21294</v>
      </c>
      <c r="AQ8" s="24">
        <f t="shared" si="15"/>
        <v>10202.691078373664</v>
      </c>
      <c r="AR8" s="25">
        <f t="shared" si="16"/>
        <v>31496.691078373664</v>
      </c>
      <c r="AT8" s="53"/>
      <c r="AU8" s="53"/>
      <c r="AV8" s="271"/>
      <c r="AX8" s="53"/>
      <c r="AY8" s="53"/>
    </row>
    <row r="9" spans="1:51" x14ac:dyDescent="0.25">
      <c r="A9" s="23" t="s">
        <v>172</v>
      </c>
      <c r="B9" s="23" t="s">
        <v>173</v>
      </c>
      <c r="C9" s="23" t="s">
        <v>174</v>
      </c>
      <c r="D9" s="23" t="s">
        <v>89</v>
      </c>
      <c r="E9" s="90" t="str">
        <f>INDEX('Rate Design (Consol)'!$B$48:$B$66,MATCH('G2-8 Summary'!F9,'Rate Design (Consol)'!$C$48:$C$66,0))</f>
        <v>GS-2</v>
      </c>
      <c r="F9" s="23" t="s">
        <v>12</v>
      </c>
      <c r="G9" s="90" t="str">
        <f>INDEX('Rate Design (Consol)'!$D$48:$D$66,MATCH('G2-8 Summary'!H9,'Rate Design (Consol)'!$E$48:$E$66,0))</f>
        <v>GS-2</v>
      </c>
      <c r="H9" s="23" t="str">
        <f t="shared" si="3"/>
        <v>General Service - 2</v>
      </c>
      <c r="I9" s="23" t="str">
        <f t="shared" ref="I9:I67" si="17">CONCATENATE(C9,"_",B9,"_",H9)</f>
        <v>CF_FTS-1_General Service - 2</v>
      </c>
      <c r="J9" s="61" t="str">
        <f t="shared" si="5"/>
        <v>CFG-CFG - Firm Transportation Service - 1 Non-Residential-GS-2</v>
      </c>
      <c r="K9" s="62" t="s">
        <v>257</v>
      </c>
      <c r="L9" s="146">
        <v>5.4455445544554455E-2</v>
      </c>
      <c r="M9" s="146">
        <v>0.40300806628494518</v>
      </c>
      <c r="N9" s="90" t="str">
        <f>VLOOKUP(E9,'Rate Design (Consol)'!D:F,3,FALSE)</f>
        <v>&gt; 1000 &lt; = 5,000</v>
      </c>
      <c r="O9" s="237">
        <f t="shared" si="0"/>
        <v>1799</v>
      </c>
      <c r="P9" s="148">
        <f t="shared" si="6"/>
        <v>10</v>
      </c>
      <c r="Q9" s="148">
        <f>ROUND(R9/12,0)*12-12</f>
        <v>120</v>
      </c>
      <c r="R9" s="148">
        <v>133.39475057766873</v>
      </c>
      <c r="S9" s="24">
        <v>19</v>
      </c>
      <c r="T9" s="25"/>
      <c r="U9" s="148">
        <v>17987.20589045728</v>
      </c>
      <c r="V9" s="238">
        <v>0.46310000000000001</v>
      </c>
      <c r="W9" s="25"/>
      <c r="X9" s="131">
        <f>VLOOKUP(CONCATENATE(C9,B9),'G2-7 Summary'!S:W,2,FALSE)</f>
        <v>0.11405000000000003</v>
      </c>
      <c r="Y9" s="131">
        <f>VLOOKUP(CONCATENATE(C9,B9),'G2-7 Summary'!S:W,3,FALSE)</f>
        <v>0.14627000000000001</v>
      </c>
      <c r="Z9" s="131">
        <f>VLOOKUP(CONCATENATE(C9,B9),'G2-7 Summary'!S:W,4,FALSE)</f>
        <v>0</v>
      </c>
      <c r="AA9" s="131">
        <f>VLOOKUP(CONCATENATE(C9,B9),'G2-7 Summary'!S:W,5,FALSE)</f>
        <v>0.1943</v>
      </c>
      <c r="AB9" s="25"/>
      <c r="AC9" s="149">
        <f t="shared" si="7"/>
        <v>2280</v>
      </c>
      <c r="AD9" s="26">
        <f t="shared" si="1"/>
        <v>8329.8750478707661</v>
      </c>
      <c r="AE9" s="26">
        <f t="shared" si="8"/>
        <v>2051.4408318066535</v>
      </c>
      <c r="AF9" s="26"/>
      <c r="AG9" s="26">
        <f t="shared" si="9"/>
        <v>2630.9886055971865</v>
      </c>
      <c r="AH9" s="26">
        <f t="shared" si="10"/>
        <v>0</v>
      </c>
      <c r="AI9" s="26">
        <f t="shared" si="11"/>
        <v>3494.9141045158494</v>
      </c>
      <c r="AJ9" s="29">
        <f t="shared" si="2"/>
        <v>18787.218589790456</v>
      </c>
      <c r="AK9" s="27">
        <f t="shared" si="12"/>
        <v>-6125.9027101130359</v>
      </c>
      <c r="AL9" s="27">
        <f t="shared" si="13"/>
        <v>12661.315879677421</v>
      </c>
      <c r="AN9" s="27">
        <f>SUMIFS('Rate Design (Consol)'!K:K,'Rate Design (Consol)'!A:A,K9,'Rate Design (Consol)'!D:D,G9)</f>
        <v>70</v>
      </c>
      <c r="AO9" s="23">
        <f>SUMIFS('Rate Design (Consol)'!L:L,'Rate Design (Consol)'!A:A,K9,'Rate Design (Consol)'!D:D,G9)</f>
        <v>0.69901999999999997</v>
      </c>
      <c r="AP9" s="24">
        <f t="shared" si="14"/>
        <v>8400</v>
      </c>
      <c r="AQ9" s="24">
        <f t="shared" si="15"/>
        <v>12573.416661547448</v>
      </c>
      <c r="AR9" s="25">
        <f t="shared" si="16"/>
        <v>20973.416661547446</v>
      </c>
      <c r="AT9" s="53"/>
      <c r="AU9" s="53"/>
      <c r="AV9" s="271"/>
      <c r="AW9" s="199"/>
      <c r="AX9" s="53"/>
      <c r="AY9" s="53"/>
    </row>
    <row r="10" spans="1:51" x14ac:dyDescent="0.25">
      <c r="A10" s="23" t="s">
        <v>172</v>
      </c>
      <c r="B10" s="23" t="s">
        <v>173</v>
      </c>
      <c r="C10" s="23" t="s">
        <v>174</v>
      </c>
      <c r="D10" s="23" t="s">
        <v>89</v>
      </c>
      <c r="E10" s="90" t="str">
        <f>INDEX('Rate Design (Consol)'!$B$48:$B$66,MATCH('G2-8 Summary'!F10,'Rate Design (Consol)'!$C$48:$C$66,0))</f>
        <v>GS-1</v>
      </c>
      <c r="F10" s="23" t="s">
        <v>11</v>
      </c>
      <c r="G10" s="90" t="str">
        <f>INDEX('Rate Design (Consol)'!$D$48:$D$66,MATCH('G2-8 Summary'!H10,'Rate Design (Consol)'!$E$48:$E$66,0))</f>
        <v>GS-1</v>
      </c>
      <c r="H10" s="23" t="str">
        <f t="shared" si="3"/>
        <v>General Service - 1</v>
      </c>
      <c r="I10" s="23" t="str">
        <f t="shared" si="17"/>
        <v>CF_FTS-1_General Service - 1</v>
      </c>
      <c r="J10" s="61" t="str">
        <f t="shared" si="5"/>
        <v>CFG-CFG - Firm Transportation Service - 1 Non-Residential-GS-1</v>
      </c>
      <c r="K10" s="62" t="s">
        <v>257</v>
      </c>
      <c r="L10" s="146">
        <v>0.9455445544554455</v>
      </c>
      <c r="M10" s="146">
        <v>0.59699193371505477</v>
      </c>
      <c r="N10" s="90" t="str">
        <f>VLOOKUP(E10,'Rate Design (Consol)'!D:F,3,FALSE)</f>
        <v>&lt; = 1000</v>
      </c>
      <c r="O10" s="237">
        <f t="shared" si="0"/>
        <v>137</v>
      </c>
      <c r="P10" s="148">
        <f t="shared" si="6"/>
        <v>194</v>
      </c>
      <c r="Q10" s="148">
        <f>ROUND(R10/12,0)*12+12</f>
        <v>2328</v>
      </c>
      <c r="R10" s="148">
        <v>2316.2179418486116</v>
      </c>
      <c r="S10" s="24">
        <v>19</v>
      </c>
      <c r="T10" s="25"/>
      <c r="U10" s="148">
        <v>26645.16600291197</v>
      </c>
      <c r="V10" s="238">
        <v>0.46310000000000001</v>
      </c>
      <c r="W10" s="25"/>
      <c r="X10" s="131">
        <f>VLOOKUP(CONCATENATE(C10,B10),'G2-7 Summary'!S:W,2,FALSE)</f>
        <v>0.11405000000000003</v>
      </c>
      <c r="Y10" s="131">
        <f>VLOOKUP(CONCATENATE(C10,B10),'G2-7 Summary'!S:W,3,FALSE)</f>
        <v>0.14627000000000001</v>
      </c>
      <c r="Z10" s="131">
        <f>VLOOKUP(CONCATENATE(C10,B10),'G2-7 Summary'!S:W,4,FALSE)</f>
        <v>0</v>
      </c>
      <c r="AA10" s="131">
        <f>VLOOKUP(CONCATENATE(C10,B10),'G2-7 Summary'!S:W,5,FALSE)</f>
        <v>0.1943</v>
      </c>
      <c r="AB10" s="25"/>
      <c r="AC10" s="149">
        <f t="shared" si="7"/>
        <v>44232</v>
      </c>
      <c r="AD10" s="26">
        <f t="shared" si="1"/>
        <v>12339.376375948534</v>
      </c>
      <c r="AE10" s="26">
        <f t="shared" si="8"/>
        <v>3038.8811826321107</v>
      </c>
      <c r="AF10" s="26"/>
      <c r="AG10" s="26">
        <f t="shared" si="9"/>
        <v>3897.388431245934</v>
      </c>
      <c r="AH10" s="26">
        <f t="shared" si="10"/>
        <v>0</v>
      </c>
      <c r="AI10" s="26">
        <f t="shared" si="11"/>
        <v>5177.1557543657955</v>
      </c>
      <c r="AJ10" s="29">
        <f t="shared" si="2"/>
        <v>68684.801744192373</v>
      </c>
      <c r="AK10" s="27">
        <f t="shared" si="12"/>
        <v>-9074.5441856117286</v>
      </c>
      <c r="AL10" s="27">
        <f t="shared" si="13"/>
        <v>59610.257558580648</v>
      </c>
      <c r="AN10" s="27">
        <f>SUMIFS('Rate Design (Consol)'!K:K,'Rate Design (Consol)'!A:A,K10,'Rate Design (Consol)'!D:D,G10)</f>
        <v>40</v>
      </c>
      <c r="AO10" s="23">
        <f>SUMIFS('Rate Design (Consol)'!L:L,'Rate Design (Consol)'!A:A,K10,'Rate Design (Consol)'!D:D,G10)</f>
        <v>0.70123999999999997</v>
      </c>
      <c r="AP10" s="24">
        <f t="shared" si="14"/>
        <v>93120</v>
      </c>
      <c r="AQ10" s="24">
        <f t="shared" si="15"/>
        <v>18684.656207881988</v>
      </c>
      <c r="AR10" s="25">
        <f t="shared" si="16"/>
        <v>111804.65620788198</v>
      </c>
      <c r="AT10" s="53"/>
      <c r="AU10" s="53"/>
      <c r="AV10" s="271"/>
      <c r="AW10" s="199"/>
      <c r="AX10" s="53"/>
      <c r="AY10" s="53"/>
    </row>
    <row r="11" spans="1:51" x14ac:dyDescent="0.25">
      <c r="A11" s="23" t="s">
        <v>172</v>
      </c>
      <c r="B11" s="23" t="s">
        <v>173</v>
      </c>
      <c r="C11" s="23" t="s">
        <v>174</v>
      </c>
      <c r="D11" s="23" t="s">
        <v>73</v>
      </c>
      <c r="E11" s="90" t="str">
        <f>INDEX('Rate Design (Consol)'!$B$48:$B$66,MATCH('G2-8 Summary'!F11,'Rate Design (Consol)'!$C$48:$C$66,0))</f>
        <v>RES-1</v>
      </c>
      <c r="F11" s="23" t="s">
        <v>8</v>
      </c>
      <c r="G11" s="90" t="str">
        <f>INDEX('Rate Design (Consol)'!$D$48:$D$66,MATCH('G2-8 Summary'!H11,'Rate Design (Consol)'!$E$48:$E$66,0))</f>
        <v>RES-1</v>
      </c>
      <c r="H11" s="23" t="str">
        <f t="shared" si="3"/>
        <v>Residential - 1</v>
      </c>
      <c r="I11" s="23" t="str">
        <f t="shared" si="17"/>
        <v>CF_FTS-1_Residential - 1</v>
      </c>
      <c r="J11" s="61" t="str">
        <f t="shared" si="5"/>
        <v>CFG-CFG - Firm Transportation Service - 1 Residential-RES-1</v>
      </c>
      <c r="K11" s="62" t="s">
        <v>257</v>
      </c>
      <c r="L11" s="146">
        <v>0.33366754995344838</v>
      </c>
      <c r="M11" s="146">
        <v>0.10667741719061302</v>
      </c>
      <c r="N11" s="90" t="str">
        <f>VLOOKUP(E11,'Rate Design (Consol)'!D:F,3,FALSE)</f>
        <v>&lt; = 100</v>
      </c>
      <c r="O11" s="237">
        <f t="shared" si="0"/>
        <v>60</v>
      </c>
      <c r="P11" s="148">
        <f t="shared" si="6"/>
        <v>4907</v>
      </c>
      <c r="Q11" s="148">
        <f t="shared" ref="Q11:Q23" si="18">ROUND(R11/12,0)*12</f>
        <v>58884</v>
      </c>
      <c r="R11" s="148">
        <v>58887.373239717483</v>
      </c>
      <c r="S11" s="24">
        <v>19</v>
      </c>
      <c r="T11" s="25"/>
      <c r="U11" s="148">
        <v>292372.76709555992</v>
      </c>
      <c r="V11" s="238">
        <v>0.46310000000000001</v>
      </c>
      <c r="W11" s="25"/>
      <c r="X11" s="131">
        <f>VLOOKUP(CONCATENATE(C11,B11),'G2-7 Summary'!S:W,2,FALSE)</f>
        <v>0.11405000000000003</v>
      </c>
      <c r="Y11" s="131">
        <f>VLOOKUP(CONCATENATE(C11,B11),'G2-7 Summary'!S:W,3,FALSE)</f>
        <v>0.14627000000000001</v>
      </c>
      <c r="Z11" s="131">
        <f>VLOOKUP(CONCATENATE(C11,B11),'G2-7 Summary'!S:W,4,FALSE)</f>
        <v>0</v>
      </c>
      <c r="AA11" s="131">
        <f>VLOOKUP(CONCATENATE(C11,B11),'G2-7 Summary'!S:W,5,FALSE)</f>
        <v>0.1943</v>
      </c>
      <c r="AB11" s="25"/>
      <c r="AC11" s="149">
        <f t="shared" si="7"/>
        <v>1118796</v>
      </c>
      <c r="AD11" s="26">
        <f t="shared" si="1"/>
        <v>135397.82844195381</v>
      </c>
      <c r="AE11" s="26">
        <f t="shared" si="8"/>
        <v>33345.114087248614</v>
      </c>
      <c r="AF11" s="26"/>
      <c r="AG11" s="26">
        <f t="shared" si="9"/>
        <v>42765.364643067551</v>
      </c>
      <c r="AH11" s="26">
        <f t="shared" si="10"/>
        <v>0</v>
      </c>
      <c r="AI11" s="26">
        <f t="shared" si="11"/>
        <v>56808.028646667291</v>
      </c>
      <c r="AJ11" s="29">
        <f t="shared" si="2"/>
        <v>1387112.3358189373</v>
      </c>
      <c r="AK11" s="27">
        <f t="shared" si="12"/>
        <v>-99573.393289734842</v>
      </c>
      <c r="AL11" s="27">
        <f t="shared" si="13"/>
        <v>1287538.9425292024</v>
      </c>
      <c r="AN11" s="27">
        <f>SUMIFS('Rate Design (Consol)'!K:K,'Rate Design (Consol)'!A:A,K11,'Rate Design (Consol)'!D:D,G11)</f>
        <v>16.5</v>
      </c>
      <c r="AO11" s="23">
        <f>SUMIFS('Rate Design (Consol)'!L:L,'Rate Design (Consol)'!A:A,K11,'Rate Design (Consol)'!D:D,G11)</f>
        <v>0.65229000000000004</v>
      </c>
      <c r="AP11" s="24">
        <f t="shared" si="14"/>
        <v>971586</v>
      </c>
      <c r="AQ11" s="24">
        <f t="shared" si="15"/>
        <v>190711.8322487628</v>
      </c>
      <c r="AR11" s="25">
        <f t="shared" si="16"/>
        <v>1162297.8322487627</v>
      </c>
      <c r="AT11" s="53"/>
      <c r="AU11" s="53"/>
      <c r="AV11" s="271"/>
      <c r="AW11" s="199"/>
      <c r="AX11" s="53"/>
      <c r="AY11" s="53"/>
    </row>
    <row r="12" spans="1:51" x14ac:dyDescent="0.25">
      <c r="A12" s="23" t="s">
        <v>172</v>
      </c>
      <c r="B12" s="23" t="s">
        <v>173</v>
      </c>
      <c r="C12" s="23" t="s">
        <v>174</v>
      </c>
      <c r="D12" s="23" t="s">
        <v>73</v>
      </c>
      <c r="E12" s="90" t="str">
        <f>INDEX('Rate Design (Consol)'!$B$48:$B$66,MATCH('G2-8 Summary'!F12,'Rate Design (Consol)'!$C$48:$C$66,0))</f>
        <v>RES-3</v>
      </c>
      <c r="F12" s="23" t="s">
        <v>266</v>
      </c>
      <c r="G12" s="90" t="str">
        <f>INDEX('Rate Design (Consol)'!$D$48:$D$66,MATCH('G2-8 Summary'!H12,'Rate Design (Consol)'!$E$48:$E$66,0))</f>
        <v>RES-3</v>
      </c>
      <c r="H12" s="23" t="str">
        <f t="shared" si="3"/>
        <v>Residential - 3</v>
      </c>
      <c r="I12" s="23" t="str">
        <f t="shared" si="17"/>
        <v>CF_FTS-1_Residential - 3</v>
      </c>
      <c r="J12" s="61" t="str">
        <f t="shared" si="5"/>
        <v>CFG-CFG - Firm Transportation Service - 1 Residential-RES-3</v>
      </c>
      <c r="K12" s="62" t="s">
        <v>257</v>
      </c>
      <c r="L12" s="146">
        <v>0.16951944424550597</v>
      </c>
      <c r="M12" s="146">
        <v>0.45752189430354478</v>
      </c>
      <c r="N12" s="90" t="str">
        <f>VLOOKUP(E12,'Rate Design (Consol)'!D:F,3,FALSE)</f>
        <v>&gt; 250</v>
      </c>
      <c r="O12" s="237">
        <f t="shared" si="0"/>
        <v>503</v>
      </c>
      <c r="P12" s="148">
        <f t="shared" si="6"/>
        <v>2493</v>
      </c>
      <c r="Q12" s="148">
        <f t="shared" si="18"/>
        <v>29916</v>
      </c>
      <c r="R12" s="148">
        <v>29917.667408974303</v>
      </c>
      <c r="S12" s="24">
        <v>19</v>
      </c>
      <c r="T12" s="25"/>
      <c r="U12" s="148">
        <v>1253938.7038712481</v>
      </c>
      <c r="V12" s="238">
        <v>0.46310000000000001</v>
      </c>
      <c r="W12" s="25"/>
      <c r="X12" s="131">
        <f>VLOOKUP(CONCATENATE(C12,B12),'G2-7 Summary'!S:W,2,FALSE)</f>
        <v>0.11405000000000003</v>
      </c>
      <c r="Y12" s="131">
        <f>VLOOKUP(CONCATENATE(C12,B12),'G2-7 Summary'!S:W,3,FALSE)</f>
        <v>0.14627000000000001</v>
      </c>
      <c r="Z12" s="131">
        <f>VLOOKUP(CONCATENATE(C12,B12),'G2-7 Summary'!S:W,4,FALSE)</f>
        <v>0</v>
      </c>
      <c r="AA12" s="131">
        <f>VLOOKUP(CONCATENATE(C12,B12),'G2-7 Summary'!S:W,5,FALSE)</f>
        <v>0.1943</v>
      </c>
      <c r="AB12" s="25"/>
      <c r="AC12" s="149">
        <f t="shared" si="7"/>
        <v>568404</v>
      </c>
      <c r="AD12" s="26">
        <f t="shared" si="1"/>
        <v>580699.01376277499</v>
      </c>
      <c r="AE12" s="26">
        <f t="shared" si="8"/>
        <v>143011.70917651587</v>
      </c>
      <c r="AF12" s="26"/>
      <c r="AG12" s="26">
        <f t="shared" si="9"/>
        <v>183413.61421524748</v>
      </c>
      <c r="AH12" s="26">
        <f t="shared" si="10"/>
        <v>0</v>
      </c>
      <c r="AI12" s="26">
        <f t="shared" si="11"/>
        <v>243640.29016218349</v>
      </c>
      <c r="AJ12" s="29">
        <f t="shared" si="2"/>
        <v>1719168.6273167219</v>
      </c>
      <c r="AK12" s="27">
        <f t="shared" si="12"/>
        <v>-427053.90437743097</v>
      </c>
      <c r="AL12" s="27">
        <f t="shared" si="13"/>
        <v>1292114.722939291</v>
      </c>
      <c r="AN12" s="27">
        <f>SUMIFS('Rate Design (Consol)'!K:K,'Rate Design (Consol)'!A:A,K12,'Rate Design (Consol)'!D:D,G12)</f>
        <v>26.5</v>
      </c>
      <c r="AO12" s="23">
        <f>SUMIFS('Rate Design (Consol)'!L:L,'Rate Design (Consol)'!A:A,K12,'Rate Design (Consol)'!D:D,G12)</f>
        <v>0.65386</v>
      </c>
      <c r="AP12" s="24">
        <f t="shared" si="14"/>
        <v>792774</v>
      </c>
      <c r="AQ12" s="24">
        <f t="shared" si="15"/>
        <v>819900.3609132542</v>
      </c>
      <c r="AR12" s="25">
        <f t="shared" si="16"/>
        <v>1612674.3609132543</v>
      </c>
      <c r="AT12" s="53"/>
      <c r="AU12" s="53"/>
      <c r="AV12" s="271"/>
      <c r="AW12" s="199"/>
      <c r="AX12" s="53"/>
      <c r="AY12" s="53"/>
    </row>
    <row r="13" spans="1:51" x14ac:dyDescent="0.25">
      <c r="A13" s="23" t="s">
        <v>172</v>
      </c>
      <c r="B13" s="23" t="s">
        <v>173</v>
      </c>
      <c r="C13" s="23" t="s">
        <v>174</v>
      </c>
      <c r="D13" s="23" t="s">
        <v>73</v>
      </c>
      <c r="E13" s="90" t="str">
        <f>INDEX('Rate Design (Consol)'!$B$48:$B$66,MATCH('G2-8 Summary'!F13,'Rate Design (Consol)'!$C$48:$C$66,0))</f>
        <v>RES-2</v>
      </c>
      <c r="F13" s="23" t="s">
        <v>9</v>
      </c>
      <c r="G13" s="90" t="str">
        <f>INDEX('Rate Design (Consol)'!$D$48:$D$66,MATCH('G2-8 Summary'!H13,'Rate Design (Consol)'!$E$48:$E$66,0))</f>
        <v>RES-2</v>
      </c>
      <c r="H13" s="23" t="str">
        <f t="shared" si="3"/>
        <v>Residential - 2</v>
      </c>
      <c r="I13" s="23" t="str">
        <f t="shared" si="17"/>
        <v>CF_FTS-1_Residential - 2</v>
      </c>
      <c r="J13" s="61" t="str">
        <f t="shared" si="5"/>
        <v>CFG-CFG - Firm Transportation Service - 1 Residential-RES-2</v>
      </c>
      <c r="K13" s="62" t="s">
        <v>257</v>
      </c>
      <c r="L13" s="146">
        <v>0.49681300580104559</v>
      </c>
      <c r="M13" s="146">
        <v>0.43580068850584219</v>
      </c>
      <c r="N13" s="90" t="str">
        <f>VLOOKUP(E13,'Rate Design (Consol)'!D:F,3,FALSE)</f>
        <v>&gt; 100 &lt; = 250</v>
      </c>
      <c r="O13" s="237">
        <f t="shared" si="0"/>
        <v>163</v>
      </c>
      <c r="P13" s="148">
        <f t="shared" si="6"/>
        <v>7307</v>
      </c>
      <c r="Q13" s="148">
        <f t="shared" si="18"/>
        <v>87684</v>
      </c>
      <c r="R13" s="148">
        <v>87680.126242524188</v>
      </c>
      <c r="S13" s="24">
        <v>19</v>
      </c>
      <c r="T13" s="25"/>
      <c r="U13" s="148">
        <v>1194406.9940588619</v>
      </c>
      <c r="V13" s="238">
        <v>0.46310000000000001</v>
      </c>
      <c r="W13" s="25"/>
      <c r="X13" s="131">
        <f>VLOOKUP(CONCATENATE(C13,B13),'G2-7 Summary'!S:W,2,FALSE)</f>
        <v>0.11405000000000003</v>
      </c>
      <c r="Y13" s="131">
        <f>VLOOKUP(CONCATENATE(C13,B13),'G2-7 Summary'!S:W,3,FALSE)</f>
        <v>0.14627000000000001</v>
      </c>
      <c r="Z13" s="131">
        <f>VLOOKUP(CONCATENATE(C13,B13),'G2-7 Summary'!S:W,4,FALSE)</f>
        <v>0</v>
      </c>
      <c r="AA13" s="131">
        <f>VLOOKUP(CONCATENATE(C13,B13),'G2-7 Summary'!S:W,5,FALSE)</f>
        <v>0.1943</v>
      </c>
      <c r="AB13" s="25"/>
      <c r="AC13" s="149">
        <f t="shared" si="7"/>
        <v>1665996</v>
      </c>
      <c r="AD13" s="26">
        <f t="shared" si="1"/>
        <v>553129.87894865894</v>
      </c>
      <c r="AE13" s="26">
        <f t="shared" si="8"/>
        <v>136222.11767241324</v>
      </c>
      <c r="AF13" s="26"/>
      <c r="AG13" s="26">
        <f t="shared" si="9"/>
        <v>174705.91102098973</v>
      </c>
      <c r="AH13" s="26">
        <f t="shared" si="10"/>
        <v>0</v>
      </c>
      <c r="AI13" s="26">
        <f t="shared" si="11"/>
        <v>232073.27894563685</v>
      </c>
      <c r="AJ13" s="29">
        <f t="shared" si="2"/>
        <v>2762127.1865876983</v>
      </c>
      <c r="AK13" s="27">
        <f t="shared" si="12"/>
        <v>-406779.18996662658</v>
      </c>
      <c r="AL13" s="27">
        <f t="shared" si="13"/>
        <v>2355347.9966210718</v>
      </c>
      <c r="AN13" s="27">
        <f>SUMIFS('Rate Design (Consol)'!K:K,'Rate Design (Consol)'!A:A,K13,'Rate Design (Consol)'!D:D,G13)</f>
        <v>19.5</v>
      </c>
      <c r="AO13" s="23">
        <f>SUMIFS('Rate Design (Consol)'!L:L,'Rate Design (Consol)'!A:A,K13,'Rate Design (Consol)'!D:D,G13)</f>
        <v>0.65271999999999997</v>
      </c>
      <c r="AP13" s="24">
        <f t="shared" si="14"/>
        <v>1709838</v>
      </c>
      <c r="AQ13" s="24">
        <f t="shared" si="15"/>
        <v>779613.33316210029</v>
      </c>
      <c r="AR13" s="25">
        <f t="shared" si="16"/>
        <v>2489451.3331621001</v>
      </c>
      <c r="AT13" s="53"/>
      <c r="AU13" s="53"/>
      <c r="AV13" s="271"/>
      <c r="AW13" s="199"/>
      <c r="AX13" s="53"/>
      <c r="AY13" s="53"/>
    </row>
    <row r="14" spans="1:51" x14ac:dyDescent="0.25">
      <c r="A14" s="23" t="s">
        <v>172</v>
      </c>
      <c r="B14" s="23" t="s">
        <v>175</v>
      </c>
      <c r="C14" s="23" t="s">
        <v>174</v>
      </c>
      <c r="D14" s="23" t="s">
        <v>120</v>
      </c>
      <c r="E14" s="90" t="str">
        <f>INDEX('Rate Design (Consol)'!$B$48:$B$66,MATCH('G2-8 Summary'!F14,'Rate Design (Consol)'!$C$48:$C$66,0))</f>
        <v>GS-7</v>
      </c>
      <c r="F14" s="23" t="s">
        <v>17</v>
      </c>
      <c r="G14" s="90" t="str">
        <f>INDEX('Rate Design (Consol)'!$D$48:$D$66,MATCH('G2-8 Summary'!H14,'Rate Design (Consol)'!$E$48:$E$66,0))</f>
        <v>GS-7</v>
      </c>
      <c r="H14" s="23" t="str">
        <f t="shared" si="3"/>
        <v>General Service - 7</v>
      </c>
      <c r="I14" s="23" t="str">
        <f t="shared" si="17"/>
        <v>CF_FTS10_General Service - 7</v>
      </c>
      <c r="J14" s="61" t="str">
        <f t="shared" si="5"/>
        <v>CFG-CFG - Firm Transportation Service - 10-GS-7</v>
      </c>
      <c r="K14" s="62" t="s">
        <v>257</v>
      </c>
      <c r="L14" s="146">
        <v>0.66666666666666663</v>
      </c>
      <c r="M14" s="146">
        <v>0.51098046786888829</v>
      </c>
      <c r="N14" s="90" t="str">
        <f>VLOOKUP(E14,'Rate Design (Consol)'!D:F,3,FALSE)</f>
        <v>&gt; 500,000 &lt; = 1,000,000</v>
      </c>
      <c r="O14" s="237">
        <f t="shared" si="0"/>
        <v>927657</v>
      </c>
      <c r="P14" s="148">
        <f t="shared" si="6"/>
        <v>2</v>
      </c>
      <c r="Q14" s="148">
        <f t="shared" si="18"/>
        <v>24</v>
      </c>
      <c r="R14" s="148">
        <v>24</v>
      </c>
      <c r="S14" s="24">
        <v>3000</v>
      </c>
      <c r="T14" s="25"/>
      <c r="U14" s="148">
        <v>1855313.36</v>
      </c>
      <c r="V14" s="238">
        <v>8.3180000000000004E-2</v>
      </c>
      <c r="W14" s="25"/>
      <c r="X14" s="131">
        <f>VLOOKUP(CONCATENATE(C14,B14),'G2-7 Summary'!S:W,2,FALSE)</f>
        <v>7.393000000000001E-2</v>
      </c>
      <c r="Y14" s="131">
        <f>VLOOKUP(CONCATENATE(C14,B14),'G2-7 Summary'!S:W,3,FALSE)</f>
        <v>1.0319999999999999E-2</v>
      </c>
      <c r="Z14" s="131">
        <f>VLOOKUP(CONCATENATE(C14,B14),'G2-7 Summary'!S:W,4,FALSE)</f>
        <v>0</v>
      </c>
      <c r="AA14" s="131">
        <f>VLOOKUP(CONCATENATE(C14,B14),'G2-7 Summary'!S:W,5,FALSE)</f>
        <v>0.16809999999999997</v>
      </c>
      <c r="AB14" s="25"/>
      <c r="AC14" s="149">
        <f t="shared" si="7"/>
        <v>72000</v>
      </c>
      <c r="AD14" s="26">
        <f t="shared" si="1"/>
        <v>154324.96528480001</v>
      </c>
      <c r="AE14" s="26">
        <f t="shared" si="8"/>
        <v>137163.31670480003</v>
      </c>
      <c r="AF14" s="26"/>
      <c r="AG14" s="26">
        <f t="shared" si="9"/>
        <v>19146.833875199998</v>
      </c>
      <c r="AH14" s="26">
        <f t="shared" si="10"/>
        <v>0</v>
      </c>
      <c r="AI14" s="26">
        <f t="shared" si="11"/>
        <v>311878.17581599997</v>
      </c>
      <c r="AJ14" s="29">
        <f t="shared" si="2"/>
        <v>694513.29168080003</v>
      </c>
      <c r="AK14" s="27">
        <f t="shared" si="12"/>
        <v>-331025.00969119999</v>
      </c>
      <c r="AL14" s="27">
        <f t="shared" si="13"/>
        <v>363488.28198960004</v>
      </c>
      <c r="AN14" s="27">
        <f>SUMIFS('Rate Design (Consol)'!K:K,'Rate Design (Consol)'!A:A,K14,'Rate Design (Consol)'!D:D,G14)</f>
        <v>4500</v>
      </c>
      <c r="AO14" s="23">
        <f>SUMIFS('Rate Design (Consol)'!L:L,'Rate Design (Consol)'!A:A,K14,'Rate Design (Consol)'!D:D,G14)</f>
        <v>0.38796999999999998</v>
      </c>
      <c r="AP14" s="24">
        <f t="shared" si="14"/>
        <v>108000</v>
      </c>
      <c r="AQ14" s="24">
        <f t="shared" si="15"/>
        <v>719805.92427920003</v>
      </c>
      <c r="AR14" s="25">
        <f t="shared" si="16"/>
        <v>827805.92427920003</v>
      </c>
      <c r="AT14" s="53"/>
      <c r="AU14" s="53"/>
      <c r="AV14" s="271"/>
      <c r="AW14" s="199"/>
      <c r="AX14" s="53"/>
      <c r="AY14" s="53"/>
    </row>
    <row r="15" spans="1:51" x14ac:dyDescent="0.25">
      <c r="A15" s="23" t="s">
        <v>172</v>
      </c>
      <c r="B15" s="23" t="s">
        <v>175</v>
      </c>
      <c r="C15" s="23" t="s">
        <v>174</v>
      </c>
      <c r="D15" s="23" t="s">
        <v>120</v>
      </c>
      <c r="E15" s="90" t="str">
        <f>INDEX('Rate Design (Consol)'!$B$48:$B$66,MATCH('G2-8 Summary'!F15,'Rate Design (Consol)'!$C$48:$C$66,0))</f>
        <v>GS-8</v>
      </c>
      <c r="F15" s="23" t="s">
        <v>267</v>
      </c>
      <c r="G15" s="90" t="str">
        <f>INDEX('Rate Design (Consol)'!$D$48:$D$66,MATCH('G2-8 Summary'!H15,'Rate Design (Consol)'!$E$48:$E$66,0))</f>
        <v>GS-8-B</v>
      </c>
      <c r="H15" s="23" t="s">
        <v>273</v>
      </c>
      <c r="I15" s="23" t="str">
        <f t="shared" si="17"/>
        <v>CF_FTS10_General Service - 8 - B</v>
      </c>
      <c r="J15" s="61" t="str">
        <f t="shared" si="5"/>
        <v>CFG-CFG - Firm Transportation Service - 10-GS-8-B</v>
      </c>
      <c r="K15" s="62" t="s">
        <v>257</v>
      </c>
      <c r="L15" s="146">
        <v>0.33333333333333331</v>
      </c>
      <c r="M15" s="146">
        <v>0.48901953213111171</v>
      </c>
      <c r="N15" s="90" t="str">
        <f>VLOOKUP(E15,'Rate Design (Consol)'!D:F,3,FALSE)</f>
        <v>&gt; 1,000,000</v>
      </c>
      <c r="O15" s="237">
        <f t="shared" si="0"/>
        <v>1775576</v>
      </c>
      <c r="P15" s="148">
        <f t="shared" si="6"/>
        <v>1</v>
      </c>
      <c r="Q15" s="148">
        <f t="shared" si="18"/>
        <v>12</v>
      </c>
      <c r="R15" s="148">
        <v>12</v>
      </c>
      <c r="S15" s="24">
        <v>3000</v>
      </c>
      <c r="T15" s="25"/>
      <c r="U15" s="148">
        <v>1775575.6400000004</v>
      </c>
      <c r="V15" s="238">
        <v>8.3180000000000004E-2</v>
      </c>
      <c r="W15" s="25"/>
      <c r="X15" s="131">
        <f>VLOOKUP(CONCATENATE(C15,B15),'G2-7 Summary'!S:W,2,FALSE)</f>
        <v>7.393000000000001E-2</v>
      </c>
      <c r="Y15" s="131">
        <f>VLOOKUP(CONCATENATE(C15,B15),'G2-7 Summary'!S:W,3,FALSE)</f>
        <v>1.0319999999999999E-2</v>
      </c>
      <c r="Z15" s="131">
        <f>VLOOKUP(CONCATENATE(C15,B15),'G2-7 Summary'!S:W,4,FALSE)</f>
        <v>0</v>
      </c>
      <c r="AA15" s="131">
        <f>VLOOKUP(CONCATENATE(C15,B15),'G2-7 Summary'!S:W,5,FALSE)</f>
        <v>0.16809999999999997</v>
      </c>
      <c r="AB15" s="25"/>
      <c r="AC15" s="149">
        <f t="shared" si="7"/>
        <v>36000</v>
      </c>
      <c r="AD15" s="26">
        <f t="shared" si="1"/>
        <v>147692.38173520003</v>
      </c>
      <c r="AE15" s="26">
        <f t="shared" si="8"/>
        <v>131268.30706520003</v>
      </c>
      <c r="AF15" s="26"/>
      <c r="AG15" s="26">
        <f t="shared" si="9"/>
        <v>18323.940604800002</v>
      </c>
      <c r="AH15" s="26">
        <f t="shared" si="10"/>
        <v>0</v>
      </c>
      <c r="AI15" s="26">
        <f t="shared" si="11"/>
        <v>298474.26508400001</v>
      </c>
      <c r="AJ15" s="29">
        <f t="shared" si="2"/>
        <v>631758.89448920009</v>
      </c>
      <c r="AK15" s="27">
        <f t="shared" si="12"/>
        <v>-316798.20568880002</v>
      </c>
      <c r="AL15" s="27">
        <f t="shared" si="13"/>
        <v>314960.68880040006</v>
      </c>
      <c r="AN15" s="27">
        <f>SUMIFS('Rate Design (Consol)'!K:K,'Rate Design (Consol)'!A:A,K15,'Rate Design (Consol)'!D:D,G15)</f>
        <v>9500</v>
      </c>
      <c r="AO15" s="23">
        <f>SUMIFS('Rate Design (Consol)'!L:L,'Rate Design (Consol)'!A:A,K15,'Rate Design (Consol)'!D:D,G15)</f>
        <v>0.34796999999999995</v>
      </c>
      <c r="AP15" s="24">
        <f t="shared" si="14"/>
        <v>114000</v>
      </c>
      <c r="AQ15" s="24">
        <f t="shared" si="15"/>
        <v>617847.05545079999</v>
      </c>
      <c r="AR15" s="25">
        <f t="shared" si="16"/>
        <v>731847.05545079999</v>
      </c>
      <c r="AT15" s="53"/>
      <c r="AU15" s="53"/>
      <c r="AV15" s="271"/>
      <c r="AW15" s="199"/>
      <c r="AX15" s="53"/>
      <c r="AY15" s="53"/>
    </row>
    <row r="16" spans="1:51" x14ac:dyDescent="0.25">
      <c r="A16" s="23" t="s">
        <v>172</v>
      </c>
      <c r="B16" s="23" t="s">
        <v>176</v>
      </c>
      <c r="C16" s="23" t="s">
        <v>174</v>
      </c>
      <c r="D16" s="23" t="s">
        <v>121</v>
      </c>
      <c r="E16" s="90" t="str">
        <f>INDEX('Rate Design (Consol)'!$B$48:$B$66,MATCH('G2-8 Summary'!F16,'Rate Design (Consol)'!$C$48:$C$66,0))</f>
        <v>GS-8</v>
      </c>
      <c r="F16" s="23" t="s">
        <v>267</v>
      </c>
      <c r="G16" s="90" t="str">
        <f>INDEX('Rate Design (Consol)'!$D$48:$D$66,MATCH('G2-8 Summary'!H16,'Rate Design (Consol)'!$E$48:$E$66,0))</f>
        <v>GS-8-B</v>
      </c>
      <c r="H16" s="23" t="s">
        <v>273</v>
      </c>
      <c r="I16" s="23" t="str">
        <f t="shared" si="17"/>
        <v>CF_FTS11_General Service - 8 - B</v>
      </c>
      <c r="J16" s="61" t="str">
        <f t="shared" si="5"/>
        <v>CFG-CFG - Firm Transportation Service - 11-GS-8-B</v>
      </c>
      <c r="K16" s="62" t="s">
        <v>257</v>
      </c>
      <c r="L16" s="146">
        <v>1</v>
      </c>
      <c r="M16" s="146">
        <v>1</v>
      </c>
      <c r="N16" s="90" t="str">
        <f>VLOOKUP(E16,'Rate Design (Consol)'!D:F,3,FALSE)</f>
        <v>&gt; 1,000,000</v>
      </c>
      <c r="O16" s="237">
        <f t="shared" si="0"/>
        <v>1527249</v>
      </c>
      <c r="P16" s="148">
        <f t="shared" si="6"/>
        <v>1</v>
      </c>
      <c r="Q16" s="148">
        <f t="shared" si="18"/>
        <v>12</v>
      </c>
      <c r="R16" s="148">
        <v>12</v>
      </c>
      <c r="S16" s="24">
        <v>5500</v>
      </c>
      <c r="T16" s="25"/>
      <c r="U16" s="148">
        <v>1527248.62</v>
      </c>
      <c r="V16" s="238">
        <v>6.9769999999999999E-2</v>
      </c>
      <c r="W16" s="25"/>
      <c r="X16" s="131">
        <f>VLOOKUP(CONCATENATE(C16,B16),'G2-7 Summary'!S:W,2,FALSE)</f>
        <v>5.3280000000000001E-2</v>
      </c>
      <c r="Y16" s="131">
        <f>VLOOKUP(CONCATENATE(C16,B16),'G2-7 Summary'!S:W,3,FALSE)</f>
        <v>7.4399999999999987E-3</v>
      </c>
      <c r="Z16" s="131">
        <f>VLOOKUP(CONCATENATE(C16,B16),'G2-7 Summary'!S:W,4,FALSE)</f>
        <v>0</v>
      </c>
      <c r="AA16" s="131">
        <f>VLOOKUP(CONCATENATE(C16,B16),'G2-7 Summary'!S:W,5,FALSE)</f>
        <v>0.15229999999999999</v>
      </c>
      <c r="AB16" s="25"/>
      <c r="AC16" s="149">
        <f t="shared" si="7"/>
        <v>66000</v>
      </c>
      <c r="AD16" s="26">
        <f t="shared" si="1"/>
        <v>106556.13621740001</v>
      </c>
      <c r="AE16" s="26">
        <f t="shared" si="8"/>
        <v>81371.806473600009</v>
      </c>
      <c r="AF16" s="26"/>
      <c r="AG16" s="26">
        <f t="shared" si="9"/>
        <v>11362.729732799999</v>
      </c>
      <c r="AH16" s="26">
        <f t="shared" si="10"/>
        <v>0</v>
      </c>
      <c r="AI16" s="26">
        <f t="shared" si="11"/>
        <v>232599.96482600001</v>
      </c>
      <c r="AJ16" s="29">
        <f t="shared" si="2"/>
        <v>497890.63724980003</v>
      </c>
      <c r="AK16" s="27">
        <f t="shared" si="12"/>
        <v>-243962.69455880002</v>
      </c>
      <c r="AL16" s="27">
        <f t="shared" si="13"/>
        <v>253927.942691</v>
      </c>
      <c r="AN16" s="27">
        <f>SUMIFS('Rate Design (Consol)'!K:K,'Rate Design (Consol)'!A:A,K16,'Rate Design (Consol)'!D:D,G16)</f>
        <v>9500</v>
      </c>
      <c r="AO16" s="23">
        <f>SUMIFS('Rate Design (Consol)'!L:L,'Rate Design (Consol)'!A:A,K16,'Rate Design (Consol)'!D:D,G16)</f>
        <v>0.34796999999999995</v>
      </c>
      <c r="AP16" s="24">
        <f t="shared" si="14"/>
        <v>114000</v>
      </c>
      <c r="AQ16" s="24">
        <f t="shared" si="15"/>
        <v>531436.7023013999</v>
      </c>
      <c r="AR16" s="25">
        <f t="shared" si="16"/>
        <v>645436.7023013999</v>
      </c>
      <c r="AT16" s="53"/>
      <c r="AU16" s="53"/>
      <c r="AV16" s="271"/>
      <c r="AW16" s="199"/>
      <c r="AX16" s="53"/>
      <c r="AY16" s="53"/>
    </row>
    <row r="17" spans="1:51" x14ac:dyDescent="0.25">
      <c r="A17" s="23" t="s">
        <v>172</v>
      </c>
      <c r="B17" s="23" t="s">
        <v>177</v>
      </c>
      <c r="C17" s="23" t="s">
        <v>174</v>
      </c>
      <c r="D17" s="23" t="s">
        <v>119</v>
      </c>
      <c r="E17" s="90" t="str">
        <f>INDEX('Rate Design (Consol)'!$B$48:$B$66,MATCH('G2-8 Summary'!F17,'Rate Design (Consol)'!$C$48:$C$66,0))</f>
        <v>GS-7</v>
      </c>
      <c r="F17" s="23" t="s">
        <v>17</v>
      </c>
      <c r="G17" s="90" t="str">
        <f>INDEX('Rate Design (Consol)'!$D$48:$D$66,MATCH('G2-8 Summary'!H17,'Rate Design (Consol)'!$E$48:$E$66,0))</f>
        <v>GS-7</v>
      </c>
      <c r="H17" s="23" t="str">
        <f t="shared" si="3"/>
        <v>General Service - 7</v>
      </c>
      <c r="I17" s="23" t="str">
        <f t="shared" si="17"/>
        <v>CF_FTS12_General Service - 7</v>
      </c>
      <c r="J17" s="61" t="str">
        <f t="shared" si="5"/>
        <v>CFG-CFG - Firm Transportation Service - 12-GS-7</v>
      </c>
      <c r="K17" s="62" t="s">
        <v>257</v>
      </c>
      <c r="L17" s="146">
        <v>0.4</v>
      </c>
      <c r="M17" s="146">
        <v>8.5494635625772503E-2</v>
      </c>
      <c r="N17" s="90" t="str">
        <f>VLOOKUP(E17,'Rate Design (Consol)'!D:F,3,FALSE)</f>
        <v>&gt; 500,000 &lt; = 1,000,000</v>
      </c>
      <c r="O17" s="237">
        <f t="shared" si="0"/>
        <v>727860</v>
      </c>
      <c r="P17" s="148">
        <f t="shared" si="6"/>
        <v>2</v>
      </c>
      <c r="Q17" s="148">
        <f t="shared" si="18"/>
        <v>24</v>
      </c>
      <c r="R17" s="148">
        <v>24</v>
      </c>
      <c r="S17" s="24">
        <v>9000</v>
      </c>
      <c r="T17" s="25"/>
      <c r="U17" s="148">
        <v>1455720.0300000003</v>
      </c>
      <c r="V17" s="239">
        <v>6.1238000000000001E-2</v>
      </c>
      <c r="W17" s="25"/>
      <c r="X17" s="131">
        <f>VLOOKUP(CONCATENATE(C17,B17),'G2-7 Summary'!S:W,2,FALSE)</f>
        <v>3.7080000000000002E-2</v>
      </c>
      <c r="Y17" s="131">
        <f>VLOOKUP(CONCATENATE(C17,B17),'G2-7 Summary'!S:W,3,FALSE)</f>
        <v>7.6599999999999993E-3</v>
      </c>
      <c r="Z17" s="131">
        <f>VLOOKUP(CONCATENATE(C17,B17),'G2-7 Summary'!S:W,4,FALSE)</f>
        <v>0</v>
      </c>
      <c r="AA17" s="131">
        <f>VLOOKUP(CONCATENATE(C17,B17),'G2-7 Summary'!S:W,5,FALSE)</f>
        <v>0.14990000000000001</v>
      </c>
      <c r="AB17" s="25"/>
      <c r="AC17" s="149">
        <f t="shared" si="7"/>
        <v>216000</v>
      </c>
      <c r="AD17" s="26">
        <f t="shared" si="1"/>
        <v>89145.383197140021</v>
      </c>
      <c r="AE17" s="26">
        <f t="shared" si="8"/>
        <v>53978.098712400009</v>
      </c>
      <c r="AF17" s="26"/>
      <c r="AG17" s="26">
        <f t="shared" si="9"/>
        <v>11150.815429800001</v>
      </c>
      <c r="AH17" s="26">
        <f t="shared" si="10"/>
        <v>0</v>
      </c>
      <c r="AI17" s="26">
        <f t="shared" si="11"/>
        <v>218212.43249700006</v>
      </c>
      <c r="AJ17" s="29">
        <f t="shared" si="2"/>
        <v>588486.72983634006</v>
      </c>
      <c r="AK17" s="27">
        <f t="shared" si="12"/>
        <v>-229363.24792680005</v>
      </c>
      <c r="AL17" s="27">
        <f t="shared" si="13"/>
        <v>359123.48190954002</v>
      </c>
      <c r="AN17" s="27">
        <f>SUMIFS('Rate Design (Consol)'!K:K,'Rate Design (Consol)'!A:A,K17,'Rate Design (Consol)'!D:D,G17)</f>
        <v>4500</v>
      </c>
      <c r="AO17" s="23">
        <f>SUMIFS('Rate Design (Consol)'!L:L,'Rate Design (Consol)'!A:A,K17,'Rate Design (Consol)'!D:D,G17)</f>
        <v>0.38796999999999998</v>
      </c>
      <c r="AP17" s="24">
        <f t="shared" si="14"/>
        <v>108000</v>
      </c>
      <c r="AQ17" s="24">
        <f t="shared" si="15"/>
        <v>564775.70003910002</v>
      </c>
      <c r="AR17" s="25">
        <f t="shared" si="16"/>
        <v>672775.70003910002</v>
      </c>
      <c r="AT17" s="53"/>
      <c r="AU17" s="53"/>
      <c r="AV17" s="271"/>
      <c r="AW17" s="199"/>
      <c r="AX17" s="53"/>
      <c r="AY17" s="53"/>
    </row>
    <row r="18" spans="1:51" s="90" customFormat="1" x14ac:dyDescent="0.25">
      <c r="A18" s="90" t="s">
        <v>172</v>
      </c>
      <c r="B18" s="90" t="s">
        <v>177</v>
      </c>
      <c r="C18" s="90" t="s">
        <v>174</v>
      </c>
      <c r="D18" s="90" t="s">
        <v>119</v>
      </c>
      <c r="E18" s="90" t="str">
        <f>INDEX('Rate Design (Consol)'!$B$48:$B$66,MATCH('G2-8 Summary'!F18,'Rate Design (Consol)'!$C$48:$C$66,0))</f>
        <v>GS-8</v>
      </c>
      <c r="F18" s="90" t="s">
        <v>267</v>
      </c>
      <c r="G18" s="90" t="str">
        <f>INDEX('Rate Design (Consol)'!$D$48:$D$66,MATCH('G2-8 Summary'!H18,'Rate Design (Consol)'!$E$48:$E$66,0))</f>
        <v>GS-8-D</v>
      </c>
      <c r="H18" s="90" t="s">
        <v>287</v>
      </c>
      <c r="I18" s="23" t="str">
        <f t="shared" si="17"/>
        <v>CF_FTS12_General Service - 8 - D</v>
      </c>
      <c r="J18" s="174" t="str">
        <f t="shared" si="5"/>
        <v>CFG-CFG - Firm Transportation Service - 12-GS-8-D</v>
      </c>
      <c r="K18" s="240" t="s">
        <v>257</v>
      </c>
      <c r="L18" s="146">
        <v>0.4</v>
      </c>
      <c r="M18" s="146">
        <v>0.78314369869604006</v>
      </c>
      <c r="N18" s="90" t="str">
        <f>VLOOKUP(G18,'Rate Design (Consol)'!D:F,3,FALSE)</f>
        <v>&gt; 4,000,000</v>
      </c>
      <c r="O18" s="237">
        <f t="shared" si="0"/>
        <v>6667307</v>
      </c>
      <c r="P18" s="147">
        <f t="shared" si="6"/>
        <v>2</v>
      </c>
      <c r="Q18" s="147">
        <f>ROUND(R18/12,0)*12</f>
        <v>24</v>
      </c>
      <c r="R18" s="147">
        <v>24</v>
      </c>
      <c r="S18" s="151">
        <v>9000</v>
      </c>
      <c r="T18" s="25"/>
      <c r="U18" s="147">
        <v>13334614.040000005</v>
      </c>
      <c r="V18" s="241">
        <v>6.1238000000000001E-2</v>
      </c>
      <c r="W18" s="118"/>
      <c r="X18" s="131">
        <f>VLOOKUP(CONCATENATE(C18,B18),'G2-7 Summary'!S:W,2,FALSE)</f>
        <v>3.7080000000000002E-2</v>
      </c>
      <c r="Y18" s="131">
        <f>VLOOKUP(CONCATENATE(C18,B18),'G2-7 Summary'!S:W,3,FALSE)</f>
        <v>7.6599999999999993E-3</v>
      </c>
      <c r="Z18" s="131">
        <f>VLOOKUP(CONCATENATE(C18,B18),'G2-7 Summary'!S:W,4,FALSE)</f>
        <v>0</v>
      </c>
      <c r="AA18" s="131">
        <f>VLOOKUP(CONCATENATE(C18,B18),'G2-7 Summary'!S:W,5,FALSE)</f>
        <v>0.14990000000000001</v>
      </c>
      <c r="AB18" s="118"/>
      <c r="AC18" s="149">
        <f t="shared" si="7"/>
        <v>216000</v>
      </c>
      <c r="AD18" s="149">
        <f t="shared" si="1"/>
        <v>816585.0945815203</v>
      </c>
      <c r="AE18" s="149">
        <f t="shared" si="8"/>
        <v>494447.48860320018</v>
      </c>
      <c r="AF18" s="149"/>
      <c r="AG18" s="149">
        <f t="shared" si="9"/>
        <v>102143.14354640002</v>
      </c>
      <c r="AH18" s="149">
        <f t="shared" si="10"/>
        <v>0</v>
      </c>
      <c r="AI18" s="149">
        <f t="shared" si="11"/>
        <v>1998858.6445960007</v>
      </c>
      <c r="AJ18" s="119">
        <f t="shared" si="2"/>
        <v>3628034.3713271213</v>
      </c>
      <c r="AK18" s="120">
        <f t="shared" si="12"/>
        <v>-2101001.7881424008</v>
      </c>
      <c r="AL18" s="120">
        <f t="shared" si="13"/>
        <v>1527032.5831847205</v>
      </c>
      <c r="AN18" s="27">
        <f>SUMIFS('Rate Design (Consol)'!K:K,'Rate Design (Consol)'!A:A,K18,'Rate Design (Consol)'!D:D,G18)</f>
        <v>9500</v>
      </c>
      <c r="AO18" s="23">
        <f>SUMIFS('Rate Design (Consol)'!L:L,'Rate Design (Consol)'!A:A,K18,'Rate Design (Consol)'!D:D,G18)</f>
        <v>0.17322000000000001</v>
      </c>
      <c r="AP18" s="24">
        <f t="shared" si="14"/>
        <v>228000</v>
      </c>
      <c r="AQ18" s="24">
        <f t="shared" si="15"/>
        <v>2309821.844008801</v>
      </c>
      <c r="AR18" s="25">
        <f t="shared" si="16"/>
        <v>2537821.844008801</v>
      </c>
      <c r="AS18" s="149"/>
      <c r="AT18" s="53"/>
      <c r="AU18" s="53"/>
      <c r="AV18" s="272"/>
      <c r="AW18" s="201"/>
      <c r="AX18" s="53"/>
      <c r="AY18" s="53"/>
    </row>
    <row r="19" spans="1:51" s="90" customFormat="1" x14ac:dyDescent="0.25">
      <c r="A19" s="90" t="s">
        <v>172</v>
      </c>
      <c r="B19" s="90" t="s">
        <v>177</v>
      </c>
      <c r="C19" s="90" t="s">
        <v>174</v>
      </c>
      <c r="D19" s="90" t="s">
        <v>119</v>
      </c>
      <c r="E19" s="90" t="str">
        <f>INDEX('Rate Design (Consol)'!$B$48:$B$66,MATCH('G2-8 Summary'!F19,'Rate Design (Consol)'!$C$48:$C$66,0))</f>
        <v>GS-8</v>
      </c>
      <c r="F19" s="90" t="s">
        <v>267</v>
      </c>
      <c r="G19" s="90" t="str">
        <f>INDEX('Rate Design (Consol)'!$D$48:$D$66,MATCH('G2-8 Summary'!H19,'Rate Design (Consol)'!$E$48:$E$66,0))</f>
        <v>GS-8-C</v>
      </c>
      <c r="H19" s="90" t="s">
        <v>274</v>
      </c>
      <c r="I19" s="90" t="str">
        <f t="shared" si="17"/>
        <v>CF_FTS12_General Service - 8 - C</v>
      </c>
      <c r="J19" s="174" t="str">
        <f t="shared" ref="J19" si="19">CONCATENATE(A19,"-",D19,"-",G19)</f>
        <v>CFG-CFG - Firm Transportation Service - 12-GS-8-C</v>
      </c>
      <c r="K19" s="240" t="s">
        <v>257</v>
      </c>
      <c r="L19" s="146">
        <v>0.2</v>
      </c>
      <c r="M19" s="146">
        <v>0.13136166567818758</v>
      </c>
      <c r="N19" s="90" t="str">
        <f>VLOOKUP(G19,'Rate Design (Consol)'!D:F,3,FALSE)</f>
        <v>&gt; 2,000,000 &lt; = 4,000,000</v>
      </c>
      <c r="O19" s="237">
        <f t="shared" ref="O19" si="20">ROUND(U19/P19,0)</f>
        <v>2236699</v>
      </c>
      <c r="P19" s="147">
        <f t="shared" ref="P19" si="21">ROUND(Q19/12,0)</f>
        <v>1</v>
      </c>
      <c r="Q19" s="147">
        <f>ROUND(R19/12,0)*12</f>
        <v>12</v>
      </c>
      <c r="R19" s="147">
        <v>12</v>
      </c>
      <c r="S19" s="151">
        <v>9000</v>
      </c>
      <c r="T19" s="118"/>
      <c r="U19" s="147">
        <v>2236699.4899999998</v>
      </c>
      <c r="V19" s="241">
        <v>6.1238000000000001E-2</v>
      </c>
      <c r="W19" s="118"/>
      <c r="X19" s="131">
        <f>VLOOKUP(CONCATENATE(C19,B19),'G2-7 Summary'!S:W,2,FALSE)</f>
        <v>3.7080000000000002E-2</v>
      </c>
      <c r="Y19" s="131">
        <f>VLOOKUP(CONCATENATE(C19,B19),'G2-7 Summary'!S:W,3,FALSE)</f>
        <v>7.6599999999999993E-3</v>
      </c>
      <c r="Z19" s="131">
        <f>VLOOKUP(CONCATENATE(C19,B19),'G2-7 Summary'!S:W,4,FALSE)</f>
        <v>0</v>
      </c>
      <c r="AA19" s="131">
        <f>VLOOKUP(CONCATENATE(C19,B19),'G2-7 Summary'!S:W,5,FALSE)</f>
        <v>0.14990000000000001</v>
      </c>
      <c r="AB19" s="118"/>
      <c r="AC19" s="149">
        <f t="shared" ref="AC19" si="22">S19*P19*12</f>
        <v>108000</v>
      </c>
      <c r="AD19" s="149">
        <f t="shared" ref="AD19" si="23">U19*V19</f>
        <v>136971.00336861997</v>
      </c>
      <c r="AE19" s="149">
        <f t="shared" ref="AE19" si="24">X19*$U19</f>
        <v>82936.817089199991</v>
      </c>
      <c r="AF19" s="149"/>
      <c r="AG19" s="149">
        <f t="shared" ref="AG19" si="25">Y19*$U19</f>
        <v>17133.118093399997</v>
      </c>
      <c r="AH19" s="149">
        <f t="shared" ref="AH19" si="26">Z19*$U19</f>
        <v>0</v>
      </c>
      <c r="AI19" s="149">
        <f t="shared" ref="AI19" si="27">AA19*$U19</f>
        <v>335281.25355099997</v>
      </c>
      <c r="AJ19" s="119">
        <f t="shared" ref="AJ19" si="28">SUM(AC19:AI19)</f>
        <v>680322.19210221991</v>
      </c>
      <c r="AK19" s="120">
        <f t="shared" ref="AK19" si="29">-SUM(AG19:AI19)</f>
        <v>-352414.37164439994</v>
      </c>
      <c r="AL19" s="120">
        <f t="shared" ref="AL19" si="30">AK19+AJ19</f>
        <v>327907.82045781997</v>
      </c>
      <c r="AN19" s="120">
        <f>SUMIFS('Rate Design (Consol)'!K:K,'Rate Design (Consol)'!A:A,K19,'Rate Design (Consol)'!D:D,G19)</f>
        <v>9500</v>
      </c>
      <c r="AO19" s="90">
        <f>SUMIFS('Rate Design (Consol)'!L:L,'Rate Design (Consol)'!A:A,K19,'Rate Design (Consol)'!D:D,G19)</f>
        <v>0.18051</v>
      </c>
      <c r="AP19" s="151">
        <f t="shared" si="14"/>
        <v>114000</v>
      </c>
      <c r="AQ19" s="151">
        <f t="shared" si="15"/>
        <v>403746.62493989995</v>
      </c>
      <c r="AR19" s="118">
        <f t="shared" si="16"/>
        <v>517746.62493989995</v>
      </c>
      <c r="AS19" s="149"/>
      <c r="AT19" s="206"/>
      <c r="AU19" s="206"/>
      <c r="AV19" s="272"/>
      <c r="AW19" s="201"/>
      <c r="AX19" s="53"/>
      <c r="AY19" s="53"/>
    </row>
    <row r="20" spans="1:51" x14ac:dyDescent="0.25">
      <c r="A20" s="23" t="s">
        <v>172</v>
      </c>
      <c r="B20" s="23" t="s">
        <v>178</v>
      </c>
      <c r="C20" s="23" t="s">
        <v>174</v>
      </c>
      <c r="D20" s="23" t="s">
        <v>103</v>
      </c>
      <c r="E20" s="90" t="str">
        <f>INDEX('Rate Design (Consol)'!$B$48:$B$66,MATCH('G2-8 Summary'!F20,'Rate Design (Consol)'!$C$48:$C$66,0))</f>
        <v>GS-1</v>
      </c>
      <c r="F20" s="23" t="s">
        <v>11</v>
      </c>
      <c r="G20" s="90" t="str">
        <f>INDEX('Rate Design (Consol)'!$D$48:$D$66,MATCH('G2-8 Summary'!H20,'Rate Design (Consol)'!$E$48:$E$66,0))</f>
        <v>GS-1</v>
      </c>
      <c r="H20" s="23" t="str">
        <f t="shared" si="3"/>
        <v>General Service - 1</v>
      </c>
      <c r="I20" s="23" t="str">
        <f t="shared" ref="I20:I23" si="31">CONCATENATE(C20,"_",B20," ", AV20,"_",H20)</f>
        <v>CF_FTS-2 _General Service - 1</v>
      </c>
      <c r="J20" s="61" t="str">
        <f t="shared" si="5"/>
        <v>CFG-CFG - Firm Transportation Service - 2 (Fixed Non-Residential)-GS-1</v>
      </c>
      <c r="K20" s="62" t="s">
        <v>257</v>
      </c>
      <c r="L20" s="146">
        <v>1</v>
      </c>
      <c r="M20" s="146">
        <v>1</v>
      </c>
      <c r="N20" s="90" t="str">
        <f>VLOOKUP(E20,'Rate Design (Consol)'!D:F,3,FALSE)</f>
        <v>&lt; = 1000</v>
      </c>
      <c r="O20" s="237">
        <f t="shared" si="0"/>
        <v>588</v>
      </c>
      <c r="P20" s="148">
        <f t="shared" si="6"/>
        <v>6</v>
      </c>
      <c r="Q20" s="148">
        <f t="shared" si="18"/>
        <v>72</v>
      </c>
      <c r="R20" s="148">
        <v>74.916246968122095</v>
      </c>
      <c r="S20" s="24">
        <v>48</v>
      </c>
      <c r="T20" s="25"/>
      <c r="U20" s="148">
        <v>3526.0437416872664</v>
      </c>
      <c r="V20" s="238">
        <v>0</v>
      </c>
      <c r="W20" s="25"/>
      <c r="X20" s="131">
        <f>VLOOKUP(CONCATENATE(C20,B20),'G2-7 Summary'!S:W,2,FALSE)</f>
        <v>0.15536</v>
      </c>
      <c r="Y20" s="131">
        <f>VLOOKUP(CONCATENATE(C20,B20),'G2-7 Summary'!S:W,3,FALSE)</f>
        <v>8.1129999999999994E-2</v>
      </c>
      <c r="Z20" s="131">
        <f>VLOOKUP(CONCATENATE(C20,B20),'G2-7 Summary'!S:W,4,FALSE)</f>
        <v>0</v>
      </c>
      <c r="AA20" s="131">
        <f>VLOOKUP(CONCATENATE(C20,B20),'G2-7 Summary'!S:W,5,FALSE)</f>
        <v>0.20519999999999999</v>
      </c>
      <c r="AB20" s="25"/>
      <c r="AC20" s="149">
        <f t="shared" si="7"/>
        <v>3456</v>
      </c>
      <c r="AD20" s="26">
        <f t="shared" si="1"/>
        <v>0</v>
      </c>
      <c r="AE20" s="26">
        <f t="shared" si="8"/>
        <v>547.80615570853365</v>
      </c>
      <c r="AF20" s="26"/>
      <c r="AG20" s="26">
        <f t="shared" si="9"/>
        <v>286.06792876308788</v>
      </c>
      <c r="AH20" s="26">
        <f t="shared" si="10"/>
        <v>0</v>
      </c>
      <c r="AI20" s="26">
        <f t="shared" si="11"/>
        <v>723.54417579422704</v>
      </c>
      <c r="AJ20" s="29">
        <f t="shared" si="2"/>
        <v>5013.4182602658493</v>
      </c>
      <c r="AK20" s="27">
        <f t="shared" si="12"/>
        <v>-1009.612104557315</v>
      </c>
      <c r="AL20" s="27">
        <f t="shared" si="13"/>
        <v>4003.8061557085343</v>
      </c>
      <c r="AN20" s="27">
        <f>SUMIFS('Rate Design (Consol)'!K:K,'Rate Design (Consol)'!A:A,K20,'Rate Design (Consol)'!D:D,G20)</f>
        <v>40</v>
      </c>
      <c r="AO20" s="23">
        <f>SUMIFS('Rate Design (Consol)'!L:L,'Rate Design (Consol)'!A:A,K20,'Rate Design (Consol)'!D:D,G20)</f>
        <v>0.70123999999999997</v>
      </c>
      <c r="AP20" s="24">
        <f t="shared" si="14"/>
        <v>2880</v>
      </c>
      <c r="AQ20" s="24">
        <f t="shared" si="15"/>
        <v>2472.6029134207788</v>
      </c>
      <c r="AR20" s="25">
        <f t="shared" si="16"/>
        <v>5352.6029134207783</v>
      </c>
      <c r="AT20" s="53"/>
      <c r="AU20" s="53"/>
      <c r="AV20" s="271"/>
      <c r="AX20" s="53"/>
      <c r="AY20" s="53"/>
    </row>
    <row r="21" spans="1:51" x14ac:dyDescent="0.25">
      <c r="A21" s="23" t="s">
        <v>172</v>
      </c>
      <c r="B21" s="23" t="s">
        <v>178</v>
      </c>
      <c r="C21" s="23" t="s">
        <v>174</v>
      </c>
      <c r="D21" s="23" t="s">
        <v>83</v>
      </c>
      <c r="E21" s="90" t="str">
        <f>INDEX('Rate Design (Consol)'!$B$48:$B$66,MATCH('G2-8 Summary'!F21,'Rate Design (Consol)'!$C$48:$C$66,0))</f>
        <v>RES-1</v>
      </c>
      <c r="F21" s="23" t="s">
        <v>8</v>
      </c>
      <c r="G21" s="90" t="str">
        <f>INDEX('Rate Design (Consol)'!$D$48:$D$66,MATCH('G2-8 Summary'!H21,'Rate Design (Consol)'!$E$48:$E$66,0))</f>
        <v>RES-1</v>
      </c>
      <c r="H21" s="23" t="str">
        <f t="shared" si="3"/>
        <v>Residential - 1</v>
      </c>
      <c r="I21" s="23" t="str">
        <f t="shared" si="31"/>
        <v>CF_FTS-2 _Residential - 1</v>
      </c>
      <c r="J21" s="61" t="str">
        <f t="shared" si="5"/>
        <v>CFG-CFG - Firm Transportation Service - 2 (Fixed Residential)-RES-1</v>
      </c>
      <c r="K21" s="62" t="s">
        <v>257</v>
      </c>
      <c r="L21" s="146">
        <v>0.05</v>
      </c>
      <c r="M21" s="146">
        <v>6.2638667484903184E-4</v>
      </c>
      <c r="N21" s="90" t="str">
        <f>VLOOKUP(E21,'Rate Design (Consol)'!D:F,3,FALSE)</f>
        <v>&lt; = 100</v>
      </c>
      <c r="O21" s="237">
        <f t="shared" si="0"/>
        <v>7</v>
      </c>
      <c r="P21" s="148">
        <f t="shared" si="6"/>
        <v>1</v>
      </c>
      <c r="Q21" s="148">
        <f t="shared" si="18"/>
        <v>12</v>
      </c>
      <c r="R21" s="148">
        <v>11.945223952701303</v>
      </c>
      <c r="S21" s="24">
        <v>48</v>
      </c>
      <c r="T21" s="25"/>
      <c r="U21" s="148">
        <v>6.9849190909863559</v>
      </c>
      <c r="V21" s="238">
        <v>0</v>
      </c>
      <c r="W21" s="25"/>
      <c r="X21" s="131">
        <f>VLOOKUP(CONCATENATE(C21,B21),'G2-7 Summary'!S:W,2,FALSE)</f>
        <v>0.15536</v>
      </c>
      <c r="Y21" s="131">
        <f>VLOOKUP(CONCATENATE(C21,B21),'G2-7 Summary'!S:W,3,FALSE)</f>
        <v>8.1129999999999994E-2</v>
      </c>
      <c r="Z21" s="131">
        <f>VLOOKUP(CONCATENATE(C21,B21),'G2-7 Summary'!S:W,4,FALSE)</f>
        <v>0</v>
      </c>
      <c r="AA21" s="131">
        <f>VLOOKUP(CONCATENATE(C21,B21),'G2-7 Summary'!S:W,5,FALSE)</f>
        <v>0.20519999999999999</v>
      </c>
      <c r="AB21" s="25"/>
      <c r="AC21" s="149">
        <f t="shared" si="7"/>
        <v>576</v>
      </c>
      <c r="AD21" s="26">
        <f t="shared" si="1"/>
        <v>0</v>
      </c>
      <c r="AE21" s="26">
        <f t="shared" si="8"/>
        <v>1.0851770299756403</v>
      </c>
      <c r="AF21" s="26"/>
      <c r="AG21" s="26">
        <f t="shared" si="9"/>
        <v>0.56668648585172299</v>
      </c>
      <c r="AH21" s="26">
        <f t="shared" si="10"/>
        <v>0</v>
      </c>
      <c r="AI21" s="26">
        <f t="shared" si="11"/>
        <v>1.4333053974704002</v>
      </c>
      <c r="AJ21" s="29">
        <f t="shared" si="2"/>
        <v>579.08516891329771</v>
      </c>
      <c r="AK21" s="27">
        <f t="shared" si="12"/>
        <v>-1.9999918833221231</v>
      </c>
      <c r="AL21" s="27">
        <f t="shared" si="13"/>
        <v>577.08517702997563</v>
      </c>
      <c r="AN21" s="27">
        <f>SUMIFS('Rate Design (Consol)'!K:K,'Rate Design (Consol)'!A:A,K21,'Rate Design (Consol)'!D:D,G21)</f>
        <v>16.5</v>
      </c>
      <c r="AO21" s="23">
        <f>SUMIFS('Rate Design (Consol)'!L:L,'Rate Design (Consol)'!A:A,K21,'Rate Design (Consol)'!D:D,G21)</f>
        <v>0.65229000000000004</v>
      </c>
      <c r="AP21" s="24">
        <f t="shared" si="14"/>
        <v>198</v>
      </c>
      <c r="AQ21" s="24">
        <f t="shared" si="15"/>
        <v>4.5561928738594899</v>
      </c>
      <c r="AR21" s="25">
        <f t="shared" si="16"/>
        <v>202.55619287385949</v>
      </c>
      <c r="AT21" s="53"/>
      <c r="AU21" s="53"/>
      <c r="AV21" s="271"/>
      <c r="AX21" s="53"/>
      <c r="AY21" s="53"/>
    </row>
    <row r="22" spans="1:51" x14ac:dyDescent="0.25">
      <c r="A22" s="23" t="s">
        <v>172</v>
      </c>
      <c r="B22" s="23" t="s">
        <v>178</v>
      </c>
      <c r="C22" s="23" t="s">
        <v>174</v>
      </c>
      <c r="D22" s="23" t="s">
        <v>83</v>
      </c>
      <c r="E22" s="90" t="str">
        <f>INDEX('Rate Design (Consol)'!$B$48:$B$66,MATCH('G2-8 Summary'!F22,'Rate Design (Consol)'!$C$48:$C$66,0))</f>
        <v>RES-3</v>
      </c>
      <c r="F22" s="23" t="s">
        <v>266</v>
      </c>
      <c r="G22" s="90" t="str">
        <f>INDEX('Rate Design (Consol)'!$D$48:$D$66,MATCH('G2-8 Summary'!H22,'Rate Design (Consol)'!$E$48:$E$66,0))</f>
        <v>RES-3</v>
      </c>
      <c r="H22" s="23" t="str">
        <f t="shared" si="3"/>
        <v>Residential - 3</v>
      </c>
      <c r="I22" s="23" t="str">
        <f t="shared" si="31"/>
        <v>CF_FTS-2 _Residential - 3</v>
      </c>
      <c r="J22" s="61" t="str">
        <f t="shared" si="5"/>
        <v>CFG-CFG - Firm Transportation Service - 2 (Fixed Residential)-RES-3</v>
      </c>
      <c r="K22" s="62" t="s">
        <v>257</v>
      </c>
      <c r="L22" s="146">
        <v>0.8</v>
      </c>
      <c r="M22" s="146">
        <v>0.95669398559855323</v>
      </c>
      <c r="N22" s="90" t="str">
        <f>VLOOKUP(E22,'Rate Design (Consol)'!D:F,3,FALSE)</f>
        <v>&gt; 250</v>
      </c>
      <c r="O22" s="237">
        <f t="shared" si="0"/>
        <v>667</v>
      </c>
      <c r="P22" s="148">
        <f t="shared" si="6"/>
        <v>16</v>
      </c>
      <c r="Q22" s="148">
        <f t="shared" si="18"/>
        <v>192</v>
      </c>
      <c r="R22" s="148">
        <v>191.12358324322085</v>
      </c>
      <c r="S22" s="24">
        <v>48</v>
      </c>
      <c r="T22" s="25"/>
      <c r="U22" s="148">
        <v>10668.218773730654</v>
      </c>
      <c r="V22" s="238">
        <v>0</v>
      </c>
      <c r="W22" s="25"/>
      <c r="X22" s="131">
        <f>VLOOKUP(CONCATENATE(C22,B22),'G2-7 Summary'!S:W,2,FALSE)</f>
        <v>0.15536</v>
      </c>
      <c r="Y22" s="131">
        <f>VLOOKUP(CONCATENATE(C22,B22),'G2-7 Summary'!S:W,3,FALSE)</f>
        <v>8.1129999999999994E-2</v>
      </c>
      <c r="Z22" s="131">
        <f>VLOOKUP(CONCATENATE(C22,B22),'G2-7 Summary'!S:W,4,FALSE)</f>
        <v>0</v>
      </c>
      <c r="AA22" s="131">
        <f>VLOOKUP(CONCATENATE(C22,B22),'G2-7 Summary'!S:W,5,FALSE)</f>
        <v>0.20519999999999999</v>
      </c>
      <c r="AB22" s="25"/>
      <c r="AC22" s="149">
        <f t="shared" si="7"/>
        <v>9216</v>
      </c>
      <c r="AD22" s="26">
        <f t="shared" si="1"/>
        <v>0</v>
      </c>
      <c r="AE22" s="26">
        <f t="shared" si="8"/>
        <v>1657.4144686867944</v>
      </c>
      <c r="AF22" s="26"/>
      <c r="AG22" s="26">
        <f t="shared" si="9"/>
        <v>865.51258911276784</v>
      </c>
      <c r="AH22" s="26">
        <f t="shared" si="10"/>
        <v>0</v>
      </c>
      <c r="AI22" s="26">
        <f t="shared" si="11"/>
        <v>2189.11849236953</v>
      </c>
      <c r="AJ22" s="29">
        <f t="shared" si="2"/>
        <v>13928.045550169092</v>
      </c>
      <c r="AK22" s="27">
        <f t="shared" si="12"/>
        <v>-3054.6310814822978</v>
      </c>
      <c r="AL22" s="27">
        <f t="shared" si="13"/>
        <v>10873.414468686795</v>
      </c>
      <c r="AN22" s="27">
        <f>SUMIFS('Rate Design (Consol)'!K:K,'Rate Design (Consol)'!A:A,K22,'Rate Design (Consol)'!D:D,G22)</f>
        <v>26.5</v>
      </c>
      <c r="AO22" s="23">
        <f>SUMIFS('Rate Design (Consol)'!L:L,'Rate Design (Consol)'!A:A,K22,'Rate Design (Consol)'!D:D,G22)</f>
        <v>0.65386</v>
      </c>
      <c r="AP22" s="24">
        <f t="shared" si="14"/>
        <v>5088</v>
      </c>
      <c r="AQ22" s="24">
        <f t="shared" si="15"/>
        <v>6975.5215273915255</v>
      </c>
      <c r="AR22" s="25">
        <f t="shared" si="16"/>
        <v>12063.521527391526</v>
      </c>
      <c r="AT22" s="53"/>
      <c r="AU22" s="53"/>
      <c r="AV22" s="271"/>
      <c r="AX22" s="53"/>
      <c r="AY22" s="53"/>
    </row>
    <row r="23" spans="1:51" x14ac:dyDescent="0.25">
      <c r="A23" s="23" t="s">
        <v>172</v>
      </c>
      <c r="B23" s="23" t="s">
        <v>178</v>
      </c>
      <c r="C23" s="23" t="s">
        <v>174</v>
      </c>
      <c r="D23" s="23" t="s">
        <v>83</v>
      </c>
      <c r="E23" s="90" t="str">
        <f>INDEX('Rate Design (Consol)'!$B$48:$B$66,MATCH('G2-8 Summary'!F23,'Rate Design (Consol)'!$C$48:$C$66,0))</f>
        <v>RES-2</v>
      </c>
      <c r="F23" s="23" t="s">
        <v>9</v>
      </c>
      <c r="G23" s="90" t="str">
        <f>INDEX('Rate Design (Consol)'!$D$48:$D$66,MATCH('G2-8 Summary'!H23,'Rate Design (Consol)'!$E$48:$E$66,0))</f>
        <v>RES-2</v>
      </c>
      <c r="H23" s="23" t="str">
        <f t="shared" si="3"/>
        <v>Residential - 2</v>
      </c>
      <c r="I23" s="23" t="str">
        <f t="shared" si="31"/>
        <v>CF_FTS-2 _Residential - 2</v>
      </c>
      <c r="J23" s="61" t="str">
        <f t="shared" si="5"/>
        <v>CFG-CFG - Firm Transportation Service - 2 (Fixed Residential)-RES-2</v>
      </c>
      <c r="K23" s="62" t="s">
        <v>257</v>
      </c>
      <c r="L23" s="146">
        <v>0.15</v>
      </c>
      <c r="M23" s="146">
        <v>4.2679627726597655E-2</v>
      </c>
      <c r="N23" s="90" t="str">
        <f>VLOOKUP(E23,'Rate Design (Consol)'!D:F,3,FALSE)</f>
        <v>&gt; 100 &lt; = 250</v>
      </c>
      <c r="O23" s="237">
        <f t="shared" si="0"/>
        <v>159</v>
      </c>
      <c r="P23" s="148">
        <f t="shared" si="6"/>
        <v>3</v>
      </c>
      <c r="Q23" s="148">
        <f t="shared" si="18"/>
        <v>36</v>
      </c>
      <c r="R23" s="148">
        <v>35.835671858103908</v>
      </c>
      <c r="S23" s="24">
        <v>48</v>
      </c>
      <c r="T23" s="25"/>
      <c r="U23" s="148">
        <v>475.9260668748297</v>
      </c>
      <c r="V23" s="238">
        <v>0</v>
      </c>
      <c r="W23" s="25"/>
      <c r="X23" s="131">
        <f>VLOOKUP(CONCATENATE(C23,B23),'G2-7 Summary'!S:W,2,FALSE)</f>
        <v>0.15536</v>
      </c>
      <c r="Y23" s="131">
        <f>VLOOKUP(CONCATENATE(C23,B23),'G2-7 Summary'!S:W,3,FALSE)</f>
        <v>8.1129999999999994E-2</v>
      </c>
      <c r="Z23" s="131">
        <f>VLOOKUP(CONCATENATE(C23,B23),'G2-7 Summary'!S:W,4,FALSE)</f>
        <v>0</v>
      </c>
      <c r="AA23" s="131">
        <f>VLOOKUP(CONCATENATE(C23,B23),'G2-7 Summary'!S:W,5,FALSE)</f>
        <v>0.20519999999999999</v>
      </c>
      <c r="AB23" s="25"/>
      <c r="AC23" s="149">
        <f t="shared" si="7"/>
        <v>1728</v>
      </c>
      <c r="AD23" s="26">
        <f t="shared" si="1"/>
        <v>0</v>
      </c>
      <c r="AE23" s="26">
        <f t="shared" si="8"/>
        <v>73.939873749673538</v>
      </c>
      <c r="AF23" s="26"/>
      <c r="AG23" s="26">
        <f t="shared" si="9"/>
        <v>38.61188180555493</v>
      </c>
      <c r="AH23" s="26">
        <f t="shared" si="10"/>
        <v>0</v>
      </c>
      <c r="AI23" s="26">
        <f t="shared" si="11"/>
        <v>97.660028922715057</v>
      </c>
      <c r="AJ23" s="29">
        <f t="shared" si="2"/>
        <v>1938.2117844779436</v>
      </c>
      <c r="AK23" s="27">
        <f t="shared" si="12"/>
        <v>-136.27191072826997</v>
      </c>
      <c r="AL23" s="27">
        <f t="shared" si="13"/>
        <v>1801.9398737496736</v>
      </c>
      <c r="AN23" s="27">
        <f>SUMIFS('Rate Design (Consol)'!K:K,'Rate Design (Consol)'!A:A,K23,'Rate Design (Consol)'!D:D,G23)</f>
        <v>19.5</v>
      </c>
      <c r="AO23" s="23">
        <f>SUMIFS('Rate Design (Consol)'!L:L,'Rate Design (Consol)'!A:A,K23,'Rate Design (Consol)'!D:D,G23)</f>
        <v>0.65271999999999997</v>
      </c>
      <c r="AP23" s="24">
        <f t="shared" si="14"/>
        <v>702</v>
      </c>
      <c r="AQ23" s="24">
        <f t="shared" si="15"/>
        <v>310.64646237053881</v>
      </c>
      <c r="AR23" s="25">
        <f t="shared" si="16"/>
        <v>1012.6464623705388</v>
      </c>
      <c r="AT23" s="53"/>
      <c r="AU23" s="53"/>
      <c r="AV23" s="271"/>
      <c r="AX23" s="53"/>
      <c r="AY23" s="53"/>
    </row>
    <row r="24" spans="1:51" x14ac:dyDescent="0.25">
      <c r="A24" s="23" t="s">
        <v>172</v>
      </c>
      <c r="B24" s="23" t="s">
        <v>178</v>
      </c>
      <c r="C24" s="23" t="s">
        <v>174</v>
      </c>
      <c r="D24" s="23" t="s">
        <v>90</v>
      </c>
      <c r="E24" s="90" t="str">
        <f>INDEX('Rate Design (Consol)'!$B$48:$B$66,MATCH('G2-8 Summary'!F24,'Rate Design (Consol)'!$C$48:$C$66,0))</f>
        <v>GS-2</v>
      </c>
      <c r="F24" s="23" t="s">
        <v>12</v>
      </c>
      <c r="G24" s="90" t="str">
        <f>INDEX('Rate Design (Consol)'!$D$48:$D$66,MATCH('G2-8 Summary'!H24,'Rate Design (Consol)'!$E$48:$E$66,0))</f>
        <v>GS-2</v>
      </c>
      <c r="H24" s="23" t="str">
        <f t="shared" si="3"/>
        <v>General Service - 2</v>
      </c>
      <c r="I24" s="23" t="str">
        <f t="shared" si="17"/>
        <v>CF_FTS-2_General Service - 2</v>
      </c>
      <c r="J24" s="61" t="str">
        <f t="shared" si="5"/>
        <v>CFG-CFG - Firm Transportation Service - 2 Non-Residential-GS-2</v>
      </c>
      <c r="K24" s="62" t="s">
        <v>257</v>
      </c>
      <c r="L24" s="146">
        <v>0.18</v>
      </c>
      <c r="M24" s="146">
        <v>0.36780610864784141</v>
      </c>
      <c r="N24" s="90" t="str">
        <f>VLOOKUP(E24,'Rate Design (Consol)'!D:F,3,FALSE)</f>
        <v>&gt; 1000 &lt; = 5,000</v>
      </c>
      <c r="O24" s="237">
        <f t="shared" si="0"/>
        <v>1415</v>
      </c>
      <c r="P24" s="148">
        <f t="shared" si="6"/>
        <v>19</v>
      </c>
      <c r="Q24" s="148">
        <f>ROUND(R24/12,0)*12-12</f>
        <v>228</v>
      </c>
      <c r="R24" s="148">
        <v>236.4893467725048</v>
      </c>
      <c r="S24" s="24">
        <v>34</v>
      </c>
      <c r="T24" s="25"/>
      <c r="U24" s="148">
        <v>26883.206497874671</v>
      </c>
      <c r="V24" s="238">
        <v>0.3196</v>
      </c>
      <c r="W24" s="25"/>
      <c r="X24" s="131">
        <f>VLOOKUP(CONCATENATE(C24,B24),'G2-7 Summary'!S:W,2,FALSE)</f>
        <v>0.15536</v>
      </c>
      <c r="Y24" s="131">
        <f>VLOOKUP(CONCATENATE(C24,B24),'G2-7 Summary'!S:W,3,FALSE)</f>
        <v>8.1129999999999994E-2</v>
      </c>
      <c r="Z24" s="131">
        <f>VLOOKUP(CONCATENATE(C24,B24),'G2-7 Summary'!S:W,4,FALSE)</f>
        <v>0</v>
      </c>
      <c r="AA24" s="131">
        <f>VLOOKUP(CONCATENATE(C24,B24),'G2-7 Summary'!S:W,5,FALSE)</f>
        <v>0.20519999999999999</v>
      </c>
      <c r="AB24" s="25"/>
      <c r="AC24" s="149">
        <f t="shared" si="7"/>
        <v>7752</v>
      </c>
      <c r="AD24" s="26">
        <f t="shared" si="1"/>
        <v>8591.8727967207451</v>
      </c>
      <c r="AE24" s="26">
        <f t="shared" si="8"/>
        <v>4176.5749615098084</v>
      </c>
      <c r="AF24" s="26"/>
      <c r="AG24" s="26">
        <f t="shared" si="9"/>
        <v>2181.0345431725718</v>
      </c>
      <c r="AH24" s="26">
        <f t="shared" si="10"/>
        <v>0</v>
      </c>
      <c r="AI24" s="26">
        <f t="shared" si="11"/>
        <v>5516.4339733638826</v>
      </c>
      <c r="AJ24" s="29">
        <f t="shared" si="2"/>
        <v>28217.916274767013</v>
      </c>
      <c r="AK24" s="27">
        <f t="shared" si="12"/>
        <v>-7697.4685165364544</v>
      </c>
      <c r="AL24" s="27">
        <f t="shared" si="13"/>
        <v>20520.447758230559</v>
      </c>
      <c r="AN24" s="27">
        <f>SUMIFS('Rate Design (Consol)'!K:K,'Rate Design (Consol)'!A:A,K24,'Rate Design (Consol)'!D:D,G24)</f>
        <v>70</v>
      </c>
      <c r="AO24" s="23">
        <f>SUMIFS('Rate Design (Consol)'!L:L,'Rate Design (Consol)'!A:A,K24,'Rate Design (Consol)'!D:D,G24)</f>
        <v>0.69901999999999997</v>
      </c>
      <c r="AP24" s="24">
        <f t="shared" si="14"/>
        <v>15960</v>
      </c>
      <c r="AQ24" s="24">
        <f t="shared" si="15"/>
        <v>18791.899006144351</v>
      </c>
      <c r="AR24" s="25">
        <f t="shared" si="16"/>
        <v>34751.899006144347</v>
      </c>
      <c r="AT24" s="53"/>
      <c r="AU24" s="53"/>
      <c r="AV24" s="271"/>
      <c r="AW24" s="199"/>
      <c r="AX24" s="53"/>
      <c r="AY24" s="53"/>
    </row>
    <row r="25" spans="1:51" x14ac:dyDescent="0.25">
      <c r="A25" s="23" t="s">
        <v>172</v>
      </c>
      <c r="B25" s="23" t="s">
        <v>178</v>
      </c>
      <c r="C25" s="23" t="s">
        <v>174</v>
      </c>
      <c r="D25" s="23" t="s">
        <v>90</v>
      </c>
      <c r="E25" s="90" t="str">
        <f>INDEX('Rate Design (Consol)'!$B$48:$B$66,MATCH('G2-8 Summary'!F25,'Rate Design (Consol)'!$C$48:$C$66,0))</f>
        <v>GS-3</v>
      </c>
      <c r="F25" s="23" t="s">
        <v>13</v>
      </c>
      <c r="G25" s="90" t="str">
        <f>INDEX('Rate Design (Consol)'!$D$48:$D$66,MATCH('G2-8 Summary'!H25,'Rate Design (Consol)'!$E$48:$E$66,0))</f>
        <v>GS-3</v>
      </c>
      <c r="H25" s="23" t="str">
        <f t="shared" si="3"/>
        <v>General Service - 3</v>
      </c>
      <c r="I25" s="23" t="str">
        <f t="shared" si="17"/>
        <v>CF_FTS-2_General Service - 3</v>
      </c>
      <c r="J25" s="61" t="str">
        <f t="shared" si="5"/>
        <v>CFG-CFG - Firm Transportation Service - 2 Non-Residential-GS-3</v>
      </c>
      <c r="K25" s="62" t="s">
        <v>257</v>
      </c>
      <c r="L25" s="146">
        <v>0.01</v>
      </c>
      <c r="M25" s="146">
        <v>7.5199936490761773E-2</v>
      </c>
      <c r="N25" s="90" t="str">
        <f>VLOOKUP(E25,'Rate Design (Consol)'!D:F,3,FALSE)</f>
        <v>&gt; 5,000 &lt; = 10,000</v>
      </c>
      <c r="O25" s="237">
        <f t="shared" si="0"/>
        <v>5496</v>
      </c>
      <c r="P25" s="148">
        <f t="shared" si="6"/>
        <v>1</v>
      </c>
      <c r="Q25" s="148">
        <f t="shared" ref="Q25:Q33" si="32">ROUND(R25/12,0)*12</f>
        <v>12</v>
      </c>
      <c r="R25" s="148">
        <v>13.138297042916934</v>
      </c>
      <c r="S25" s="24">
        <v>34</v>
      </c>
      <c r="T25" s="25"/>
      <c r="U25" s="148">
        <v>5496.4161110326195</v>
      </c>
      <c r="V25" s="238">
        <v>0.3196</v>
      </c>
      <c r="W25" s="25"/>
      <c r="X25" s="131">
        <f>VLOOKUP(CONCATENATE(C25,B25),'G2-7 Summary'!S:W,2,FALSE)</f>
        <v>0.15536</v>
      </c>
      <c r="Y25" s="131">
        <f>VLOOKUP(CONCATENATE(C25,B25),'G2-7 Summary'!S:W,3,FALSE)</f>
        <v>8.1129999999999994E-2</v>
      </c>
      <c r="Z25" s="131">
        <f>VLOOKUP(CONCATENATE(C25,B25),'G2-7 Summary'!S:W,4,FALSE)</f>
        <v>0</v>
      </c>
      <c r="AA25" s="131">
        <f>VLOOKUP(CONCATENATE(C25,B25),'G2-7 Summary'!S:W,5,FALSE)</f>
        <v>0.20519999999999999</v>
      </c>
      <c r="AB25" s="25"/>
      <c r="AC25" s="149">
        <f t="shared" si="7"/>
        <v>408</v>
      </c>
      <c r="AD25" s="26">
        <f t="shared" si="1"/>
        <v>1756.6545890860252</v>
      </c>
      <c r="AE25" s="26">
        <f t="shared" si="8"/>
        <v>853.9232070100278</v>
      </c>
      <c r="AF25" s="26"/>
      <c r="AG25" s="26">
        <f t="shared" si="9"/>
        <v>445.92423908807638</v>
      </c>
      <c r="AH25" s="26">
        <f t="shared" si="10"/>
        <v>0</v>
      </c>
      <c r="AI25" s="26">
        <f t="shared" si="11"/>
        <v>1127.8645859838934</v>
      </c>
      <c r="AJ25" s="29">
        <f t="shared" si="2"/>
        <v>4592.3666211680229</v>
      </c>
      <c r="AK25" s="27">
        <f t="shared" si="12"/>
        <v>-1573.7888250719698</v>
      </c>
      <c r="AL25" s="27">
        <f t="shared" si="13"/>
        <v>3018.5777960960531</v>
      </c>
      <c r="AN25" s="27">
        <f>SUMIFS('Rate Design (Consol)'!K:K,'Rate Design (Consol)'!A:A,K25,'Rate Design (Consol)'!D:D,G25)</f>
        <v>150</v>
      </c>
      <c r="AO25" s="23">
        <f>SUMIFS('Rate Design (Consol)'!L:L,'Rate Design (Consol)'!A:A,K25,'Rate Design (Consol)'!D:D,G25)</f>
        <v>0.62475000000000003</v>
      </c>
      <c r="AP25" s="24">
        <f t="shared" si="14"/>
        <v>1800</v>
      </c>
      <c r="AQ25" s="24">
        <f t="shared" si="15"/>
        <v>3433.8859653676291</v>
      </c>
      <c r="AR25" s="25">
        <f t="shared" si="16"/>
        <v>5233.8859653676291</v>
      </c>
      <c r="AT25" s="53"/>
      <c r="AU25" s="53"/>
      <c r="AV25" s="271"/>
      <c r="AW25" s="199"/>
      <c r="AX25" s="53"/>
      <c r="AY25" s="53"/>
    </row>
    <row r="26" spans="1:51" x14ac:dyDescent="0.25">
      <c r="A26" s="23" t="s">
        <v>172</v>
      </c>
      <c r="B26" s="23" t="s">
        <v>178</v>
      </c>
      <c r="C26" s="23" t="s">
        <v>174</v>
      </c>
      <c r="D26" s="23" t="s">
        <v>90</v>
      </c>
      <c r="E26" s="90" t="str">
        <f>INDEX('Rate Design (Consol)'!$B$48:$B$66,MATCH('G2-8 Summary'!F26,'Rate Design (Consol)'!$C$48:$C$66,0))</f>
        <v>GS-1</v>
      </c>
      <c r="F26" s="23" t="s">
        <v>11</v>
      </c>
      <c r="G26" s="90" t="str">
        <f>INDEX('Rate Design (Consol)'!$D$48:$D$66,MATCH('G2-8 Summary'!H26,'Rate Design (Consol)'!$E$48:$E$66,0))</f>
        <v>GS-1</v>
      </c>
      <c r="H26" s="23" t="str">
        <f t="shared" si="3"/>
        <v>General Service - 1</v>
      </c>
      <c r="I26" s="23" t="str">
        <f t="shared" si="17"/>
        <v>CF_FTS-2_General Service - 1</v>
      </c>
      <c r="J26" s="61" t="str">
        <f t="shared" si="5"/>
        <v>CFG-CFG - Firm Transportation Service - 2 Non-Residential-GS-1</v>
      </c>
      <c r="K26" s="62" t="s">
        <v>257</v>
      </c>
      <c r="L26" s="146">
        <v>0.81</v>
      </c>
      <c r="M26" s="146">
        <v>0.55699395486139691</v>
      </c>
      <c r="N26" s="90" t="str">
        <f>VLOOKUP(E26,'Rate Design (Consol)'!D:F,3,FALSE)</f>
        <v>&lt; = 1000</v>
      </c>
      <c r="O26" s="237">
        <f t="shared" si="0"/>
        <v>457</v>
      </c>
      <c r="P26" s="148">
        <f t="shared" si="6"/>
        <v>89</v>
      </c>
      <c r="Q26" s="148">
        <f t="shared" si="32"/>
        <v>1068</v>
      </c>
      <c r="R26" s="148">
        <v>1064.2020604762718</v>
      </c>
      <c r="S26" s="24">
        <v>34</v>
      </c>
      <c r="T26" s="25"/>
      <c r="U26" s="148">
        <v>40711.078893318692</v>
      </c>
      <c r="V26" s="238">
        <v>0.3196</v>
      </c>
      <c r="W26" s="25"/>
      <c r="X26" s="131">
        <f>VLOOKUP(CONCATENATE(C26,B26),'G2-7 Summary'!S:W,2,FALSE)</f>
        <v>0.15536</v>
      </c>
      <c r="Y26" s="131">
        <f>VLOOKUP(CONCATENATE(C26,B26),'G2-7 Summary'!S:W,3,FALSE)</f>
        <v>8.1129999999999994E-2</v>
      </c>
      <c r="Z26" s="131">
        <f>VLOOKUP(CONCATENATE(C26,B26),'G2-7 Summary'!S:W,4,FALSE)</f>
        <v>0</v>
      </c>
      <c r="AA26" s="131">
        <f>VLOOKUP(CONCATENATE(C26,B26),'G2-7 Summary'!S:W,5,FALSE)</f>
        <v>0.20519999999999999</v>
      </c>
      <c r="AB26" s="25"/>
      <c r="AC26" s="149">
        <f t="shared" si="7"/>
        <v>36312</v>
      </c>
      <c r="AD26" s="26">
        <f t="shared" si="1"/>
        <v>13011.260814304655</v>
      </c>
      <c r="AE26" s="26">
        <f t="shared" si="8"/>
        <v>6324.8732168659917</v>
      </c>
      <c r="AF26" s="26"/>
      <c r="AG26" s="26">
        <f t="shared" si="9"/>
        <v>3302.8898306149454</v>
      </c>
      <c r="AH26" s="26">
        <f t="shared" si="10"/>
        <v>0</v>
      </c>
      <c r="AI26" s="26">
        <f t="shared" si="11"/>
        <v>8353.9133889089953</v>
      </c>
      <c r="AJ26" s="29">
        <f t="shared" si="2"/>
        <v>67304.93725069458</v>
      </c>
      <c r="AK26" s="27">
        <f t="shared" si="12"/>
        <v>-11656.803219523941</v>
      </c>
      <c r="AL26" s="27">
        <f t="shared" si="13"/>
        <v>55648.134031170637</v>
      </c>
      <c r="AN26" s="27">
        <f>SUMIFS('Rate Design (Consol)'!K:K,'Rate Design (Consol)'!A:A,K26,'Rate Design (Consol)'!D:D,G26)</f>
        <v>40</v>
      </c>
      <c r="AO26" s="23">
        <f>SUMIFS('Rate Design (Consol)'!L:L,'Rate Design (Consol)'!A:A,K26,'Rate Design (Consol)'!D:D,G26)</f>
        <v>0.70123999999999997</v>
      </c>
      <c r="AP26" s="24">
        <f t="shared" si="14"/>
        <v>42720</v>
      </c>
      <c r="AQ26" s="24">
        <f t="shared" si="15"/>
        <v>28548.236963150797</v>
      </c>
      <c r="AR26" s="25">
        <f t="shared" si="16"/>
        <v>71268.23696315079</v>
      </c>
      <c r="AT26" s="53"/>
      <c r="AU26" s="53"/>
      <c r="AV26" s="271"/>
      <c r="AW26" s="199"/>
      <c r="AX26" s="53"/>
      <c r="AY26" s="53"/>
    </row>
    <row r="27" spans="1:51" x14ac:dyDescent="0.25">
      <c r="A27" s="23" t="s">
        <v>172</v>
      </c>
      <c r="B27" s="23" t="s">
        <v>178</v>
      </c>
      <c r="C27" s="23" t="s">
        <v>174</v>
      </c>
      <c r="D27" s="23" t="s">
        <v>78</v>
      </c>
      <c r="E27" s="90" t="str">
        <f>INDEX('Rate Design (Consol)'!$B$48:$B$66,MATCH('G2-8 Summary'!F27,'Rate Design (Consol)'!$C$48:$C$66,0))</f>
        <v>RES-1</v>
      </c>
      <c r="F27" s="23" t="s">
        <v>8</v>
      </c>
      <c r="G27" s="90" t="str">
        <f>INDEX('Rate Design (Consol)'!$D$48:$D$66,MATCH('G2-8 Summary'!H27,'Rate Design (Consol)'!$E$48:$E$66,0))</f>
        <v>RES-1</v>
      </c>
      <c r="H27" s="23" t="str">
        <f t="shared" si="3"/>
        <v>Residential - 1</v>
      </c>
      <c r="I27" s="23" t="str">
        <f t="shared" si="17"/>
        <v>CF_FTS-2_Residential - 1</v>
      </c>
      <c r="J27" s="61" t="str">
        <f t="shared" si="5"/>
        <v>CFG-CFG - Firm Transportation Service - 2 Residential-RES-1</v>
      </c>
      <c r="K27" s="62" t="s">
        <v>257</v>
      </c>
      <c r="L27" s="146">
        <v>7.5136612021857924E-2</v>
      </c>
      <c r="M27" s="146">
        <v>7.299183991900474E-3</v>
      </c>
      <c r="N27" s="90" t="str">
        <f>VLOOKUP(E27,'Rate Design (Consol)'!D:F,3,FALSE)</f>
        <v>&lt; = 100</v>
      </c>
      <c r="O27" s="237">
        <f t="shared" si="0"/>
        <v>60</v>
      </c>
      <c r="P27" s="147">
        <f t="shared" si="6"/>
        <v>56</v>
      </c>
      <c r="Q27" s="148">
        <f t="shared" si="32"/>
        <v>672</v>
      </c>
      <c r="R27" s="148">
        <v>669.49179954411272</v>
      </c>
      <c r="S27" s="151">
        <v>34</v>
      </c>
      <c r="T27" s="25"/>
      <c r="U27" s="148">
        <v>3345.7964907247565</v>
      </c>
      <c r="V27" s="238">
        <v>0.3196</v>
      </c>
      <c r="W27" s="25"/>
      <c r="X27" s="131">
        <f>VLOOKUP(CONCATENATE(C27,B27),'G2-7 Summary'!S:W,2,FALSE)</f>
        <v>0.15536</v>
      </c>
      <c r="Y27" s="131">
        <f>VLOOKUP(CONCATENATE(C27,B27),'G2-7 Summary'!S:W,3,FALSE)</f>
        <v>8.1129999999999994E-2</v>
      </c>
      <c r="Z27" s="131">
        <f>VLOOKUP(CONCATENATE(C27,B27),'G2-7 Summary'!S:W,4,FALSE)</f>
        <v>0</v>
      </c>
      <c r="AA27" s="131">
        <f>VLOOKUP(CONCATENATE(C27,B27),'G2-7 Summary'!S:W,5,FALSE)</f>
        <v>0.20519999999999999</v>
      </c>
      <c r="AB27" s="25"/>
      <c r="AC27" s="149">
        <f t="shared" si="7"/>
        <v>22848</v>
      </c>
      <c r="AD27" s="149">
        <f t="shared" si="1"/>
        <v>1069.3165584356323</v>
      </c>
      <c r="AE27" s="149">
        <f t="shared" si="8"/>
        <v>519.80294279899817</v>
      </c>
      <c r="AF27" s="149"/>
      <c r="AG27" s="149">
        <f t="shared" si="9"/>
        <v>271.44446929249949</v>
      </c>
      <c r="AH27" s="149">
        <f t="shared" si="10"/>
        <v>0</v>
      </c>
      <c r="AI27" s="149">
        <f t="shared" si="11"/>
        <v>686.55743989671998</v>
      </c>
      <c r="AJ27" s="119">
        <f t="shared" si="2"/>
        <v>25395.121410423846</v>
      </c>
      <c r="AK27" s="27">
        <f t="shared" si="12"/>
        <v>-958.00190918921953</v>
      </c>
      <c r="AL27" s="27">
        <f t="shared" si="13"/>
        <v>24437.119501234625</v>
      </c>
      <c r="AN27" s="27">
        <f>SUMIFS('Rate Design (Consol)'!K:K,'Rate Design (Consol)'!A:A,K27,'Rate Design (Consol)'!D:D,G27)</f>
        <v>16.5</v>
      </c>
      <c r="AO27" s="23">
        <f>SUMIFS('Rate Design (Consol)'!L:L,'Rate Design (Consol)'!A:A,K27,'Rate Design (Consol)'!D:D,G27)</f>
        <v>0.65229000000000004</v>
      </c>
      <c r="AP27" s="24">
        <f t="shared" si="14"/>
        <v>11088</v>
      </c>
      <c r="AQ27" s="24">
        <f t="shared" si="15"/>
        <v>2182.4295929348514</v>
      </c>
      <c r="AR27" s="25">
        <f t="shared" si="16"/>
        <v>13270.429592934852</v>
      </c>
      <c r="AS27" s="149"/>
      <c r="AT27" s="53"/>
      <c r="AU27" s="53"/>
      <c r="AV27" s="272"/>
      <c r="AW27" s="199"/>
      <c r="AX27" s="53"/>
      <c r="AY27" s="53"/>
    </row>
    <row r="28" spans="1:51" x14ac:dyDescent="0.25">
      <c r="A28" s="23" t="s">
        <v>172</v>
      </c>
      <c r="B28" s="23" t="s">
        <v>178</v>
      </c>
      <c r="C28" s="23" t="s">
        <v>174</v>
      </c>
      <c r="D28" s="23" t="s">
        <v>78</v>
      </c>
      <c r="E28" s="90" t="str">
        <f>INDEX('Rate Design (Consol)'!$B$48:$B$66,MATCH('G2-8 Summary'!F28,'Rate Design (Consol)'!$C$48:$C$66,0))</f>
        <v>RES-3</v>
      </c>
      <c r="F28" s="23" t="s">
        <v>266</v>
      </c>
      <c r="G28" s="90" t="str">
        <f>INDEX('Rate Design (Consol)'!$D$48:$D$66,MATCH('G2-8 Summary'!H28,'Rate Design (Consol)'!$E$48:$E$66,0))</f>
        <v>RES-3</v>
      </c>
      <c r="H28" s="23" t="str">
        <f t="shared" si="3"/>
        <v>Residential - 3</v>
      </c>
      <c r="I28" s="23" t="str">
        <f t="shared" si="17"/>
        <v>CF_FTS-2_Residential - 3</v>
      </c>
      <c r="J28" s="61" t="str">
        <f t="shared" si="5"/>
        <v>CFG-CFG - Firm Transportation Service - 2 Residential-RES-3</v>
      </c>
      <c r="K28" s="62" t="s">
        <v>257</v>
      </c>
      <c r="L28" s="146">
        <v>0.75409836065573765</v>
      </c>
      <c r="M28" s="146">
        <v>0.9446251445263254</v>
      </c>
      <c r="N28" s="90" t="str">
        <f>VLOOKUP(E28,'Rate Design (Consol)'!D:F,3,FALSE)</f>
        <v>&gt; 250</v>
      </c>
      <c r="O28" s="237">
        <f t="shared" si="0"/>
        <v>773</v>
      </c>
      <c r="P28" s="148">
        <f t="shared" si="6"/>
        <v>560</v>
      </c>
      <c r="Q28" s="148">
        <f t="shared" si="32"/>
        <v>6720</v>
      </c>
      <c r="R28" s="148">
        <v>6719.2631517881855</v>
      </c>
      <c r="S28" s="24">
        <v>34</v>
      </c>
      <c r="T28" s="25"/>
      <c r="U28" s="148">
        <v>432996.82500312565</v>
      </c>
      <c r="V28" s="238">
        <v>0.3196</v>
      </c>
      <c r="W28" s="25"/>
      <c r="X28" s="131">
        <f>VLOOKUP(CONCATENATE(C28,B28),'G2-7 Summary'!S:W,2,FALSE)</f>
        <v>0.15536</v>
      </c>
      <c r="Y28" s="131">
        <f>VLOOKUP(CONCATENATE(C28,B28),'G2-7 Summary'!S:W,3,FALSE)</f>
        <v>8.1129999999999994E-2</v>
      </c>
      <c r="Z28" s="131">
        <f>VLOOKUP(CONCATENATE(C28,B28),'G2-7 Summary'!S:W,4,FALSE)</f>
        <v>0</v>
      </c>
      <c r="AA28" s="131">
        <f>VLOOKUP(CONCATENATE(C28,B28),'G2-7 Summary'!S:W,5,FALSE)</f>
        <v>0.20519999999999999</v>
      </c>
      <c r="AB28" s="25"/>
      <c r="AC28" s="149">
        <f t="shared" si="7"/>
        <v>228480</v>
      </c>
      <c r="AD28" s="26">
        <f t="shared" si="1"/>
        <v>138385.78527099895</v>
      </c>
      <c r="AE28" s="26">
        <f t="shared" si="8"/>
        <v>67270.386732485596</v>
      </c>
      <c r="AF28" s="26"/>
      <c r="AG28" s="26">
        <f t="shared" si="9"/>
        <v>35129.032412503584</v>
      </c>
      <c r="AH28" s="26">
        <f t="shared" si="10"/>
        <v>0</v>
      </c>
      <c r="AI28" s="26">
        <f t="shared" si="11"/>
        <v>88850.948490641385</v>
      </c>
      <c r="AJ28" s="29">
        <f t="shared" si="2"/>
        <v>558116.15290662961</v>
      </c>
      <c r="AK28" s="27">
        <f t="shared" si="12"/>
        <v>-123979.98090314497</v>
      </c>
      <c r="AL28" s="27">
        <f t="shared" si="13"/>
        <v>434136.17200348462</v>
      </c>
      <c r="AN28" s="27">
        <f>SUMIFS('Rate Design (Consol)'!K:K,'Rate Design (Consol)'!A:A,K28,'Rate Design (Consol)'!D:D,G28)</f>
        <v>26.5</v>
      </c>
      <c r="AO28" s="23">
        <f>SUMIFS('Rate Design (Consol)'!L:L,'Rate Design (Consol)'!A:A,K28,'Rate Design (Consol)'!D:D,G28)</f>
        <v>0.65386</v>
      </c>
      <c r="AP28" s="24">
        <f t="shared" si="14"/>
        <v>178080</v>
      </c>
      <c r="AQ28" s="24">
        <f t="shared" si="15"/>
        <v>283119.30399654375</v>
      </c>
      <c r="AR28" s="25">
        <f t="shared" si="16"/>
        <v>461199.30399654375</v>
      </c>
      <c r="AT28" s="53"/>
      <c r="AU28" s="53"/>
      <c r="AV28" s="271"/>
      <c r="AW28" s="199"/>
      <c r="AX28" s="53"/>
      <c r="AY28" s="53"/>
    </row>
    <row r="29" spans="1:51" x14ac:dyDescent="0.25">
      <c r="A29" s="23" t="s">
        <v>172</v>
      </c>
      <c r="B29" s="23" t="s">
        <v>178</v>
      </c>
      <c r="C29" s="23" t="s">
        <v>174</v>
      </c>
      <c r="D29" s="23" t="s">
        <v>78</v>
      </c>
      <c r="E29" s="90" t="str">
        <f>INDEX('Rate Design (Consol)'!$B$48:$B$66,MATCH('G2-8 Summary'!F29,'Rate Design (Consol)'!$C$48:$C$66,0))</f>
        <v>RES-2</v>
      </c>
      <c r="F29" s="23" t="s">
        <v>9</v>
      </c>
      <c r="G29" s="90" t="str">
        <f>INDEX('Rate Design (Consol)'!$D$48:$D$66,MATCH('G2-8 Summary'!H29,'Rate Design (Consol)'!$E$48:$E$66,0))</f>
        <v>RES-2</v>
      </c>
      <c r="H29" s="23" t="str">
        <f t="shared" si="3"/>
        <v>Residential - 2</v>
      </c>
      <c r="I29" s="23" t="str">
        <f t="shared" si="17"/>
        <v>CF_FTS-2_Residential - 2</v>
      </c>
      <c r="J29" s="61" t="str">
        <f t="shared" si="5"/>
        <v>CFG-CFG - Firm Transportation Service - 2 Residential-RES-2</v>
      </c>
      <c r="K29" s="62" t="s">
        <v>257</v>
      </c>
      <c r="L29" s="146">
        <v>0.17076502732240437</v>
      </c>
      <c r="M29" s="146">
        <v>4.8075671481774176E-2</v>
      </c>
      <c r="N29" s="90" t="str">
        <f>VLOOKUP(E29,'Rate Design (Consol)'!D:F,3,FALSE)</f>
        <v>&gt; 100 &lt; = 250</v>
      </c>
      <c r="O29" s="237">
        <f t="shared" si="0"/>
        <v>174</v>
      </c>
      <c r="P29" s="148">
        <f t="shared" si="6"/>
        <v>127</v>
      </c>
      <c r="Q29" s="148">
        <f t="shared" si="32"/>
        <v>1524</v>
      </c>
      <c r="R29" s="148">
        <v>1521.572271691165</v>
      </c>
      <c r="S29" s="24">
        <v>34</v>
      </c>
      <c r="T29" s="25"/>
      <c r="U29" s="148">
        <v>22036.903455433479</v>
      </c>
      <c r="V29" s="238">
        <v>0.3196</v>
      </c>
      <c r="W29" s="25"/>
      <c r="X29" s="131">
        <f>VLOOKUP(CONCATENATE(C29,B29),'G2-7 Summary'!S:W,2,FALSE)</f>
        <v>0.15536</v>
      </c>
      <c r="Y29" s="131">
        <f>VLOOKUP(CONCATENATE(C29,B29),'G2-7 Summary'!S:W,3,FALSE)</f>
        <v>8.1129999999999994E-2</v>
      </c>
      <c r="Z29" s="131">
        <f>VLOOKUP(CONCATENATE(C29,B29),'G2-7 Summary'!S:W,4,FALSE)</f>
        <v>0</v>
      </c>
      <c r="AA29" s="131">
        <f>VLOOKUP(CONCATENATE(C29,B29),'G2-7 Summary'!S:W,5,FALSE)</f>
        <v>0.20519999999999999</v>
      </c>
      <c r="AB29" s="25"/>
      <c r="AC29" s="149">
        <f t="shared" si="7"/>
        <v>51816</v>
      </c>
      <c r="AD29" s="26">
        <f t="shared" si="1"/>
        <v>7042.9943443565398</v>
      </c>
      <c r="AE29" s="26">
        <f t="shared" si="8"/>
        <v>3423.6533208361452</v>
      </c>
      <c r="AF29" s="26"/>
      <c r="AG29" s="26">
        <f t="shared" si="9"/>
        <v>1787.8539773393181</v>
      </c>
      <c r="AH29" s="26">
        <f t="shared" si="10"/>
        <v>0</v>
      </c>
      <c r="AI29" s="26">
        <f t="shared" si="11"/>
        <v>4521.9725890549498</v>
      </c>
      <c r="AJ29" s="29">
        <f t="shared" si="2"/>
        <v>68592.474231586952</v>
      </c>
      <c r="AK29" s="27">
        <f t="shared" si="12"/>
        <v>-6309.8265663942675</v>
      </c>
      <c r="AL29" s="27">
        <f t="shared" si="13"/>
        <v>62282.647665192686</v>
      </c>
      <c r="AN29" s="27">
        <f>SUMIFS('Rate Design (Consol)'!K:K,'Rate Design (Consol)'!A:A,K29,'Rate Design (Consol)'!D:D,G29)</f>
        <v>19.5</v>
      </c>
      <c r="AO29" s="23">
        <f>SUMIFS('Rate Design (Consol)'!L:L,'Rate Design (Consol)'!A:A,K29,'Rate Design (Consol)'!D:D,G29)</f>
        <v>0.65271999999999997</v>
      </c>
      <c r="AP29" s="24">
        <f t="shared" si="14"/>
        <v>29718</v>
      </c>
      <c r="AQ29" s="24">
        <f t="shared" si="15"/>
        <v>14383.92762343054</v>
      </c>
      <c r="AR29" s="25">
        <f t="shared" si="16"/>
        <v>44101.927623430543</v>
      </c>
      <c r="AT29" s="53"/>
      <c r="AU29" s="53"/>
      <c r="AV29" s="271"/>
      <c r="AW29" s="199"/>
      <c r="AX29" s="53"/>
      <c r="AY29" s="53"/>
    </row>
    <row r="30" spans="1:51" s="90" customFormat="1" x14ac:dyDescent="0.25">
      <c r="A30" s="90" t="s">
        <v>172</v>
      </c>
      <c r="B30" s="90" t="s">
        <v>179</v>
      </c>
      <c r="C30" s="90" t="s">
        <v>174</v>
      </c>
      <c r="D30" s="90" t="s">
        <v>107</v>
      </c>
      <c r="E30" s="90" t="str">
        <f>INDEX('Rate Design (Consol)'!$B$48:$B$66,MATCH('G2-8 Summary'!F30,'Rate Design (Consol)'!$C$48:$C$66,0))</f>
        <v>GS-2</v>
      </c>
      <c r="F30" s="90" t="s">
        <v>12</v>
      </c>
      <c r="G30" s="90" t="str">
        <f>INDEX('Rate Design (Consol)'!$D$48:$D$66,MATCH('G2-8 Summary'!H30,'Rate Design (Consol)'!$E$48:$E$66,0))</f>
        <v>GS-2</v>
      </c>
      <c r="H30" s="90" t="str">
        <f t="shared" si="3"/>
        <v>General Service - 2</v>
      </c>
      <c r="I30" s="90" t="str">
        <f t="shared" ref="I30:I33" si="33">CONCATENATE(C30,"_",B30," ", AV30,"_",H30)</f>
        <v>CF_FTS21 _General Service - 2</v>
      </c>
      <c r="J30" s="174" t="str">
        <f t="shared" si="5"/>
        <v>CFG-CFG - Firm Transportation Service - 2.1 (Fixed Non-Residential)-GS-2</v>
      </c>
      <c r="K30" s="240" t="s">
        <v>257</v>
      </c>
      <c r="L30" s="146">
        <v>0.7</v>
      </c>
      <c r="M30" s="146">
        <v>0.62705184424391935</v>
      </c>
      <c r="N30" s="90" t="str">
        <f>VLOOKUP(E30,'Rate Design (Consol)'!D:F,3,FALSE)</f>
        <v>&gt; 1000 &lt; = 5,000</v>
      </c>
      <c r="O30" s="237">
        <f t="shared" si="0"/>
        <v>1433</v>
      </c>
      <c r="P30" s="147">
        <f t="shared" si="6"/>
        <v>8</v>
      </c>
      <c r="Q30" s="147">
        <f t="shared" si="32"/>
        <v>96</v>
      </c>
      <c r="R30" s="147">
        <v>90.159664791479457</v>
      </c>
      <c r="S30" s="151">
        <v>87</v>
      </c>
      <c r="T30" s="118"/>
      <c r="U30" s="147">
        <v>11460.119088167328</v>
      </c>
      <c r="V30" s="72">
        <v>0</v>
      </c>
      <c r="W30" s="118"/>
      <c r="X30" s="131">
        <f>VLOOKUP(CONCATENATE(C30,B30),'G2-7 Summary'!S:W,2,FALSE)</f>
        <v>0.15931999999999996</v>
      </c>
      <c r="Y30" s="131">
        <f>VLOOKUP(CONCATENATE(C30,B30),'G2-7 Summary'!S:W,3,FALSE)</f>
        <v>5.8160000000000003E-2</v>
      </c>
      <c r="Z30" s="131">
        <f>VLOOKUP(CONCATENATE(C30,B30),'G2-7 Summary'!S:W,4,FALSE)</f>
        <v>0</v>
      </c>
      <c r="AA30" s="131">
        <f>VLOOKUP(CONCATENATE(C30,B30),'G2-7 Summary'!S:W,5,FALSE)</f>
        <v>0.19159999999999999</v>
      </c>
      <c r="AB30" s="118"/>
      <c r="AC30" s="149">
        <f t="shared" si="7"/>
        <v>8352</v>
      </c>
      <c r="AD30" s="149">
        <f t="shared" si="1"/>
        <v>0</v>
      </c>
      <c r="AE30" s="149">
        <f t="shared" si="8"/>
        <v>1825.8261731268183</v>
      </c>
      <c r="AF30" s="149"/>
      <c r="AG30" s="149">
        <f t="shared" si="9"/>
        <v>666.52052616781191</v>
      </c>
      <c r="AH30" s="149">
        <f t="shared" si="10"/>
        <v>0</v>
      </c>
      <c r="AI30" s="149">
        <f t="shared" si="11"/>
        <v>2195.7588172928599</v>
      </c>
      <c r="AJ30" s="119">
        <f t="shared" si="2"/>
        <v>13040.10551658749</v>
      </c>
      <c r="AK30" s="120">
        <f t="shared" si="12"/>
        <v>-2862.279343460672</v>
      </c>
      <c r="AL30" s="120">
        <f t="shared" si="13"/>
        <v>10177.826173126818</v>
      </c>
      <c r="AN30" s="120">
        <f>SUMIFS('Rate Design (Consol)'!K:K,'Rate Design (Consol)'!A:A,K30,'Rate Design (Consol)'!D:D,G30)</f>
        <v>70</v>
      </c>
      <c r="AO30" s="90">
        <f>SUMIFS('Rate Design (Consol)'!L:L,'Rate Design (Consol)'!A:A,K30,'Rate Design (Consol)'!D:D,G30)</f>
        <v>0.69901999999999997</v>
      </c>
      <c r="AP30" s="151">
        <f t="shared" si="14"/>
        <v>6720</v>
      </c>
      <c r="AQ30" s="151">
        <f t="shared" si="15"/>
        <v>8010.8524450107252</v>
      </c>
      <c r="AR30" s="118">
        <f t="shared" si="16"/>
        <v>14730.852445010725</v>
      </c>
      <c r="AS30" s="149"/>
      <c r="AT30" s="206"/>
      <c r="AU30" s="206"/>
      <c r="AV30" s="272"/>
      <c r="AW30" s="201"/>
      <c r="AX30" s="53"/>
      <c r="AY30" s="206"/>
    </row>
    <row r="31" spans="1:51" s="90" customFormat="1" x14ac:dyDescent="0.25">
      <c r="A31" s="90" t="s">
        <v>172</v>
      </c>
      <c r="B31" s="90" t="s">
        <v>179</v>
      </c>
      <c r="C31" s="90" t="s">
        <v>174</v>
      </c>
      <c r="D31" s="90" t="s">
        <v>107</v>
      </c>
      <c r="E31" s="90" t="str">
        <f>INDEX('Rate Design (Consol)'!$B$48:$B$66,MATCH('G2-8 Summary'!F31,'Rate Design (Consol)'!$C$48:$C$66,0))</f>
        <v>GS-3</v>
      </c>
      <c r="F31" s="90" t="s">
        <v>13</v>
      </c>
      <c r="G31" s="90" t="str">
        <f>INDEX('Rate Design (Consol)'!$D$48:$D$66,MATCH('G2-8 Summary'!H31,'Rate Design (Consol)'!$E$48:$E$66,0))</f>
        <v>GS-3</v>
      </c>
      <c r="H31" s="90" t="str">
        <f t="shared" si="3"/>
        <v>General Service - 3</v>
      </c>
      <c r="I31" s="90" t="str">
        <f t="shared" si="33"/>
        <v>CF_FTS21 _General Service - 3</v>
      </c>
      <c r="J31" s="174" t="str">
        <f t="shared" si="5"/>
        <v>CFG-CFG - Firm Transportation Service - 2.1 (Fixed Non-Residential)-GS-3</v>
      </c>
      <c r="K31" s="240" t="s">
        <v>257</v>
      </c>
      <c r="L31" s="146">
        <v>0.1</v>
      </c>
      <c r="M31" s="146">
        <v>0.29468301439737282</v>
      </c>
      <c r="N31" s="90" t="str">
        <f>VLOOKUP(E31,'Rate Design (Consol)'!D:F,3,FALSE)</f>
        <v>&gt; 5,000 &lt; = 10,000</v>
      </c>
      <c r="O31" s="237">
        <f t="shared" si="0"/>
        <v>5386</v>
      </c>
      <c r="P31" s="147">
        <f t="shared" si="6"/>
        <v>1</v>
      </c>
      <c r="Q31" s="147">
        <f t="shared" si="32"/>
        <v>12</v>
      </c>
      <c r="R31" s="147">
        <v>12.879952113068496</v>
      </c>
      <c r="S31" s="151">
        <v>87</v>
      </c>
      <c r="T31" s="118"/>
      <c r="U31" s="147">
        <v>5385.6829690470504</v>
      </c>
      <c r="V31" s="72">
        <v>0</v>
      </c>
      <c r="W31" s="118"/>
      <c r="X31" s="131">
        <f>VLOOKUP(CONCATENATE(C31,B31),'G2-7 Summary'!S:W,2,FALSE)</f>
        <v>0.15931999999999996</v>
      </c>
      <c r="Y31" s="131">
        <f>VLOOKUP(CONCATENATE(C31,B31),'G2-7 Summary'!S:W,3,FALSE)</f>
        <v>5.8160000000000003E-2</v>
      </c>
      <c r="Z31" s="131">
        <f>VLOOKUP(CONCATENATE(C31,B31),'G2-7 Summary'!S:W,4,FALSE)</f>
        <v>0</v>
      </c>
      <c r="AA31" s="131">
        <f>VLOOKUP(CONCATENATE(C31,B31),'G2-7 Summary'!S:W,5,FALSE)</f>
        <v>0.19159999999999999</v>
      </c>
      <c r="AB31" s="118"/>
      <c r="AC31" s="149">
        <f t="shared" si="7"/>
        <v>1044</v>
      </c>
      <c r="AD31" s="149">
        <f t="shared" si="1"/>
        <v>0</v>
      </c>
      <c r="AE31" s="149">
        <f t="shared" si="8"/>
        <v>858.04701062857589</v>
      </c>
      <c r="AF31" s="149"/>
      <c r="AG31" s="149">
        <f t="shared" si="9"/>
        <v>313.23132147977645</v>
      </c>
      <c r="AH31" s="149">
        <f t="shared" si="10"/>
        <v>0</v>
      </c>
      <c r="AI31" s="149">
        <f t="shared" si="11"/>
        <v>1031.8968568694147</v>
      </c>
      <c r="AJ31" s="119">
        <f t="shared" si="2"/>
        <v>3247.175188977767</v>
      </c>
      <c r="AK31" s="120">
        <f t="shared" si="12"/>
        <v>-1345.1281783491911</v>
      </c>
      <c r="AL31" s="120">
        <f t="shared" si="13"/>
        <v>1902.0470106285759</v>
      </c>
      <c r="AN31" s="120">
        <f>SUMIFS('Rate Design (Consol)'!K:K,'Rate Design (Consol)'!A:A,K31,'Rate Design (Consol)'!D:D,G31)</f>
        <v>150</v>
      </c>
      <c r="AO31" s="90">
        <f>SUMIFS('Rate Design (Consol)'!L:L,'Rate Design (Consol)'!A:A,K31,'Rate Design (Consol)'!D:D,G31)</f>
        <v>0.62475000000000003</v>
      </c>
      <c r="AP31" s="151">
        <f t="shared" si="14"/>
        <v>1800</v>
      </c>
      <c r="AQ31" s="151">
        <f t="shared" si="15"/>
        <v>3364.7054349121449</v>
      </c>
      <c r="AR31" s="118">
        <f t="shared" si="16"/>
        <v>5164.7054349121445</v>
      </c>
      <c r="AS31" s="149"/>
      <c r="AT31" s="206"/>
      <c r="AU31" s="206"/>
      <c r="AV31" s="272"/>
      <c r="AW31" s="201"/>
      <c r="AX31" s="53"/>
      <c r="AY31" s="206"/>
    </row>
    <row r="32" spans="1:51" s="90" customFormat="1" x14ac:dyDescent="0.25">
      <c r="A32" s="90" t="s">
        <v>172</v>
      </c>
      <c r="B32" s="90" t="s">
        <v>179</v>
      </c>
      <c r="C32" s="90" t="s">
        <v>174</v>
      </c>
      <c r="D32" s="90" t="s">
        <v>107</v>
      </c>
      <c r="E32" s="90" t="str">
        <f>INDEX('Rate Design (Consol)'!$B$48:$B$66,MATCH('G2-8 Summary'!F32,'Rate Design (Consol)'!$C$48:$C$66,0))</f>
        <v>GS-1</v>
      </c>
      <c r="F32" s="90" t="s">
        <v>11</v>
      </c>
      <c r="G32" s="90" t="str">
        <f>INDEX('Rate Design (Consol)'!$D$48:$D$66,MATCH('G2-8 Summary'!H32,'Rate Design (Consol)'!$E$48:$E$66,0))</f>
        <v>GS-1</v>
      </c>
      <c r="H32" s="90" t="str">
        <f t="shared" si="3"/>
        <v>General Service - 1</v>
      </c>
      <c r="I32" s="90" t="str">
        <f t="shared" si="33"/>
        <v>CF_FTS21 _General Service - 1</v>
      </c>
      <c r="J32" s="174" t="str">
        <f t="shared" si="5"/>
        <v>CFG-CFG - Firm Transportation Service - 2.1 (Fixed Non-Residential)-GS-1</v>
      </c>
      <c r="K32" s="240" t="s">
        <v>257</v>
      </c>
      <c r="L32" s="146">
        <v>0.2</v>
      </c>
      <c r="M32" s="146">
        <v>7.8265141358707865E-2</v>
      </c>
      <c r="N32" s="90" t="str">
        <f>VLOOKUP(E32,'Rate Design (Consol)'!D:F,3,FALSE)</f>
        <v>&lt; = 1000</v>
      </c>
      <c r="O32" s="237">
        <f t="shared" si="0"/>
        <v>715</v>
      </c>
      <c r="P32" s="147">
        <f t="shared" si="6"/>
        <v>2</v>
      </c>
      <c r="Q32" s="147">
        <f t="shared" si="32"/>
        <v>24</v>
      </c>
      <c r="R32" s="147">
        <v>25.759904226136992</v>
      </c>
      <c r="S32" s="151">
        <v>87</v>
      </c>
      <c r="T32" s="118"/>
      <c r="U32" s="147">
        <v>1430.388649130809</v>
      </c>
      <c r="V32" s="72">
        <v>0</v>
      </c>
      <c r="W32" s="118"/>
      <c r="X32" s="131">
        <f>VLOOKUP(CONCATENATE(C32,B32),'G2-7 Summary'!S:W,2,FALSE)</f>
        <v>0.15931999999999996</v>
      </c>
      <c r="Y32" s="131">
        <f>VLOOKUP(CONCATENATE(C32,B32),'G2-7 Summary'!S:W,3,FALSE)</f>
        <v>5.8160000000000003E-2</v>
      </c>
      <c r="Z32" s="131">
        <f>VLOOKUP(CONCATENATE(C32,B32),'G2-7 Summary'!S:W,4,FALSE)</f>
        <v>0</v>
      </c>
      <c r="AA32" s="131">
        <f>VLOOKUP(CONCATENATE(C32,B32),'G2-7 Summary'!S:W,5,FALSE)</f>
        <v>0.19159999999999999</v>
      </c>
      <c r="AB32" s="118"/>
      <c r="AC32" s="149">
        <f t="shared" si="7"/>
        <v>2088</v>
      </c>
      <c r="AD32" s="149">
        <f t="shared" si="1"/>
        <v>0</v>
      </c>
      <c r="AE32" s="149">
        <f t="shared" si="8"/>
        <v>227.88951957952042</v>
      </c>
      <c r="AF32" s="149"/>
      <c r="AG32" s="149">
        <f t="shared" si="9"/>
        <v>83.191403833447851</v>
      </c>
      <c r="AH32" s="149">
        <f t="shared" si="10"/>
        <v>0</v>
      </c>
      <c r="AI32" s="149">
        <f t="shared" si="11"/>
        <v>274.06246517346301</v>
      </c>
      <c r="AJ32" s="119">
        <f t="shared" si="2"/>
        <v>2673.1433885864312</v>
      </c>
      <c r="AK32" s="120">
        <f t="shared" si="12"/>
        <v>-357.25386900691086</v>
      </c>
      <c r="AL32" s="120">
        <f t="shared" si="13"/>
        <v>2315.8895195795203</v>
      </c>
      <c r="AN32" s="120">
        <f>SUMIFS('Rate Design (Consol)'!K:K,'Rate Design (Consol)'!A:A,K32,'Rate Design (Consol)'!D:D,G32)</f>
        <v>40</v>
      </c>
      <c r="AO32" s="90">
        <f>SUMIFS('Rate Design (Consol)'!L:L,'Rate Design (Consol)'!A:A,K32,'Rate Design (Consol)'!D:D,G32)</f>
        <v>0.70123999999999997</v>
      </c>
      <c r="AP32" s="151">
        <f t="shared" si="14"/>
        <v>960</v>
      </c>
      <c r="AQ32" s="151">
        <f t="shared" si="15"/>
        <v>1003.0457363164885</v>
      </c>
      <c r="AR32" s="118">
        <f t="shared" si="16"/>
        <v>1963.0457363164885</v>
      </c>
      <c r="AS32" s="149"/>
      <c r="AT32" s="206"/>
      <c r="AU32" s="206"/>
      <c r="AV32" s="272"/>
      <c r="AW32" s="201"/>
      <c r="AX32" s="53"/>
      <c r="AY32" s="206"/>
    </row>
    <row r="33" spans="1:51" x14ac:dyDescent="0.25">
      <c r="A33" s="23" t="s">
        <v>172</v>
      </c>
      <c r="B33" s="23" t="s">
        <v>179</v>
      </c>
      <c r="C33" s="23" t="s">
        <v>174</v>
      </c>
      <c r="D33" s="23" t="s">
        <v>85</v>
      </c>
      <c r="E33" s="90" t="str">
        <f>INDEX('Rate Design (Consol)'!$B$48:$B$66,MATCH('G2-8 Summary'!F33,'Rate Design (Consol)'!$C$48:$C$66,0))</f>
        <v>RES-3</v>
      </c>
      <c r="F33" s="23" t="s">
        <v>266</v>
      </c>
      <c r="G33" s="90" t="str">
        <f>INDEX('Rate Design (Consol)'!$D$48:$D$66,MATCH('G2-8 Summary'!H33,'Rate Design (Consol)'!$E$48:$E$66,0))</f>
        <v>RES-3</v>
      </c>
      <c r="H33" s="23" t="str">
        <f t="shared" si="3"/>
        <v>Residential - 3</v>
      </c>
      <c r="I33" s="23" t="str">
        <f t="shared" si="33"/>
        <v>CF_FTS21 _Residential - 3</v>
      </c>
      <c r="J33" s="61" t="str">
        <f t="shared" si="5"/>
        <v>CFG-CFG - Firm Transportation Service - 2.1 (Fixed Residential)-RES-3</v>
      </c>
      <c r="K33" s="62" t="s">
        <v>257</v>
      </c>
      <c r="L33" s="146">
        <v>1</v>
      </c>
      <c r="M33" s="146">
        <v>1</v>
      </c>
      <c r="N33" s="90" t="str">
        <f>VLOOKUP(E33,'Rate Design (Consol)'!D:F,3,FALSE)</f>
        <v>&gt; 250</v>
      </c>
      <c r="O33" s="237">
        <f t="shared" si="0"/>
        <v>1194</v>
      </c>
      <c r="P33" s="148">
        <f t="shared" si="6"/>
        <v>7</v>
      </c>
      <c r="Q33" s="148">
        <f t="shared" si="32"/>
        <v>84</v>
      </c>
      <c r="R33" s="148">
        <v>81.567222496476361</v>
      </c>
      <c r="S33" s="24">
        <v>87</v>
      </c>
      <c r="T33" s="25"/>
      <c r="U33" s="148">
        <v>8358.5359835285726</v>
      </c>
      <c r="V33" s="238">
        <v>0</v>
      </c>
      <c r="W33" s="25"/>
      <c r="X33" s="131">
        <f>VLOOKUP(CONCATENATE(C33,B33),'G2-7 Summary'!S:W,2,FALSE)</f>
        <v>0.15931999999999996</v>
      </c>
      <c r="Y33" s="131">
        <f>VLOOKUP(CONCATENATE(C33,B33),'G2-7 Summary'!S:W,3,FALSE)</f>
        <v>5.8160000000000003E-2</v>
      </c>
      <c r="Z33" s="131">
        <f>VLOOKUP(CONCATENATE(C33,B33),'G2-7 Summary'!S:W,4,FALSE)</f>
        <v>0</v>
      </c>
      <c r="AA33" s="131">
        <f>VLOOKUP(CONCATENATE(C33,B33),'G2-7 Summary'!S:W,5,FALSE)</f>
        <v>0.19159999999999999</v>
      </c>
      <c r="AB33" s="25"/>
      <c r="AC33" s="149">
        <f t="shared" si="7"/>
        <v>7308</v>
      </c>
      <c r="AD33" s="26">
        <f t="shared" si="1"/>
        <v>0</v>
      </c>
      <c r="AE33" s="26">
        <f t="shared" si="8"/>
        <v>1331.6819528957719</v>
      </c>
      <c r="AF33" s="26"/>
      <c r="AG33" s="26">
        <f t="shared" si="9"/>
        <v>486.13245280202182</v>
      </c>
      <c r="AH33" s="26">
        <f t="shared" si="10"/>
        <v>0</v>
      </c>
      <c r="AI33" s="26">
        <f t="shared" si="11"/>
        <v>1601.4954944440744</v>
      </c>
      <c r="AJ33" s="29">
        <f t="shared" si="2"/>
        <v>10727.309900141867</v>
      </c>
      <c r="AK33" s="27">
        <f t="shared" si="12"/>
        <v>-2087.6279472460965</v>
      </c>
      <c r="AL33" s="27">
        <f t="shared" si="13"/>
        <v>8639.6819528957712</v>
      </c>
      <c r="AN33" s="27">
        <f>SUMIFS('Rate Design (Consol)'!K:K,'Rate Design (Consol)'!A:A,K33,'Rate Design (Consol)'!D:D,G33)</f>
        <v>26.5</v>
      </c>
      <c r="AO33" s="23">
        <f>SUMIFS('Rate Design (Consol)'!L:L,'Rate Design (Consol)'!A:A,K33,'Rate Design (Consol)'!D:D,G33)</f>
        <v>0.65386</v>
      </c>
      <c r="AP33" s="24">
        <f t="shared" si="14"/>
        <v>2226</v>
      </c>
      <c r="AQ33" s="24">
        <f t="shared" si="15"/>
        <v>5465.3123381899923</v>
      </c>
      <c r="AR33" s="25">
        <f t="shared" si="16"/>
        <v>7691.3123381899923</v>
      </c>
      <c r="AT33" s="53"/>
      <c r="AU33" s="53"/>
      <c r="AV33" s="271"/>
      <c r="AX33" s="53"/>
      <c r="AY33" s="53"/>
    </row>
    <row r="34" spans="1:51" x14ac:dyDescent="0.25">
      <c r="A34" s="23" t="s">
        <v>172</v>
      </c>
      <c r="B34" s="23" t="s">
        <v>179</v>
      </c>
      <c r="C34" s="23" t="s">
        <v>174</v>
      </c>
      <c r="D34" s="23" t="s">
        <v>92</v>
      </c>
      <c r="E34" s="90" t="str">
        <f>INDEX('Rate Design (Consol)'!$B$48:$B$66,MATCH('G2-8 Summary'!F34,'Rate Design (Consol)'!$C$48:$C$66,0))</f>
        <v>GS-2</v>
      </c>
      <c r="F34" s="23" t="s">
        <v>12</v>
      </c>
      <c r="G34" s="90" t="str">
        <f>INDEX('Rate Design (Consol)'!$D$48:$D$66,MATCH('G2-8 Summary'!H34,'Rate Design (Consol)'!$E$48:$E$66,0))</f>
        <v>GS-2</v>
      </c>
      <c r="H34" s="23" t="str">
        <f t="shared" si="3"/>
        <v>General Service - 2</v>
      </c>
      <c r="I34" s="23" t="str">
        <f t="shared" si="17"/>
        <v>CF_FTS21_General Service - 2</v>
      </c>
      <c r="J34" s="61" t="str">
        <f t="shared" si="5"/>
        <v>CFG-CFG - Firm Transportation Service - 2.1 Non-Residential-GS-2</v>
      </c>
      <c r="K34" s="62" t="s">
        <v>257</v>
      </c>
      <c r="L34" s="146">
        <v>0.64912280701754388</v>
      </c>
      <c r="M34" s="146">
        <v>0.72856408337823275</v>
      </c>
      <c r="N34" s="90" t="str">
        <f>VLOOKUP(E34,'Rate Design (Consol)'!D:F,3,FALSE)</f>
        <v>&gt; 1000 &lt; = 5,000</v>
      </c>
      <c r="O34" s="237">
        <f t="shared" si="0"/>
        <v>1980</v>
      </c>
      <c r="P34" s="148">
        <f t="shared" si="6"/>
        <v>149</v>
      </c>
      <c r="Q34" s="148">
        <f>ROUND(R34/12,0)*12-12</f>
        <v>1788</v>
      </c>
      <c r="R34" s="148">
        <v>1803.7119018968399</v>
      </c>
      <c r="S34" s="24">
        <v>40</v>
      </c>
      <c r="T34" s="25"/>
      <c r="U34" s="148">
        <v>295090.24614213587</v>
      </c>
      <c r="V34" s="238">
        <v>0.30826999999999999</v>
      </c>
      <c r="W34" s="25"/>
      <c r="X34" s="131">
        <f>VLOOKUP(CONCATENATE(C34,B34),'G2-7 Summary'!S:W,2,FALSE)</f>
        <v>0.15931999999999996</v>
      </c>
      <c r="Y34" s="131">
        <f>VLOOKUP(CONCATENATE(C34,B34),'G2-7 Summary'!S:W,3,FALSE)</f>
        <v>5.8160000000000003E-2</v>
      </c>
      <c r="Z34" s="131">
        <f>VLOOKUP(CONCATENATE(C34,B34),'G2-7 Summary'!S:W,4,FALSE)</f>
        <v>0</v>
      </c>
      <c r="AA34" s="131">
        <f>VLOOKUP(CONCATENATE(C34,B34),'G2-7 Summary'!S:W,5,FALSE)</f>
        <v>0.19159999999999999</v>
      </c>
      <c r="AB34" s="25"/>
      <c r="AC34" s="149">
        <f t="shared" si="7"/>
        <v>71520</v>
      </c>
      <c r="AD34" s="26">
        <f t="shared" si="1"/>
        <v>90967.470178236224</v>
      </c>
      <c r="AE34" s="26">
        <f t="shared" si="8"/>
        <v>47013.778015365075</v>
      </c>
      <c r="AF34" s="26"/>
      <c r="AG34" s="26">
        <f t="shared" si="9"/>
        <v>17162.448715626622</v>
      </c>
      <c r="AH34" s="26">
        <f t="shared" si="10"/>
        <v>0</v>
      </c>
      <c r="AI34" s="26">
        <f t="shared" si="11"/>
        <v>56539.291160833229</v>
      </c>
      <c r="AJ34" s="29">
        <f t="shared" si="2"/>
        <v>283202.98807006114</v>
      </c>
      <c r="AK34" s="27">
        <f t="shared" si="12"/>
        <v>-73701.739876459847</v>
      </c>
      <c r="AL34" s="27">
        <f t="shared" si="13"/>
        <v>209501.24819360129</v>
      </c>
      <c r="AN34" s="27">
        <f>SUMIFS('Rate Design (Consol)'!K:K,'Rate Design (Consol)'!A:A,K34,'Rate Design (Consol)'!D:D,G34)</f>
        <v>70</v>
      </c>
      <c r="AO34" s="23">
        <f>SUMIFS('Rate Design (Consol)'!L:L,'Rate Design (Consol)'!A:A,K34,'Rate Design (Consol)'!D:D,G34)</f>
        <v>0.69901999999999997</v>
      </c>
      <c r="AP34" s="24">
        <f t="shared" si="14"/>
        <v>125160</v>
      </c>
      <c r="AQ34" s="24">
        <f t="shared" si="15"/>
        <v>206273.98385827581</v>
      </c>
      <c r="AR34" s="25">
        <f t="shared" si="16"/>
        <v>331433.98385827581</v>
      </c>
      <c r="AT34" s="53"/>
      <c r="AU34" s="53"/>
      <c r="AV34" s="271"/>
      <c r="AW34" s="199"/>
      <c r="AX34" s="53"/>
      <c r="AY34" s="53"/>
    </row>
    <row r="35" spans="1:51" x14ac:dyDescent="0.25">
      <c r="A35" s="23" t="s">
        <v>172</v>
      </c>
      <c r="B35" s="23" t="s">
        <v>179</v>
      </c>
      <c r="C35" s="23" t="s">
        <v>174</v>
      </c>
      <c r="D35" s="23" t="s">
        <v>92</v>
      </c>
      <c r="E35" s="90" t="str">
        <f>INDEX('Rate Design (Consol)'!$B$48:$B$66,MATCH('G2-8 Summary'!F35,'Rate Design (Consol)'!$C$48:$C$66,0))</f>
        <v>GS-3</v>
      </c>
      <c r="F35" s="23" t="s">
        <v>13</v>
      </c>
      <c r="G35" s="90" t="str">
        <f>INDEX('Rate Design (Consol)'!$D$48:$D$66,MATCH('G2-8 Summary'!H35,'Rate Design (Consol)'!$E$48:$E$66,0))</f>
        <v>GS-3</v>
      </c>
      <c r="H35" s="23" t="str">
        <f t="shared" si="3"/>
        <v>General Service - 3</v>
      </c>
      <c r="I35" s="23" t="str">
        <f t="shared" si="17"/>
        <v>CF_FTS21_General Service - 3</v>
      </c>
      <c r="J35" s="61" t="str">
        <f t="shared" si="5"/>
        <v>CFG-CFG - Firm Transportation Service - 2.1 Non-Residential-GS-3</v>
      </c>
      <c r="K35" s="62" t="s">
        <v>257</v>
      </c>
      <c r="L35" s="146">
        <v>2.6315789473684209E-2</v>
      </c>
      <c r="M35" s="146">
        <v>9.9640231302711657E-2</v>
      </c>
      <c r="N35" s="90" t="str">
        <f>VLOOKUP(E35,'Rate Design (Consol)'!D:F,3,FALSE)</f>
        <v>&gt; 5,000 &lt; = 10,000</v>
      </c>
      <c r="O35" s="237">
        <f t="shared" si="0"/>
        <v>6726</v>
      </c>
      <c r="P35" s="148">
        <f t="shared" si="6"/>
        <v>6</v>
      </c>
      <c r="Q35" s="148">
        <f>ROUND(R35/12,0)*12</f>
        <v>72</v>
      </c>
      <c r="R35" s="148">
        <v>73.123455482304308</v>
      </c>
      <c r="S35" s="24">
        <v>40</v>
      </c>
      <c r="T35" s="25"/>
      <c r="U35" s="148">
        <v>40357.274056717528</v>
      </c>
      <c r="V35" s="238">
        <v>0.30826999999999999</v>
      </c>
      <c r="W35" s="25"/>
      <c r="X35" s="131">
        <f>VLOOKUP(CONCATENATE(C35,B35),'G2-7 Summary'!S:W,2,FALSE)</f>
        <v>0.15931999999999996</v>
      </c>
      <c r="Y35" s="131">
        <f>VLOOKUP(CONCATENATE(C35,B35),'G2-7 Summary'!S:W,3,FALSE)</f>
        <v>5.8160000000000003E-2</v>
      </c>
      <c r="Z35" s="131">
        <f>VLOOKUP(CONCATENATE(C35,B35),'G2-7 Summary'!S:W,4,FALSE)</f>
        <v>0</v>
      </c>
      <c r="AA35" s="131">
        <f>VLOOKUP(CONCATENATE(C35,B35),'G2-7 Summary'!S:W,5,FALSE)</f>
        <v>0.19159999999999999</v>
      </c>
      <c r="AB35" s="25"/>
      <c r="AC35" s="149">
        <f t="shared" si="7"/>
        <v>2880</v>
      </c>
      <c r="AD35" s="26">
        <f t="shared" si="1"/>
        <v>12440.936873464312</v>
      </c>
      <c r="AE35" s="26">
        <f t="shared" si="8"/>
        <v>6429.7209027162353</v>
      </c>
      <c r="AF35" s="26"/>
      <c r="AG35" s="26">
        <f t="shared" si="9"/>
        <v>2347.1790591386916</v>
      </c>
      <c r="AH35" s="26">
        <f t="shared" si="10"/>
        <v>0</v>
      </c>
      <c r="AI35" s="26">
        <f t="shared" si="11"/>
        <v>7732.453709267078</v>
      </c>
      <c r="AJ35" s="29">
        <f t="shared" si="2"/>
        <v>31830.290544586314</v>
      </c>
      <c r="AK35" s="27">
        <f t="shared" si="12"/>
        <v>-10079.632768405769</v>
      </c>
      <c r="AL35" s="27">
        <f t="shared" si="13"/>
        <v>21750.657776180546</v>
      </c>
      <c r="AN35" s="27">
        <f>SUMIFS('Rate Design (Consol)'!K:K,'Rate Design (Consol)'!A:A,K35,'Rate Design (Consol)'!D:D,G35)</f>
        <v>150</v>
      </c>
      <c r="AO35" s="23">
        <f>SUMIFS('Rate Design (Consol)'!L:L,'Rate Design (Consol)'!A:A,K35,'Rate Design (Consol)'!D:D,G35)</f>
        <v>0.62475000000000003</v>
      </c>
      <c r="AP35" s="24">
        <f t="shared" si="14"/>
        <v>10800</v>
      </c>
      <c r="AQ35" s="24">
        <f t="shared" si="15"/>
        <v>25213.206966934278</v>
      </c>
      <c r="AR35" s="25">
        <f t="shared" si="16"/>
        <v>36013.206966934275</v>
      </c>
      <c r="AT35" s="53"/>
      <c r="AU35" s="53"/>
      <c r="AV35" s="271"/>
      <c r="AW35" s="199"/>
      <c r="AX35" s="53"/>
      <c r="AY35" s="53"/>
    </row>
    <row r="36" spans="1:51" x14ac:dyDescent="0.25">
      <c r="A36" s="23" t="s">
        <v>172</v>
      </c>
      <c r="B36" s="23" t="s">
        <v>179</v>
      </c>
      <c r="C36" s="23" t="s">
        <v>174</v>
      </c>
      <c r="D36" s="23" t="s">
        <v>92</v>
      </c>
      <c r="E36" s="90" t="str">
        <f>INDEX('Rate Design (Consol)'!$B$48:$B$66,MATCH('G2-8 Summary'!F36,'Rate Design (Consol)'!$C$48:$C$66,0))</f>
        <v>GS-4</v>
      </c>
      <c r="F36" s="23" t="s">
        <v>14</v>
      </c>
      <c r="G36" s="90" t="str">
        <f>INDEX('Rate Design (Consol)'!$D$48:$D$66,MATCH('G2-8 Summary'!H36,'Rate Design (Consol)'!$E$48:$E$66,0))</f>
        <v>GS-4</v>
      </c>
      <c r="H36" s="23" t="str">
        <f t="shared" si="3"/>
        <v>General Service - 4</v>
      </c>
      <c r="I36" s="23" t="str">
        <f t="shared" si="17"/>
        <v>CF_FTS21_General Service - 4</v>
      </c>
      <c r="J36" s="61" t="str">
        <f t="shared" si="5"/>
        <v>CFG-CFG - Firm Transportation Service - 2.1 Non-Residential-GS-4</v>
      </c>
      <c r="K36" s="62" t="s">
        <v>257</v>
      </c>
      <c r="L36" s="146">
        <v>8.771929824561403E-3</v>
      </c>
      <c r="M36" s="146">
        <v>7.9401646157679487E-2</v>
      </c>
      <c r="N36" s="90" t="str">
        <f>VLOOKUP(E36,'Rate Design (Consol)'!D:F,3,FALSE)</f>
        <v>&gt; 10,000 &lt; = 50,000</v>
      </c>
      <c r="O36" s="237">
        <f t="shared" si="0"/>
        <v>16080</v>
      </c>
      <c r="P36" s="148">
        <f t="shared" si="6"/>
        <v>2</v>
      </c>
      <c r="Q36" s="148">
        <f>ROUND(R36/12,0)*12</f>
        <v>24</v>
      </c>
      <c r="R36" s="148">
        <v>24.374485160768103</v>
      </c>
      <c r="S36" s="24">
        <v>40</v>
      </c>
      <c r="T36" s="25"/>
      <c r="U36" s="148">
        <v>32160.041708501896</v>
      </c>
      <c r="V36" s="238">
        <v>0.30826999999999999</v>
      </c>
      <c r="W36" s="25"/>
      <c r="X36" s="131">
        <f>VLOOKUP(CONCATENATE(C36,B36),'G2-7 Summary'!S:W,2,FALSE)</f>
        <v>0.15931999999999996</v>
      </c>
      <c r="Y36" s="131">
        <f>VLOOKUP(CONCATENATE(C36,B36),'G2-7 Summary'!S:W,3,FALSE)</f>
        <v>5.8160000000000003E-2</v>
      </c>
      <c r="Z36" s="131">
        <f>VLOOKUP(CONCATENATE(C36,B36),'G2-7 Summary'!S:W,4,FALSE)</f>
        <v>0</v>
      </c>
      <c r="AA36" s="131">
        <f>VLOOKUP(CONCATENATE(C36,B36),'G2-7 Summary'!S:W,5,FALSE)</f>
        <v>0.19159999999999999</v>
      </c>
      <c r="AB36" s="25"/>
      <c r="AC36" s="149">
        <f t="shared" si="7"/>
        <v>960</v>
      </c>
      <c r="AD36" s="26">
        <f t="shared" si="1"/>
        <v>9913.9760574798784</v>
      </c>
      <c r="AE36" s="26">
        <f t="shared" si="8"/>
        <v>5123.7378449985208</v>
      </c>
      <c r="AF36" s="26"/>
      <c r="AG36" s="26">
        <f t="shared" si="9"/>
        <v>1870.4280257664705</v>
      </c>
      <c r="AH36" s="26">
        <f t="shared" si="10"/>
        <v>0</v>
      </c>
      <c r="AI36" s="26">
        <f t="shared" si="11"/>
        <v>6161.8639913489633</v>
      </c>
      <c r="AJ36" s="29">
        <f t="shared" si="2"/>
        <v>24030.005919593834</v>
      </c>
      <c r="AK36" s="27">
        <f t="shared" si="12"/>
        <v>-8032.2920171154337</v>
      </c>
      <c r="AL36" s="27">
        <f t="shared" si="13"/>
        <v>15997.713902478401</v>
      </c>
      <c r="AN36" s="27">
        <f>SUMIFS('Rate Design (Consol)'!K:K,'Rate Design (Consol)'!A:A,K36,'Rate Design (Consol)'!D:D,G36)</f>
        <v>275</v>
      </c>
      <c r="AO36" s="23">
        <f>SUMIFS('Rate Design (Consol)'!L:L,'Rate Design (Consol)'!A:A,K36,'Rate Design (Consol)'!D:D,G36)</f>
        <v>0.59182999999999997</v>
      </c>
      <c r="AP36" s="24">
        <f t="shared" si="14"/>
        <v>6600</v>
      </c>
      <c r="AQ36" s="24">
        <f t="shared" si="15"/>
        <v>19033.277484342678</v>
      </c>
      <c r="AR36" s="25">
        <f t="shared" si="16"/>
        <v>25633.277484342678</v>
      </c>
      <c r="AT36" s="53"/>
      <c r="AU36" s="53"/>
      <c r="AV36" s="271"/>
      <c r="AW36" s="199"/>
      <c r="AX36" s="53"/>
      <c r="AY36" s="53"/>
    </row>
    <row r="37" spans="1:51" x14ac:dyDescent="0.25">
      <c r="A37" s="23" t="s">
        <v>172</v>
      </c>
      <c r="B37" s="23" t="s">
        <v>179</v>
      </c>
      <c r="C37" s="23" t="s">
        <v>174</v>
      </c>
      <c r="D37" s="23" t="s">
        <v>92</v>
      </c>
      <c r="E37" s="90" t="str">
        <f>INDEX('Rate Design (Consol)'!$B$48:$B$66,MATCH('G2-8 Summary'!F37,'Rate Design (Consol)'!$C$48:$C$66,0))</f>
        <v>GS-1</v>
      </c>
      <c r="F37" s="23" t="s">
        <v>11</v>
      </c>
      <c r="G37" s="90" t="str">
        <f>INDEX('Rate Design (Consol)'!$D$48:$D$66,MATCH('G2-8 Summary'!H37,'Rate Design (Consol)'!$E$48:$E$66,0))</f>
        <v>GS-1</v>
      </c>
      <c r="H37" s="23" t="str">
        <f t="shared" si="3"/>
        <v>General Service - 1</v>
      </c>
      <c r="I37" s="23" t="str">
        <f t="shared" si="17"/>
        <v>CF_FTS21_General Service - 1</v>
      </c>
      <c r="J37" s="61" t="str">
        <f t="shared" si="5"/>
        <v>CFG-CFG - Firm Transportation Service - 2.1 Non-Residential-GS-1</v>
      </c>
      <c r="K37" s="62" t="s">
        <v>257</v>
      </c>
      <c r="L37" s="146">
        <v>0.31578947368421051</v>
      </c>
      <c r="M37" s="146">
        <v>9.2394039161376201E-2</v>
      </c>
      <c r="N37" s="90" t="str">
        <f>VLOOKUP(E37,'Rate Design (Consol)'!D:F,3,FALSE)</f>
        <v>&lt; = 1000</v>
      </c>
      <c r="O37" s="237">
        <f t="shared" si="0"/>
        <v>499</v>
      </c>
      <c r="P37" s="148">
        <f t="shared" si="6"/>
        <v>75</v>
      </c>
      <c r="Q37" s="148">
        <f>ROUND(R37/12,0)*12+24</f>
        <v>900</v>
      </c>
      <c r="R37" s="148">
        <v>877.4814657876517</v>
      </c>
      <c r="S37" s="24">
        <v>40</v>
      </c>
      <c r="T37" s="25"/>
      <c r="U37" s="148">
        <v>37422.349495702889</v>
      </c>
      <c r="V37" s="238">
        <v>0.30826999999999999</v>
      </c>
      <c r="W37" s="25"/>
      <c r="X37" s="131">
        <f>VLOOKUP(CONCATENATE(C37,B37),'G2-7 Summary'!S:W,2,FALSE)</f>
        <v>0.15931999999999996</v>
      </c>
      <c r="Y37" s="131">
        <f>VLOOKUP(CONCATENATE(C37,B37),'G2-7 Summary'!S:W,3,FALSE)</f>
        <v>5.8160000000000003E-2</v>
      </c>
      <c r="Z37" s="131">
        <f>VLOOKUP(CONCATENATE(C37,B37),'G2-7 Summary'!S:W,4,FALSE)</f>
        <v>0</v>
      </c>
      <c r="AA37" s="131">
        <f>VLOOKUP(CONCATENATE(C37,B37),'G2-7 Summary'!S:W,5,FALSE)</f>
        <v>0.19159999999999999</v>
      </c>
      <c r="AB37" s="25"/>
      <c r="AC37" s="149">
        <f t="shared" ref="AC37:AC68" si="34">S37*P37*12</f>
        <v>36000</v>
      </c>
      <c r="AD37" s="26">
        <f t="shared" ref="AD37:AD68" si="35">U37*V37</f>
        <v>11536.187679040329</v>
      </c>
      <c r="AE37" s="26">
        <f t="shared" si="8"/>
        <v>5962.1287216553828</v>
      </c>
      <c r="AF37" s="26"/>
      <c r="AG37" s="26">
        <f t="shared" si="9"/>
        <v>2176.4838466700803</v>
      </c>
      <c r="AH37" s="26">
        <f t="shared" si="10"/>
        <v>0</v>
      </c>
      <c r="AI37" s="26">
        <f t="shared" si="11"/>
        <v>7170.1221633766736</v>
      </c>
      <c r="AJ37" s="29">
        <f t="shared" ref="AJ37:AJ68" si="36">SUM(AC37:AI37)</f>
        <v>62844.922410742474</v>
      </c>
      <c r="AK37" s="27">
        <f t="shared" si="12"/>
        <v>-9346.6060100467548</v>
      </c>
      <c r="AL37" s="27">
        <f t="shared" si="13"/>
        <v>53498.316400695723</v>
      </c>
      <c r="AN37" s="27">
        <f>SUMIFS('Rate Design (Consol)'!K:K,'Rate Design (Consol)'!A:A,K37,'Rate Design (Consol)'!D:D,G37)</f>
        <v>40</v>
      </c>
      <c r="AO37" s="23">
        <f>SUMIFS('Rate Design (Consol)'!L:L,'Rate Design (Consol)'!A:A,K37,'Rate Design (Consol)'!D:D,G37)</f>
        <v>0.70123999999999997</v>
      </c>
      <c r="AP37" s="24">
        <f t="shared" si="14"/>
        <v>36000</v>
      </c>
      <c r="AQ37" s="24">
        <f t="shared" si="15"/>
        <v>26242.048360366694</v>
      </c>
      <c r="AR37" s="25">
        <f t="shared" si="16"/>
        <v>62242.048360366694</v>
      </c>
      <c r="AT37" s="53"/>
      <c r="AU37" s="53"/>
      <c r="AV37" s="271"/>
      <c r="AW37" s="199"/>
      <c r="AX37" s="53"/>
      <c r="AY37" s="53"/>
    </row>
    <row r="38" spans="1:51" x14ac:dyDescent="0.25">
      <c r="A38" s="23" t="s">
        <v>172</v>
      </c>
      <c r="B38" s="23" t="s">
        <v>179</v>
      </c>
      <c r="C38" s="23" t="s">
        <v>174</v>
      </c>
      <c r="D38" s="23" t="s">
        <v>82</v>
      </c>
      <c r="E38" s="90" t="str">
        <f>INDEX('Rate Design (Consol)'!$B$48:$B$66,MATCH('G2-8 Summary'!F38,'Rate Design (Consol)'!$C$48:$C$66,0))</f>
        <v>RES-1</v>
      </c>
      <c r="F38" s="23" t="s">
        <v>8</v>
      </c>
      <c r="G38" s="90" t="str">
        <f>INDEX('Rate Design (Consol)'!$D$48:$D$66,MATCH('G2-8 Summary'!H38,'Rate Design (Consol)'!$E$48:$E$66,0))</f>
        <v>RES-1</v>
      </c>
      <c r="H38" s="23" t="str">
        <f t="shared" si="3"/>
        <v>Residential - 1</v>
      </c>
      <c r="I38" s="23" t="str">
        <f t="shared" si="17"/>
        <v>CF_FTS21_Residential - 1</v>
      </c>
      <c r="J38" s="61" t="str">
        <f t="shared" si="5"/>
        <v>CFG-CFG - Firm Transportation Service - 2.1 Residential-RES-1</v>
      </c>
      <c r="K38" s="62" t="s">
        <v>257</v>
      </c>
      <c r="L38" s="146">
        <v>3.1120331950207469E-2</v>
      </c>
      <c r="M38" s="146">
        <v>1.8417323754457264E-3</v>
      </c>
      <c r="N38" s="90" t="str">
        <f>VLOOKUP(E38,'Rate Design (Consol)'!D:F,3,FALSE)</f>
        <v>&lt; = 100</v>
      </c>
      <c r="O38" s="237">
        <f t="shared" si="0"/>
        <v>55</v>
      </c>
      <c r="P38" s="148">
        <f t="shared" si="6"/>
        <v>14</v>
      </c>
      <c r="Q38" s="148">
        <f>ROUND(R38/12,0)*12</f>
        <v>168</v>
      </c>
      <c r="R38" s="148">
        <v>172.37222659860686</v>
      </c>
      <c r="S38" s="24">
        <v>40</v>
      </c>
      <c r="T38" s="25"/>
      <c r="U38" s="148">
        <v>773.5649090242481</v>
      </c>
      <c r="V38" s="238">
        <v>0.30826999999999999</v>
      </c>
      <c r="W38" s="25"/>
      <c r="X38" s="131">
        <f>VLOOKUP(CONCATENATE(C38,B38),'G2-7 Summary'!S:W,2,FALSE)</f>
        <v>0.15931999999999996</v>
      </c>
      <c r="Y38" s="131">
        <f>VLOOKUP(CONCATENATE(C38,B38),'G2-7 Summary'!S:W,3,FALSE)</f>
        <v>5.8160000000000003E-2</v>
      </c>
      <c r="Z38" s="131">
        <f>VLOOKUP(CONCATENATE(C38,B38),'G2-7 Summary'!S:W,4,FALSE)</f>
        <v>0</v>
      </c>
      <c r="AA38" s="131">
        <f>VLOOKUP(CONCATENATE(C38,B38),'G2-7 Summary'!S:W,5,FALSE)</f>
        <v>0.19159999999999999</v>
      </c>
      <c r="AB38" s="25"/>
      <c r="AC38" s="149">
        <f t="shared" si="34"/>
        <v>6720</v>
      </c>
      <c r="AD38" s="26">
        <f t="shared" si="35"/>
        <v>238.46685450490494</v>
      </c>
      <c r="AE38" s="26">
        <f t="shared" si="8"/>
        <v>123.24436130574318</v>
      </c>
      <c r="AF38" s="26"/>
      <c r="AG38" s="26">
        <f t="shared" si="9"/>
        <v>44.990535108850274</v>
      </c>
      <c r="AH38" s="26">
        <f t="shared" si="10"/>
        <v>0</v>
      </c>
      <c r="AI38" s="26">
        <f t="shared" si="11"/>
        <v>148.21503656904594</v>
      </c>
      <c r="AJ38" s="29">
        <f t="shared" si="36"/>
        <v>7274.9167874885443</v>
      </c>
      <c r="AK38" s="27">
        <f t="shared" si="12"/>
        <v>-193.20557167789622</v>
      </c>
      <c r="AL38" s="27">
        <f t="shared" si="13"/>
        <v>7081.7112158106484</v>
      </c>
      <c r="AN38" s="27">
        <f>SUMIFS('Rate Design (Consol)'!K:K,'Rate Design (Consol)'!A:A,K38,'Rate Design (Consol)'!D:D,G38)</f>
        <v>16.5</v>
      </c>
      <c r="AO38" s="23">
        <f>SUMIFS('Rate Design (Consol)'!L:L,'Rate Design (Consol)'!A:A,K38,'Rate Design (Consol)'!D:D,G38)</f>
        <v>0.65229000000000004</v>
      </c>
      <c r="AP38" s="24">
        <f t="shared" si="14"/>
        <v>2772</v>
      </c>
      <c r="AQ38" s="24">
        <f t="shared" si="15"/>
        <v>504.58865450742684</v>
      </c>
      <c r="AR38" s="25">
        <f t="shared" si="16"/>
        <v>3276.5886545074268</v>
      </c>
      <c r="AT38" s="53"/>
      <c r="AU38" s="53"/>
      <c r="AV38" s="271"/>
      <c r="AW38" s="199"/>
      <c r="AX38" s="53"/>
      <c r="AY38" s="53"/>
    </row>
    <row r="39" spans="1:51" x14ac:dyDescent="0.25">
      <c r="A39" s="23" t="s">
        <v>172</v>
      </c>
      <c r="B39" s="23" t="s">
        <v>179</v>
      </c>
      <c r="C39" s="23" t="s">
        <v>174</v>
      </c>
      <c r="D39" s="23" t="s">
        <v>82</v>
      </c>
      <c r="E39" s="90" t="str">
        <f>INDEX('Rate Design (Consol)'!$B$48:$B$66,MATCH('G2-8 Summary'!F39,'Rate Design (Consol)'!$C$48:$C$66,0))</f>
        <v>RES-3</v>
      </c>
      <c r="F39" s="23" t="s">
        <v>266</v>
      </c>
      <c r="G39" s="90" t="str">
        <f>INDEX('Rate Design (Consol)'!$D$48:$D$66,MATCH('G2-8 Summary'!H39,'Rate Design (Consol)'!$E$48:$E$66,0))</f>
        <v>RES-3</v>
      </c>
      <c r="H39" s="23" t="str">
        <f t="shared" si="3"/>
        <v>Residential - 3</v>
      </c>
      <c r="I39" s="23" t="str">
        <f t="shared" si="17"/>
        <v>CF_FTS21_Residential - 3</v>
      </c>
      <c r="J39" s="61" t="str">
        <f t="shared" si="5"/>
        <v>CFG-CFG - Firm Transportation Service - 2.1 Residential-RES-3</v>
      </c>
      <c r="K39" s="62" t="s">
        <v>257</v>
      </c>
      <c r="L39" s="146">
        <v>0.85892116182572609</v>
      </c>
      <c r="M39" s="146">
        <v>0.97791640202978969</v>
      </c>
      <c r="N39" s="90" t="str">
        <f>VLOOKUP(E39,'Rate Design (Consol)'!D:F,3,FALSE)</f>
        <v>&gt; 250</v>
      </c>
      <c r="O39" s="237">
        <f t="shared" si="0"/>
        <v>1035</v>
      </c>
      <c r="P39" s="148">
        <f t="shared" si="6"/>
        <v>397</v>
      </c>
      <c r="Q39" s="148">
        <f>ROUND(R39/12,0)*12+12</f>
        <v>4764</v>
      </c>
      <c r="R39" s="148">
        <v>4757.4734541215494</v>
      </c>
      <c r="S39" s="24">
        <v>40</v>
      </c>
      <c r="T39" s="25"/>
      <c r="U39" s="148">
        <v>410744.70029143867</v>
      </c>
      <c r="V39" s="238">
        <v>0.30826999999999999</v>
      </c>
      <c r="W39" s="25"/>
      <c r="X39" s="131">
        <f>VLOOKUP(CONCATENATE(C39,B39),'G2-7 Summary'!S:W,2,FALSE)</f>
        <v>0.15931999999999996</v>
      </c>
      <c r="Y39" s="131">
        <f>VLOOKUP(CONCATENATE(C39,B39),'G2-7 Summary'!S:W,3,FALSE)</f>
        <v>5.8160000000000003E-2</v>
      </c>
      <c r="Z39" s="131">
        <f>VLOOKUP(CONCATENATE(C39,B39),'G2-7 Summary'!S:W,4,FALSE)</f>
        <v>0</v>
      </c>
      <c r="AA39" s="131">
        <f>VLOOKUP(CONCATENATE(C39,B39),'G2-7 Summary'!S:W,5,FALSE)</f>
        <v>0.19159999999999999</v>
      </c>
      <c r="AB39" s="25"/>
      <c r="AC39" s="149">
        <f t="shared" si="34"/>
        <v>190560</v>
      </c>
      <c r="AD39" s="26">
        <f t="shared" si="35"/>
        <v>126620.26875884179</v>
      </c>
      <c r="AE39" s="26">
        <f t="shared" si="8"/>
        <v>65439.845650431991</v>
      </c>
      <c r="AF39" s="26"/>
      <c r="AG39" s="26">
        <f t="shared" si="9"/>
        <v>23888.911768950074</v>
      </c>
      <c r="AH39" s="26">
        <f t="shared" si="10"/>
        <v>0</v>
      </c>
      <c r="AI39" s="26">
        <f t="shared" si="11"/>
        <v>78698.684575839652</v>
      </c>
      <c r="AJ39" s="29">
        <f t="shared" si="36"/>
        <v>485207.7107540635</v>
      </c>
      <c r="AK39" s="27">
        <f t="shared" si="12"/>
        <v>-102587.59634478972</v>
      </c>
      <c r="AL39" s="27">
        <f t="shared" si="13"/>
        <v>382620.11440927378</v>
      </c>
      <c r="AN39" s="27">
        <f>SUMIFS('Rate Design (Consol)'!K:K,'Rate Design (Consol)'!A:A,K39,'Rate Design (Consol)'!D:D,G39)</f>
        <v>26.5</v>
      </c>
      <c r="AO39" s="23">
        <f>SUMIFS('Rate Design (Consol)'!L:L,'Rate Design (Consol)'!A:A,K39,'Rate Design (Consol)'!D:D,G39)</f>
        <v>0.65386</v>
      </c>
      <c r="AP39" s="24">
        <f t="shared" si="14"/>
        <v>126246</v>
      </c>
      <c r="AQ39" s="24">
        <f t="shared" si="15"/>
        <v>268569.5297325601</v>
      </c>
      <c r="AR39" s="25">
        <f t="shared" si="16"/>
        <v>394815.5297325601</v>
      </c>
      <c r="AT39" s="53"/>
      <c r="AU39" s="53"/>
      <c r="AV39" s="271"/>
      <c r="AW39" s="199"/>
      <c r="AX39" s="53"/>
      <c r="AY39" s="53"/>
    </row>
    <row r="40" spans="1:51" x14ac:dyDescent="0.25">
      <c r="A40" s="23" t="s">
        <v>172</v>
      </c>
      <c r="B40" s="23" t="s">
        <v>179</v>
      </c>
      <c r="C40" s="23" t="s">
        <v>174</v>
      </c>
      <c r="D40" s="23" t="s">
        <v>82</v>
      </c>
      <c r="E40" s="90" t="str">
        <f>INDEX('Rate Design (Consol)'!$B$48:$B$66,MATCH('G2-8 Summary'!F40,'Rate Design (Consol)'!$C$48:$C$66,0))</f>
        <v>RES-2</v>
      </c>
      <c r="F40" s="23" t="s">
        <v>9</v>
      </c>
      <c r="G40" s="90" t="str">
        <f>INDEX('Rate Design (Consol)'!$D$48:$D$66,MATCH('G2-8 Summary'!H40,'Rate Design (Consol)'!$E$48:$E$66,0))</f>
        <v>RES-2</v>
      </c>
      <c r="H40" s="23" t="str">
        <f t="shared" si="3"/>
        <v>Residential - 2</v>
      </c>
      <c r="I40" s="23" t="str">
        <f t="shared" si="17"/>
        <v>CF_FTS21_Residential - 2</v>
      </c>
      <c r="J40" s="61" t="str">
        <f t="shared" si="5"/>
        <v>CFG-CFG - Firm Transportation Service - 2.1 Residential-RES-2</v>
      </c>
      <c r="K40" s="62" t="s">
        <v>257</v>
      </c>
      <c r="L40" s="146">
        <v>0.10995850622406639</v>
      </c>
      <c r="M40" s="146">
        <v>2.0241865594764558E-2</v>
      </c>
      <c r="N40" s="90" t="str">
        <f>VLOOKUP(E40,'Rate Design (Consol)'!D:F,3,FALSE)</f>
        <v>&gt; 100 &lt; = 250</v>
      </c>
      <c r="O40" s="237">
        <f t="shared" si="0"/>
        <v>167</v>
      </c>
      <c r="P40" s="148">
        <f t="shared" si="6"/>
        <v>51</v>
      </c>
      <c r="Q40" s="148">
        <f>ROUND(R40/12,0)*12</f>
        <v>612</v>
      </c>
      <c r="R40" s="148">
        <v>609.0485339817443</v>
      </c>
      <c r="S40" s="24">
        <v>40</v>
      </c>
      <c r="T40" s="25"/>
      <c r="U40" s="148">
        <v>8501.9936262485153</v>
      </c>
      <c r="V40" s="238">
        <v>0.30826999999999999</v>
      </c>
      <c r="W40" s="25"/>
      <c r="X40" s="131">
        <f>VLOOKUP(CONCATENATE(C40,B40),'G2-7 Summary'!S:W,2,FALSE)</f>
        <v>0.15931999999999996</v>
      </c>
      <c r="Y40" s="131">
        <f>VLOOKUP(CONCATENATE(C40,B40),'G2-7 Summary'!S:W,3,FALSE)</f>
        <v>5.8160000000000003E-2</v>
      </c>
      <c r="Z40" s="131">
        <f>VLOOKUP(CONCATENATE(C40,B40),'G2-7 Summary'!S:W,4,FALSE)</f>
        <v>0</v>
      </c>
      <c r="AA40" s="131">
        <f>VLOOKUP(CONCATENATE(C40,B40),'G2-7 Summary'!S:W,5,FALSE)</f>
        <v>0.19159999999999999</v>
      </c>
      <c r="AB40" s="25"/>
      <c r="AC40" s="149">
        <f t="shared" si="34"/>
        <v>24480</v>
      </c>
      <c r="AD40" s="26">
        <f t="shared" si="35"/>
        <v>2620.9095751636296</v>
      </c>
      <c r="AE40" s="26">
        <f t="shared" si="8"/>
        <v>1354.5376245339132</v>
      </c>
      <c r="AF40" s="26"/>
      <c r="AG40" s="26">
        <f t="shared" si="9"/>
        <v>494.47594930261369</v>
      </c>
      <c r="AH40" s="26">
        <f t="shared" si="10"/>
        <v>0</v>
      </c>
      <c r="AI40" s="26">
        <f t="shared" si="11"/>
        <v>1628.9819787892154</v>
      </c>
      <c r="AJ40" s="29">
        <f t="shared" si="36"/>
        <v>30578.905127789374</v>
      </c>
      <c r="AK40" s="27">
        <f t="shared" si="12"/>
        <v>-2123.4579280918292</v>
      </c>
      <c r="AL40" s="27">
        <f t="shared" si="13"/>
        <v>28455.447199697544</v>
      </c>
      <c r="AN40" s="27">
        <f>SUMIFS('Rate Design (Consol)'!K:K,'Rate Design (Consol)'!A:A,K40,'Rate Design (Consol)'!D:D,G40)</f>
        <v>19.5</v>
      </c>
      <c r="AO40" s="23">
        <f>SUMIFS('Rate Design (Consol)'!L:L,'Rate Design (Consol)'!A:A,K40,'Rate Design (Consol)'!D:D,G40)</f>
        <v>0.65271999999999997</v>
      </c>
      <c r="AP40" s="24">
        <f t="shared" si="14"/>
        <v>11934</v>
      </c>
      <c r="AQ40" s="24">
        <f t="shared" si="15"/>
        <v>5549.4212797249302</v>
      </c>
      <c r="AR40" s="25">
        <f t="shared" si="16"/>
        <v>17483.421279724931</v>
      </c>
      <c r="AT40" s="53"/>
      <c r="AU40" s="53"/>
      <c r="AV40" s="271"/>
      <c r="AW40" s="199"/>
      <c r="AX40" s="53"/>
      <c r="AY40" s="53"/>
    </row>
    <row r="41" spans="1:51" s="90" customFormat="1" x14ac:dyDescent="0.25">
      <c r="A41" s="90" t="s">
        <v>172</v>
      </c>
      <c r="B41" s="90" t="s">
        <v>180</v>
      </c>
      <c r="C41" s="90" t="s">
        <v>174</v>
      </c>
      <c r="D41" s="90" t="s">
        <v>109</v>
      </c>
      <c r="E41" s="90" t="str">
        <f>INDEX('Rate Design (Consol)'!$B$48:$B$66,MATCH('G2-8 Summary'!F41,'Rate Design (Consol)'!$C$48:$C$66,0))</f>
        <v>GS-2</v>
      </c>
      <c r="F41" s="90" t="s">
        <v>12</v>
      </c>
      <c r="G41" s="90" t="str">
        <f>INDEX('Rate Design (Consol)'!$D$48:$D$66,MATCH('G2-8 Summary'!H41,'Rate Design (Consol)'!$E$48:$E$66,0))</f>
        <v>GS-2</v>
      </c>
      <c r="H41" s="90" t="str">
        <f t="shared" si="3"/>
        <v>General Service - 2</v>
      </c>
      <c r="I41" s="90" t="str">
        <f t="shared" ref="I41:I43" si="37">CONCATENATE(C41,"_",B41," ", AV41,"_",H41)</f>
        <v>CF_FTS-3 _General Service - 2</v>
      </c>
      <c r="J41" s="174" t="str">
        <f t="shared" si="5"/>
        <v>CFG-CFG - Firm Transportation Service - 3 (Fixed Non-Residential)-GS-2</v>
      </c>
      <c r="K41" s="240" t="s">
        <v>257</v>
      </c>
      <c r="L41" s="146">
        <v>0.76470588235294112</v>
      </c>
      <c r="M41" s="146">
        <v>0.70406172784533094</v>
      </c>
      <c r="N41" s="90" t="str">
        <f>VLOOKUP(E41,'Rate Design (Consol)'!D:F,3,FALSE)</f>
        <v>&gt; 1000 &lt; = 5,000</v>
      </c>
      <c r="O41" s="237">
        <f t="shared" si="0"/>
        <v>3163</v>
      </c>
      <c r="P41" s="147">
        <f t="shared" si="6"/>
        <v>14</v>
      </c>
      <c r="Q41" s="147">
        <f>ROUND(R41/12,0)*12</f>
        <v>168</v>
      </c>
      <c r="R41" s="147">
        <v>163.66239194137017</v>
      </c>
      <c r="S41" s="151">
        <v>162</v>
      </c>
      <c r="T41" s="118"/>
      <c r="U41" s="147">
        <v>44283.789084112846</v>
      </c>
      <c r="V41" s="72">
        <v>0</v>
      </c>
      <c r="W41" s="118"/>
      <c r="X41" s="131">
        <f>VLOOKUP(CONCATENATE(C41,B41),'G2-7 Summary'!S:W,2,FALSE)</f>
        <v>5.9479999999999998E-2</v>
      </c>
      <c r="Y41" s="131">
        <f>VLOOKUP(CONCATENATE(C41,B41),'G2-7 Summary'!S:W,3,FALSE)</f>
        <v>5.0200000000000009E-2</v>
      </c>
      <c r="Z41" s="131">
        <f>VLOOKUP(CONCATENATE(C41,B41),'G2-7 Summary'!S:W,4,FALSE)</f>
        <v>0</v>
      </c>
      <c r="AA41" s="131">
        <f>VLOOKUP(CONCATENATE(C41,B41),'G2-7 Summary'!S:W,5,FALSE)</f>
        <v>0.15780000000000005</v>
      </c>
      <c r="AB41" s="118"/>
      <c r="AC41" s="149">
        <f t="shared" si="34"/>
        <v>27216</v>
      </c>
      <c r="AD41" s="149">
        <f t="shared" si="35"/>
        <v>0</v>
      </c>
      <c r="AE41" s="149">
        <f t="shared" si="8"/>
        <v>2633.9997747230318</v>
      </c>
      <c r="AF41" s="149"/>
      <c r="AG41" s="149">
        <f t="shared" si="9"/>
        <v>2223.0462120224652</v>
      </c>
      <c r="AH41" s="149">
        <f t="shared" si="10"/>
        <v>0</v>
      </c>
      <c r="AI41" s="149">
        <f t="shared" si="11"/>
        <v>6987.9819174730092</v>
      </c>
      <c r="AJ41" s="119">
        <f t="shared" si="36"/>
        <v>39061.027904218507</v>
      </c>
      <c r="AK41" s="120">
        <f t="shared" si="12"/>
        <v>-9211.0281294954748</v>
      </c>
      <c r="AL41" s="120">
        <f t="shared" si="13"/>
        <v>29849.99977472303</v>
      </c>
      <c r="AN41" s="120">
        <f>SUMIFS('Rate Design (Consol)'!K:K,'Rate Design (Consol)'!A:A,K41,'Rate Design (Consol)'!D:D,G41)</f>
        <v>70</v>
      </c>
      <c r="AO41" s="90">
        <f>SUMIFS('Rate Design (Consol)'!L:L,'Rate Design (Consol)'!A:A,K41,'Rate Design (Consol)'!D:D,G41)</f>
        <v>0.69901999999999997</v>
      </c>
      <c r="AP41" s="151">
        <f t="shared" si="14"/>
        <v>11760</v>
      </c>
      <c r="AQ41" s="151">
        <f t="shared" si="15"/>
        <v>30955.254245576562</v>
      </c>
      <c r="AR41" s="118">
        <f t="shared" si="16"/>
        <v>42715.254245576565</v>
      </c>
      <c r="AS41" s="149"/>
      <c r="AT41" s="206"/>
      <c r="AU41" s="206"/>
      <c r="AV41" s="272"/>
      <c r="AW41" s="201"/>
      <c r="AX41" s="53"/>
      <c r="AY41" s="206"/>
    </row>
    <row r="42" spans="1:51" s="90" customFormat="1" x14ac:dyDescent="0.25">
      <c r="A42" s="90" t="s">
        <v>172</v>
      </c>
      <c r="B42" s="90" t="s">
        <v>180</v>
      </c>
      <c r="C42" s="90" t="s">
        <v>174</v>
      </c>
      <c r="D42" s="90" t="s">
        <v>109</v>
      </c>
      <c r="E42" s="90" t="str">
        <f>INDEX('Rate Design (Consol)'!$B$48:$B$66,MATCH('G2-8 Summary'!F42,'Rate Design (Consol)'!$C$48:$C$66,0))</f>
        <v>GS-3</v>
      </c>
      <c r="F42" s="90" t="s">
        <v>13</v>
      </c>
      <c r="G42" s="90" t="str">
        <f>INDEX('Rate Design (Consol)'!$D$48:$D$66,MATCH('G2-8 Summary'!H42,'Rate Design (Consol)'!$E$48:$E$66,0))</f>
        <v>GS-3</v>
      </c>
      <c r="H42" s="90" t="str">
        <f t="shared" si="3"/>
        <v>General Service - 3</v>
      </c>
      <c r="I42" s="90" t="str">
        <f t="shared" si="37"/>
        <v>CF_FTS-3 _General Service - 3</v>
      </c>
      <c r="J42" s="174" t="str">
        <f t="shared" si="5"/>
        <v>CFG-CFG - Firm Transportation Service - 3 (Fixed Non-Residential)-GS-3</v>
      </c>
      <c r="K42" s="240" t="s">
        <v>257</v>
      </c>
      <c r="L42" s="146">
        <v>0.17647058823529413</v>
      </c>
      <c r="M42" s="146">
        <v>0.29415647208964107</v>
      </c>
      <c r="N42" s="90" t="str">
        <f>VLOOKUP(E42,'Rate Design (Consol)'!D:F,3,FALSE)</f>
        <v>&gt; 5,000 &lt; = 10,000</v>
      </c>
      <c r="O42" s="237">
        <f t="shared" si="0"/>
        <v>6167</v>
      </c>
      <c r="P42" s="147">
        <f t="shared" si="6"/>
        <v>3</v>
      </c>
      <c r="Q42" s="147">
        <f>ROUND(R42/12,0)*12</f>
        <v>36</v>
      </c>
      <c r="R42" s="147">
        <v>37.768244294162351</v>
      </c>
      <c r="S42" s="151">
        <v>162</v>
      </c>
      <c r="T42" s="118"/>
      <c r="U42" s="147">
        <v>18501.734510707614</v>
      </c>
      <c r="V42" s="72">
        <v>0</v>
      </c>
      <c r="W42" s="118"/>
      <c r="X42" s="131">
        <f>VLOOKUP(CONCATENATE(C42,B42),'G2-7 Summary'!S:W,2,FALSE)</f>
        <v>5.9479999999999998E-2</v>
      </c>
      <c r="Y42" s="131">
        <f>VLOOKUP(CONCATENATE(C42,B42),'G2-7 Summary'!S:W,3,FALSE)</f>
        <v>5.0200000000000009E-2</v>
      </c>
      <c r="Z42" s="131">
        <f>VLOOKUP(CONCATENATE(C42,B42),'G2-7 Summary'!S:W,4,FALSE)</f>
        <v>0</v>
      </c>
      <c r="AA42" s="131">
        <f>VLOOKUP(CONCATENATE(C42,B42),'G2-7 Summary'!S:W,5,FALSE)</f>
        <v>0.15780000000000005</v>
      </c>
      <c r="AB42" s="118"/>
      <c r="AC42" s="149">
        <f t="shared" si="34"/>
        <v>5832</v>
      </c>
      <c r="AD42" s="149">
        <f t="shared" si="35"/>
        <v>0</v>
      </c>
      <c r="AE42" s="149">
        <f t="shared" si="8"/>
        <v>1100.4831686968889</v>
      </c>
      <c r="AF42" s="149"/>
      <c r="AG42" s="149">
        <f t="shared" si="9"/>
        <v>928.7870724375224</v>
      </c>
      <c r="AH42" s="149">
        <f t="shared" si="10"/>
        <v>0</v>
      </c>
      <c r="AI42" s="149">
        <f t="shared" si="11"/>
        <v>2919.5737057896627</v>
      </c>
      <c r="AJ42" s="119">
        <f t="shared" si="36"/>
        <v>10780.843946924075</v>
      </c>
      <c r="AK42" s="120">
        <f t="shared" si="12"/>
        <v>-3848.3607782271852</v>
      </c>
      <c r="AL42" s="120">
        <f t="shared" si="13"/>
        <v>6932.4831686968901</v>
      </c>
      <c r="AN42" s="120">
        <f>SUMIFS('Rate Design (Consol)'!K:K,'Rate Design (Consol)'!A:A,K42,'Rate Design (Consol)'!D:D,G42)</f>
        <v>150</v>
      </c>
      <c r="AO42" s="90">
        <f>SUMIFS('Rate Design (Consol)'!L:L,'Rate Design (Consol)'!A:A,K42,'Rate Design (Consol)'!D:D,G42)</f>
        <v>0.62475000000000003</v>
      </c>
      <c r="AP42" s="151">
        <f t="shared" si="14"/>
        <v>5400</v>
      </c>
      <c r="AQ42" s="151">
        <f t="shared" si="15"/>
        <v>11558.958635564582</v>
      </c>
      <c r="AR42" s="118">
        <f t="shared" si="16"/>
        <v>16958.958635564581</v>
      </c>
      <c r="AS42" s="149"/>
      <c r="AT42" s="206"/>
      <c r="AU42" s="206"/>
      <c r="AV42" s="272"/>
      <c r="AW42" s="201"/>
      <c r="AX42" s="53"/>
      <c r="AY42" s="206"/>
    </row>
    <row r="43" spans="1:51" s="90" customFormat="1" x14ac:dyDescent="0.25">
      <c r="A43" s="90" t="s">
        <v>172</v>
      </c>
      <c r="B43" s="90" t="s">
        <v>180</v>
      </c>
      <c r="C43" s="90" t="s">
        <v>174</v>
      </c>
      <c r="D43" s="90" t="s">
        <v>109</v>
      </c>
      <c r="E43" s="90" t="str">
        <f>INDEX('Rate Design (Consol)'!$B$48:$B$66,MATCH('G2-8 Summary'!F43,'Rate Design (Consol)'!$C$48:$C$66,0))</f>
        <v>GS-1</v>
      </c>
      <c r="F43" s="90" t="s">
        <v>11</v>
      </c>
      <c r="G43" s="90" t="str">
        <f>INDEX('Rate Design (Consol)'!$D$48:$D$66,MATCH('G2-8 Summary'!H43,'Rate Design (Consol)'!$E$48:$E$66,0))</f>
        <v>GS-1</v>
      </c>
      <c r="H43" s="90" t="str">
        <f t="shared" si="3"/>
        <v>General Service - 1</v>
      </c>
      <c r="I43" s="90" t="str">
        <f t="shared" si="37"/>
        <v>CF_FTS-3 _General Service - 1</v>
      </c>
      <c r="J43" s="174" t="str">
        <f t="shared" si="5"/>
        <v>CFG-CFG - Firm Transportation Service - 3 (Fixed Non-Residential)-GS-1</v>
      </c>
      <c r="K43" s="240" t="s">
        <v>257</v>
      </c>
      <c r="L43" s="146">
        <v>5.8823529411764705E-2</v>
      </c>
      <c r="M43" s="146">
        <v>1.7818000650279729E-3</v>
      </c>
      <c r="N43" s="90" t="str">
        <f>VLOOKUP(E43,'Rate Design (Consol)'!D:F,3,FALSE)</f>
        <v>&lt; = 1000</v>
      </c>
      <c r="O43" s="237">
        <f t="shared" si="0"/>
        <v>112</v>
      </c>
      <c r="P43" s="147">
        <f t="shared" si="6"/>
        <v>1</v>
      </c>
      <c r="Q43" s="147">
        <f>ROUND(R43/12,0)*12</f>
        <v>12</v>
      </c>
      <c r="R43" s="147">
        <v>12.589414764720782</v>
      </c>
      <c r="S43" s="151">
        <v>162</v>
      </c>
      <c r="T43" s="118"/>
      <c r="U43" s="147">
        <v>112.07093802873376</v>
      </c>
      <c r="V43" s="72">
        <v>0</v>
      </c>
      <c r="W43" s="118"/>
      <c r="X43" s="131">
        <f>VLOOKUP(CONCATENATE(C43,B43),'G2-7 Summary'!S:W,2,FALSE)</f>
        <v>5.9479999999999998E-2</v>
      </c>
      <c r="Y43" s="131">
        <f>VLOOKUP(CONCATENATE(C43,B43),'G2-7 Summary'!S:W,3,FALSE)</f>
        <v>5.0200000000000009E-2</v>
      </c>
      <c r="Z43" s="131">
        <f>VLOOKUP(CONCATENATE(C43,B43),'G2-7 Summary'!S:W,4,FALSE)</f>
        <v>0</v>
      </c>
      <c r="AA43" s="131">
        <f>VLOOKUP(CONCATENATE(C43,B43),'G2-7 Summary'!S:W,5,FALSE)</f>
        <v>0.15780000000000005</v>
      </c>
      <c r="AB43" s="118"/>
      <c r="AC43" s="149">
        <f t="shared" si="34"/>
        <v>1944</v>
      </c>
      <c r="AD43" s="149">
        <f t="shared" si="35"/>
        <v>0</v>
      </c>
      <c r="AE43" s="149">
        <f t="shared" si="8"/>
        <v>6.6659793939490841</v>
      </c>
      <c r="AF43" s="149"/>
      <c r="AG43" s="149">
        <f t="shared" si="9"/>
        <v>5.6259610890424359</v>
      </c>
      <c r="AH43" s="149">
        <f t="shared" si="10"/>
        <v>0</v>
      </c>
      <c r="AI43" s="149">
        <f t="shared" si="11"/>
        <v>17.684794020934195</v>
      </c>
      <c r="AJ43" s="119">
        <f t="shared" si="36"/>
        <v>1973.9767345039259</v>
      </c>
      <c r="AK43" s="120">
        <f t="shared" si="12"/>
        <v>-23.310755109976633</v>
      </c>
      <c r="AL43" s="120">
        <f t="shared" si="13"/>
        <v>1950.6659793939493</v>
      </c>
      <c r="AN43" s="120">
        <f>SUMIFS('Rate Design (Consol)'!K:K,'Rate Design (Consol)'!A:A,K43,'Rate Design (Consol)'!D:D,G43)</f>
        <v>40</v>
      </c>
      <c r="AO43" s="90">
        <f>SUMIFS('Rate Design (Consol)'!L:L,'Rate Design (Consol)'!A:A,K43,'Rate Design (Consol)'!D:D,G43)</f>
        <v>0.70123999999999997</v>
      </c>
      <c r="AP43" s="151">
        <f t="shared" si="14"/>
        <v>480</v>
      </c>
      <c r="AQ43" s="151">
        <f t="shared" si="15"/>
        <v>78.588624583269265</v>
      </c>
      <c r="AR43" s="118">
        <f t="shared" si="16"/>
        <v>558.58862458326928</v>
      </c>
      <c r="AS43" s="149"/>
      <c r="AT43" s="206"/>
      <c r="AU43" s="206"/>
      <c r="AV43" s="272"/>
      <c r="AW43" s="201"/>
      <c r="AX43" s="53"/>
      <c r="AY43" s="206"/>
    </row>
    <row r="44" spans="1:51" x14ac:dyDescent="0.25">
      <c r="A44" s="23" t="s">
        <v>172</v>
      </c>
      <c r="B44" s="23" t="s">
        <v>180</v>
      </c>
      <c r="C44" s="23" t="s">
        <v>174</v>
      </c>
      <c r="D44" s="23" t="s">
        <v>97</v>
      </c>
      <c r="E44" s="90" t="str">
        <f>INDEX('Rate Design (Consol)'!$B$48:$B$66,MATCH('G2-8 Summary'!F44,'Rate Design (Consol)'!$C$48:$C$66,0))</f>
        <v>GS-2</v>
      </c>
      <c r="F44" s="23" t="s">
        <v>12</v>
      </c>
      <c r="G44" s="90" t="str">
        <f>INDEX('Rate Design (Consol)'!$D$48:$D$66,MATCH('G2-8 Summary'!H44,'Rate Design (Consol)'!$E$48:$E$66,0))</f>
        <v>GS-2</v>
      </c>
      <c r="H44" s="23" t="str">
        <f t="shared" si="3"/>
        <v>General Service - 2</v>
      </c>
      <c r="I44" s="23" t="str">
        <f t="shared" si="17"/>
        <v>CF_FTS-3_General Service - 2</v>
      </c>
      <c r="J44" s="61" t="str">
        <f t="shared" si="5"/>
        <v>CFG-CFG - Firm Transportation Service - 3 Non-Residential-GS-2</v>
      </c>
      <c r="K44" s="62" t="s">
        <v>257</v>
      </c>
      <c r="L44" s="146">
        <v>0.71043771043771042</v>
      </c>
      <c r="M44" s="146">
        <v>0.62186835732222134</v>
      </c>
      <c r="N44" s="90" t="str">
        <f>VLOOKUP(E44,'Rate Design (Consol)'!D:F,3,FALSE)</f>
        <v>&gt; 1000 &lt; = 5,000</v>
      </c>
      <c r="O44" s="237">
        <f t="shared" si="0"/>
        <v>3338</v>
      </c>
      <c r="P44" s="148">
        <f t="shared" si="6"/>
        <v>216</v>
      </c>
      <c r="Q44" s="148">
        <f>ROUND(R44/12,0)*12</f>
        <v>2592</v>
      </c>
      <c r="R44" s="148">
        <v>2596.7986274663263</v>
      </c>
      <c r="S44" s="24">
        <v>108</v>
      </c>
      <c r="T44" s="25"/>
      <c r="U44" s="148">
        <v>720942.78475482529</v>
      </c>
      <c r="V44" s="238">
        <v>0.24102000000000001</v>
      </c>
      <c r="W44" s="25"/>
      <c r="X44" s="131">
        <f>VLOOKUP(CONCATENATE(C44,B44),'G2-7 Summary'!S:W,2,FALSE)</f>
        <v>5.9479999999999998E-2</v>
      </c>
      <c r="Y44" s="131">
        <f>VLOOKUP(CONCATENATE(C44,B44),'G2-7 Summary'!S:W,3,FALSE)</f>
        <v>5.0200000000000009E-2</v>
      </c>
      <c r="Z44" s="131">
        <f>VLOOKUP(CONCATENATE(C44,B44),'G2-7 Summary'!S:W,4,FALSE)</f>
        <v>0</v>
      </c>
      <c r="AA44" s="131">
        <f>VLOOKUP(CONCATENATE(C44,B44),'G2-7 Summary'!S:W,5,FALSE)</f>
        <v>0.15780000000000005</v>
      </c>
      <c r="AB44" s="25"/>
      <c r="AC44" s="149">
        <f t="shared" si="34"/>
        <v>279936</v>
      </c>
      <c r="AD44" s="26">
        <f t="shared" si="35"/>
        <v>173761.62998160801</v>
      </c>
      <c r="AE44" s="26">
        <f t="shared" si="8"/>
        <v>42881.676837217005</v>
      </c>
      <c r="AF44" s="26"/>
      <c r="AG44" s="26">
        <f t="shared" si="9"/>
        <v>36191.327794692239</v>
      </c>
      <c r="AH44" s="26">
        <f t="shared" si="10"/>
        <v>0</v>
      </c>
      <c r="AI44" s="26">
        <f t="shared" si="11"/>
        <v>113764.77143431146</v>
      </c>
      <c r="AJ44" s="29">
        <f t="shared" si="36"/>
        <v>646535.40604782873</v>
      </c>
      <c r="AK44" s="27">
        <f t="shared" si="12"/>
        <v>-149956.09922900371</v>
      </c>
      <c r="AL44" s="27">
        <f t="shared" si="13"/>
        <v>496579.30681882502</v>
      </c>
      <c r="AN44" s="27">
        <f>SUMIFS('Rate Design (Consol)'!K:K,'Rate Design (Consol)'!A:A,K44,'Rate Design (Consol)'!D:D,G44)</f>
        <v>70</v>
      </c>
      <c r="AO44" s="23">
        <f>SUMIFS('Rate Design (Consol)'!L:L,'Rate Design (Consol)'!A:A,K44,'Rate Design (Consol)'!D:D,G44)</f>
        <v>0.69901999999999997</v>
      </c>
      <c r="AP44" s="24">
        <f t="shared" si="14"/>
        <v>181440</v>
      </c>
      <c r="AQ44" s="24">
        <f t="shared" si="15"/>
        <v>503953.42539931793</v>
      </c>
      <c r="AR44" s="25">
        <f t="shared" si="16"/>
        <v>685393.42539931787</v>
      </c>
      <c r="AT44" s="53"/>
      <c r="AU44" s="53"/>
      <c r="AV44" s="271"/>
      <c r="AW44" s="199"/>
      <c r="AX44" s="53"/>
      <c r="AY44" s="53"/>
    </row>
    <row r="45" spans="1:51" x14ac:dyDescent="0.25">
      <c r="A45" s="23" t="s">
        <v>172</v>
      </c>
      <c r="B45" s="23" t="s">
        <v>180</v>
      </c>
      <c r="C45" s="23" t="s">
        <v>174</v>
      </c>
      <c r="D45" s="23" t="s">
        <v>97</v>
      </c>
      <c r="E45" s="90" t="str">
        <f>INDEX('Rate Design (Consol)'!$B$48:$B$66,MATCH('G2-8 Summary'!F45,'Rate Design (Consol)'!$C$48:$C$66,0))</f>
        <v>GS-3</v>
      </c>
      <c r="F45" s="23" t="s">
        <v>13</v>
      </c>
      <c r="G45" s="90" t="str">
        <f>INDEX('Rate Design (Consol)'!$D$48:$D$66,MATCH('G2-8 Summary'!H45,'Rate Design (Consol)'!$E$48:$E$66,0))</f>
        <v>GS-3</v>
      </c>
      <c r="H45" s="23" t="str">
        <f t="shared" si="3"/>
        <v>General Service - 3</v>
      </c>
      <c r="I45" s="23" t="str">
        <f t="shared" si="17"/>
        <v>CF_FTS-3_General Service - 3</v>
      </c>
      <c r="J45" s="61" t="str">
        <f t="shared" si="5"/>
        <v>CFG-CFG - Firm Transportation Service - 3 Non-Residential-GS-3</v>
      </c>
      <c r="K45" s="62" t="s">
        <v>257</v>
      </c>
      <c r="L45" s="146">
        <v>0.2053872053872054</v>
      </c>
      <c r="M45" s="146">
        <v>0.34894127846633988</v>
      </c>
      <c r="N45" s="90" t="str">
        <f>VLOOKUP(E45,'Rate Design (Consol)'!D:F,3,FALSE)</f>
        <v>&gt; 5,000 &lt; = 10,000</v>
      </c>
      <c r="O45" s="237">
        <f t="shared" si="0"/>
        <v>6525</v>
      </c>
      <c r="P45" s="148">
        <f t="shared" si="6"/>
        <v>62</v>
      </c>
      <c r="Q45" s="148">
        <f>ROUND(R45/12,0)*12-12</f>
        <v>744</v>
      </c>
      <c r="R45" s="148">
        <v>750.73325249026504</v>
      </c>
      <c r="S45" s="24">
        <v>108</v>
      </c>
      <c r="T45" s="25"/>
      <c r="U45" s="148">
        <v>404533.68313622469</v>
      </c>
      <c r="V45" s="238">
        <v>0.24102000000000001</v>
      </c>
      <c r="W45" s="25"/>
      <c r="X45" s="131">
        <f>VLOOKUP(CONCATENATE(C45,B45),'G2-7 Summary'!S:W,2,FALSE)</f>
        <v>5.9479999999999998E-2</v>
      </c>
      <c r="Y45" s="131">
        <f>VLOOKUP(CONCATENATE(C45,B45),'G2-7 Summary'!S:W,3,FALSE)</f>
        <v>5.0200000000000009E-2</v>
      </c>
      <c r="Z45" s="131">
        <f>VLOOKUP(CONCATENATE(C45,B45),'G2-7 Summary'!S:W,4,FALSE)</f>
        <v>0</v>
      </c>
      <c r="AA45" s="131">
        <f>VLOOKUP(CONCATENATE(C45,B45),'G2-7 Summary'!S:W,5,FALSE)</f>
        <v>0.15780000000000005</v>
      </c>
      <c r="AB45" s="25"/>
      <c r="AC45" s="149">
        <f t="shared" si="34"/>
        <v>80352</v>
      </c>
      <c r="AD45" s="26">
        <f t="shared" si="35"/>
        <v>97500.708309492882</v>
      </c>
      <c r="AE45" s="26">
        <f t="shared" si="8"/>
        <v>24061.663472942644</v>
      </c>
      <c r="AF45" s="26"/>
      <c r="AG45" s="26">
        <f t="shared" si="9"/>
        <v>20307.590893438482</v>
      </c>
      <c r="AH45" s="26">
        <f t="shared" si="10"/>
        <v>0</v>
      </c>
      <c r="AI45" s="26">
        <f t="shared" si="11"/>
        <v>63835.415198896277</v>
      </c>
      <c r="AJ45" s="29">
        <f t="shared" si="36"/>
        <v>286057.37787477026</v>
      </c>
      <c r="AK45" s="27">
        <f t="shared" si="12"/>
        <v>-84143.006092334763</v>
      </c>
      <c r="AL45" s="27">
        <f t="shared" si="13"/>
        <v>201914.37178243551</v>
      </c>
      <c r="AN45" s="27">
        <f>SUMIFS('Rate Design (Consol)'!K:K,'Rate Design (Consol)'!A:A,K45,'Rate Design (Consol)'!D:D,G45)</f>
        <v>150</v>
      </c>
      <c r="AO45" s="23">
        <f>SUMIFS('Rate Design (Consol)'!L:L,'Rate Design (Consol)'!A:A,K45,'Rate Design (Consol)'!D:D,G45)</f>
        <v>0.62475000000000003</v>
      </c>
      <c r="AP45" s="24">
        <f t="shared" si="14"/>
        <v>111600</v>
      </c>
      <c r="AQ45" s="24">
        <f t="shared" si="15"/>
        <v>252732.41853935638</v>
      </c>
      <c r="AR45" s="25">
        <f t="shared" si="16"/>
        <v>364332.41853935638</v>
      </c>
      <c r="AT45" s="53"/>
      <c r="AU45" s="53"/>
      <c r="AV45" s="271"/>
      <c r="AW45" s="199"/>
      <c r="AX45" s="53"/>
      <c r="AY45" s="53"/>
    </row>
    <row r="46" spans="1:51" x14ac:dyDescent="0.25">
      <c r="A46" s="23" t="s">
        <v>172</v>
      </c>
      <c r="B46" s="23" t="s">
        <v>180</v>
      </c>
      <c r="C46" s="23" t="s">
        <v>174</v>
      </c>
      <c r="D46" s="23" t="s">
        <v>97</v>
      </c>
      <c r="E46" s="90" t="str">
        <f>INDEX('Rate Design (Consol)'!$B$48:$B$66,MATCH('G2-8 Summary'!F46,'Rate Design (Consol)'!$C$48:$C$66,0))</f>
        <v>GS-4</v>
      </c>
      <c r="F46" s="23" t="s">
        <v>14</v>
      </c>
      <c r="G46" s="90" t="str">
        <f>INDEX('Rate Design (Consol)'!$D$48:$D$66,MATCH('G2-8 Summary'!H46,'Rate Design (Consol)'!$E$48:$E$66,0))</f>
        <v>GS-4</v>
      </c>
      <c r="H46" s="23" t="str">
        <f t="shared" si="3"/>
        <v>General Service - 4</v>
      </c>
      <c r="I46" s="23" t="str">
        <f t="shared" si="17"/>
        <v>CF_FTS-3_General Service - 4</v>
      </c>
      <c r="J46" s="61" t="str">
        <f t="shared" si="5"/>
        <v>CFG-CFG - Firm Transportation Service - 3 Non-Residential-GS-4</v>
      </c>
      <c r="K46" s="62" t="s">
        <v>257</v>
      </c>
      <c r="L46" s="146">
        <v>6.7340067340067337E-3</v>
      </c>
      <c r="M46" s="146">
        <v>2.0026100080087046E-2</v>
      </c>
      <c r="N46" s="90" t="str">
        <f>VLOOKUP(E46,'Rate Design (Consol)'!D:F,3,FALSE)</f>
        <v>&gt; 10,000 &lt; = 50,000</v>
      </c>
      <c r="O46" s="237">
        <f t="shared" si="0"/>
        <v>11608</v>
      </c>
      <c r="P46" s="148">
        <f t="shared" si="6"/>
        <v>2</v>
      </c>
      <c r="Q46" s="148">
        <f t="shared" ref="Q46:Q69" si="38">ROUND(R46/12,0)*12</f>
        <v>24</v>
      </c>
      <c r="R46" s="148">
        <v>24.614204999680819</v>
      </c>
      <c r="S46" s="24">
        <v>108</v>
      </c>
      <c r="T46" s="25"/>
      <c r="U46" s="148">
        <v>23216.605555693033</v>
      </c>
      <c r="V46" s="238">
        <v>0.24102000000000001</v>
      </c>
      <c r="W46" s="25"/>
      <c r="X46" s="131">
        <f>VLOOKUP(CONCATENATE(C46,B46),'G2-7 Summary'!S:W,2,FALSE)</f>
        <v>5.9479999999999998E-2</v>
      </c>
      <c r="Y46" s="131">
        <f>VLOOKUP(CONCATENATE(C46,B46),'G2-7 Summary'!S:W,3,FALSE)</f>
        <v>5.0200000000000009E-2</v>
      </c>
      <c r="Z46" s="131">
        <f>VLOOKUP(CONCATENATE(C46,B46),'G2-7 Summary'!S:W,4,FALSE)</f>
        <v>0</v>
      </c>
      <c r="AA46" s="131">
        <f>VLOOKUP(CONCATENATE(C46,B46),'G2-7 Summary'!S:W,5,FALSE)</f>
        <v>0.15780000000000005</v>
      </c>
      <c r="AB46" s="25"/>
      <c r="AC46" s="149">
        <f t="shared" si="34"/>
        <v>2592</v>
      </c>
      <c r="AD46" s="26">
        <f t="shared" si="35"/>
        <v>5595.6662710331348</v>
      </c>
      <c r="AE46" s="26">
        <f t="shared" si="8"/>
        <v>1380.9236984526215</v>
      </c>
      <c r="AF46" s="26"/>
      <c r="AG46" s="26">
        <f t="shared" si="9"/>
        <v>1165.4735988957905</v>
      </c>
      <c r="AH46" s="26">
        <f t="shared" si="10"/>
        <v>0</v>
      </c>
      <c r="AI46" s="26">
        <f t="shared" si="11"/>
        <v>3663.5803566883619</v>
      </c>
      <c r="AJ46" s="29">
        <f t="shared" si="36"/>
        <v>14397.64392506991</v>
      </c>
      <c r="AK46" s="27">
        <f t="shared" si="12"/>
        <v>-4829.0539555841524</v>
      </c>
      <c r="AL46" s="27">
        <f t="shared" si="13"/>
        <v>9568.589969485758</v>
      </c>
      <c r="AN46" s="27">
        <f>SUMIFS('Rate Design (Consol)'!K:K,'Rate Design (Consol)'!A:A,K46,'Rate Design (Consol)'!D:D,G46)</f>
        <v>275</v>
      </c>
      <c r="AO46" s="23">
        <f>SUMIFS('Rate Design (Consol)'!L:L,'Rate Design (Consol)'!A:A,K46,'Rate Design (Consol)'!D:D,G46)</f>
        <v>0.59182999999999997</v>
      </c>
      <c r="AP46" s="24">
        <f t="shared" si="14"/>
        <v>6600</v>
      </c>
      <c r="AQ46" s="24">
        <f t="shared" si="15"/>
        <v>13740.283666025807</v>
      </c>
      <c r="AR46" s="25">
        <f t="shared" si="16"/>
        <v>20340.283666025807</v>
      </c>
      <c r="AT46" s="53"/>
      <c r="AU46" s="53"/>
      <c r="AV46" s="271"/>
      <c r="AW46" s="199"/>
      <c r="AX46" s="53"/>
      <c r="AY46" s="53"/>
    </row>
    <row r="47" spans="1:51" x14ac:dyDescent="0.25">
      <c r="A47" s="23" t="s">
        <v>172</v>
      </c>
      <c r="B47" s="23" t="s">
        <v>180</v>
      </c>
      <c r="C47" s="23" t="s">
        <v>174</v>
      </c>
      <c r="D47" s="23" t="s">
        <v>97</v>
      </c>
      <c r="E47" s="90" t="str">
        <f>INDEX('Rate Design (Consol)'!$B$48:$B$66,MATCH('G2-8 Summary'!F47,'Rate Design (Consol)'!$C$48:$C$66,0))</f>
        <v>GS-1</v>
      </c>
      <c r="F47" s="23" t="s">
        <v>11</v>
      </c>
      <c r="G47" s="90" t="str">
        <f>INDEX('Rate Design (Consol)'!$D$48:$D$66,MATCH('G2-8 Summary'!H47,'Rate Design (Consol)'!$E$48:$E$66,0))</f>
        <v>GS-1</v>
      </c>
      <c r="H47" s="23" t="str">
        <f t="shared" si="3"/>
        <v>General Service - 1</v>
      </c>
      <c r="I47" s="23" t="str">
        <f t="shared" si="17"/>
        <v>CF_FTS-3_General Service - 1</v>
      </c>
      <c r="J47" s="61" t="str">
        <f t="shared" si="5"/>
        <v>CFG-CFG - Firm Transportation Service - 3 Non-Residential-GS-1</v>
      </c>
      <c r="K47" s="62" t="s">
        <v>257</v>
      </c>
      <c r="L47" s="146">
        <v>7.7441077441077436E-2</v>
      </c>
      <c r="M47" s="146">
        <v>9.1642641313518687E-3</v>
      </c>
      <c r="N47" s="90" t="str">
        <f>VLOOKUP(E47,'Rate Design (Consol)'!D:F,3,FALSE)</f>
        <v>&lt; = 1000</v>
      </c>
      <c r="O47" s="237">
        <f t="shared" si="0"/>
        <v>443</v>
      </c>
      <c r="P47" s="148">
        <f t="shared" si="6"/>
        <v>24</v>
      </c>
      <c r="Q47" s="148">
        <f t="shared" si="38"/>
        <v>288</v>
      </c>
      <c r="R47" s="148">
        <v>283.06335749632939</v>
      </c>
      <c r="S47" s="24">
        <v>108</v>
      </c>
      <c r="T47" s="25"/>
      <c r="U47" s="148">
        <v>10624.290535596754</v>
      </c>
      <c r="V47" s="238">
        <v>0.24102000000000001</v>
      </c>
      <c r="W47" s="25"/>
      <c r="X47" s="131">
        <f>VLOOKUP(CONCATENATE(C47,B47),'G2-7 Summary'!S:W,2,FALSE)</f>
        <v>5.9479999999999998E-2</v>
      </c>
      <c r="Y47" s="131">
        <f>VLOOKUP(CONCATENATE(C47,B47),'G2-7 Summary'!S:W,3,FALSE)</f>
        <v>5.0200000000000009E-2</v>
      </c>
      <c r="Z47" s="131">
        <f>VLOOKUP(CONCATENATE(C47,B47),'G2-7 Summary'!S:W,4,FALSE)</f>
        <v>0</v>
      </c>
      <c r="AA47" s="131">
        <f>VLOOKUP(CONCATENATE(C47,B47),'G2-7 Summary'!S:W,5,FALSE)</f>
        <v>0.15780000000000005</v>
      </c>
      <c r="AB47" s="25"/>
      <c r="AC47" s="149">
        <f t="shared" si="34"/>
        <v>31104</v>
      </c>
      <c r="AD47" s="26">
        <f t="shared" si="35"/>
        <v>2560.6665048895297</v>
      </c>
      <c r="AE47" s="26">
        <f t="shared" si="8"/>
        <v>631.93280105729491</v>
      </c>
      <c r="AF47" s="26"/>
      <c r="AG47" s="26">
        <f t="shared" si="9"/>
        <v>533.33938488695719</v>
      </c>
      <c r="AH47" s="26">
        <f t="shared" si="10"/>
        <v>0</v>
      </c>
      <c r="AI47" s="26">
        <f t="shared" si="11"/>
        <v>1676.5130465171683</v>
      </c>
      <c r="AJ47" s="29">
        <f t="shared" si="36"/>
        <v>36506.451737350952</v>
      </c>
      <c r="AK47" s="27">
        <f t="shared" si="12"/>
        <v>-2209.8524314041256</v>
      </c>
      <c r="AL47" s="27">
        <f t="shared" si="13"/>
        <v>34296.599305946824</v>
      </c>
      <c r="AN47" s="27">
        <f>SUMIFS('Rate Design (Consol)'!K:K,'Rate Design (Consol)'!A:A,K47,'Rate Design (Consol)'!D:D,G47)</f>
        <v>40</v>
      </c>
      <c r="AO47" s="23">
        <f>SUMIFS('Rate Design (Consol)'!L:L,'Rate Design (Consol)'!A:A,K47,'Rate Design (Consol)'!D:D,G47)</f>
        <v>0.70123999999999997</v>
      </c>
      <c r="AP47" s="24">
        <f t="shared" si="14"/>
        <v>11520</v>
      </c>
      <c r="AQ47" s="24">
        <f t="shared" si="15"/>
        <v>7450.1774951818679</v>
      </c>
      <c r="AR47" s="25">
        <f t="shared" si="16"/>
        <v>18970.177495181866</v>
      </c>
      <c r="AT47" s="53"/>
      <c r="AU47" s="53"/>
      <c r="AV47" s="271"/>
      <c r="AW47" s="199"/>
      <c r="AX47" s="53"/>
      <c r="AY47" s="53"/>
    </row>
    <row r="48" spans="1:51" x14ac:dyDescent="0.25">
      <c r="A48" s="23" t="s">
        <v>172</v>
      </c>
      <c r="B48" s="23" t="s">
        <v>180</v>
      </c>
      <c r="C48" s="23" t="s">
        <v>174</v>
      </c>
      <c r="D48" s="23" t="s">
        <v>84</v>
      </c>
      <c r="E48" s="90" t="str">
        <f>INDEX('Rate Design (Consol)'!$B$48:$B$66,MATCH('G2-8 Summary'!F48,'Rate Design (Consol)'!$C$48:$C$66,0))</f>
        <v>RES-3</v>
      </c>
      <c r="F48" s="23" t="s">
        <v>266</v>
      </c>
      <c r="G48" s="90" t="str">
        <f>INDEX('Rate Design (Consol)'!$D$48:$D$66,MATCH('G2-8 Summary'!H48,'Rate Design (Consol)'!$E$48:$E$66,0))</f>
        <v>RES-3</v>
      </c>
      <c r="H48" s="23" t="str">
        <f t="shared" si="3"/>
        <v>Residential - 3</v>
      </c>
      <c r="I48" s="23" t="str">
        <f t="shared" si="17"/>
        <v>CF_FTS-3_Residential - 3</v>
      </c>
      <c r="J48" s="61" t="str">
        <f t="shared" si="5"/>
        <v>CFG-CFG - Firm Transportation Service - 3 Residential-RES-3</v>
      </c>
      <c r="K48" s="62" t="s">
        <v>257</v>
      </c>
      <c r="L48" s="146">
        <v>1</v>
      </c>
      <c r="M48" s="146">
        <v>1</v>
      </c>
      <c r="N48" s="90" t="str">
        <f>VLOOKUP(E48,'Rate Design (Consol)'!D:F,3,FALSE)</f>
        <v>&gt; 250</v>
      </c>
      <c r="O48" s="237">
        <f t="shared" si="0"/>
        <v>2132</v>
      </c>
      <c r="P48" s="148">
        <f t="shared" si="6"/>
        <v>17</v>
      </c>
      <c r="Q48" s="148">
        <f t="shared" si="38"/>
        <v>204</v>
      </c>
      <c r="R48" s="148">
        <v>201.36861941403143</v>
      </c>
      <c r="S48" s="24">
        <v>108</v>
      </c>
      <c r="T48" s="25"/>
      <c r="U48" s="148">
        <v>36252.01034207546</v>
      </c>
      <c r="V48" s="238">
        <v>0.24102000000000001</v>
      </c>
      <c r="W48" s="25"/>
      <c r="X48" s="131">
        <f>VLOOKUP(CONCATENATE(C48,B48),'G2-7 Summary'!S:W,2,FALSE)</f>
        <v>5.9479999999999998E-2</v>
      </c>
      <c r="Y48" s="131">
        <f>VLOOKUP(CONCATENATE(C48,B48),'G2-7 Summary'!S:W,3,FALSE)</f>
        <v>5.0200000000000009E-2</v>
      </c>
      <c r="Z48" s="131">
        <f>VLOOKUP(CONCATENATE(C48,B48),'G2-7 Summary'!S:W,4,FALSE)</f>
        <v>0</v>
      </c>
      <c r="AA48" s="131">
        <f>VLOOKUP(CONCATENATE(C48,B48),'G2-7 Summary'!S:W,5,FALSE)</f>
        <v>0.15780000000000005</v>
      </c>
      <c r="AB48" s="25"/>
      <c r="AC48" s="149">
        <f t="shared" si="34"/>
        <v>22032</v>
      </c>
      <c r="AD48" s="26">
        <f t="shared" si="35"/>
        <v>8737.459532647028</v>
      </c>
      <c r="AE48" s="26">
        <f t="shared" si="8"/>
        <v>2156.2695751466481</v>
      </c>
      <c r="AF48" s="26"/>
      <c r="AG48" s="26">
        <f t="shared" si="9"/>
        <v>1819.8509191721885</v>
      </c>
      <c r="AH48" s="26">
        <f t="shared" si="10"/>
        <v>0</v>
      </c>
      <c r="AI48" s="26">
        <f t="shared" si="11"/>
        <v>5720.5672319795094</v>
      </c>
      <c r="AJ48" s="29">
        <f t="shared" si="36"/>
        <v>40466.147258945377</v>
      </c>
      <c r="AK48" s="27">
        <f t="shared" si="12"/>
        <v>-7540.4181511516981</v>
      </c>
      <c r="AL48" s="27">
        <f t="shared" si="13"/>
        <v>32925.729107793682</v>
      </c>
      <c r="AN48" s="27">
        <f>SUMIFS('Rate Design (Consol)'!K:K,'Rate Design (Consol)'!A:A,K48,'Rate Design (Consol)'!D:D,G48)</f>
        <v>26.5</v>
      </c>
      <c r="AO48" s="23">
        <f>SUMIFS('Rate Design (Consol)'!L:L,'Rate Design (Consol)'!A:A,K48,'Rate Design (Consol)'!D:D,G48)</f>
        <v>0.65386</v>
      </c>
      <c r="AP48" s="24">
        <f t="shared" si="14"/>
        <v>5406</v>
      </c>
      <c r="AQ48" s="24">
        <f t="shared" si="15"/>
        <v>23703.739482269459</v>
      </c>
      <c r="AR48" s="25">
        <f t="shared" si="16"/>
        <v>29109.739482269459</v>
      </c>
      <c r="AT48" s="53"/>
      <c r="AU48" s="53"/>
      <c r="AV48" s="271"/>
      <c r="AW48" s="199"/>
      <c r="AX48" s="53"/>
      <c r="AY48" s="53"/>
    </row>
    <row r="49" spans="1:51" x14ac:dyDescent="0.25">
      <c r="A49" s="23" t="s">
        <v>172</v>
      </c>
      <c r="B49" s="23" t="s">
        <v>181</v>
      </c>
      <c r="C49" s="23" t="s">
        <v>174</v>
      </c>
      <c r="D49" s="23" t="s">
        <v>111</v>
      </c>
      <c r="E49" s="90" t="str">
        <f>INDEX('Rate Design (Consol)'!$B$48:$B$66,MATCH('G2-8 Summary'!F49,'Rate Design (Consol)'!$C$48:$C$66,0))</f>
        <v>GS-2</v>
      </c>
      <c r="F49" s="23" t="s">
        <v>12</v>
      </c>
      <c r="G49" s="90" t="str">
        <f>INDEX('Rate Design (Consol)'!$D$48:$D$66,MATCH('G2-8 Summary'!H49,'Rate Design (Consol)'!$E$48:$E$66,0))</f>
        <v>GS-2</v>
      </c>
      <c r="H49" s="23" t="str">
        <f t="shared" si="3"/>
        <v>General Service - 2</v>
      </c>
      <c r="I49" s="23" t="str">
        <f t="shared" ref="I49:I51" si="39">CONCATENATE(C49,"_",B49," ", AV49,"_",H49)</f>
        <v>CF_FTS31 _General Service - 2</v>
      </c>
      <c r="J49" s="61" t="str">
        <f t="shared" si="5"/>
        <v>CFG-CFG - Firm Transportation Service - 3.1 (Fixed Non-Residential)-GS-2</v>
      </c>
      <c r="K49" s="62" t="s">
        <v>257</v>
      </c>
      <c r="L49" s="146">
        <v>0.14285714285714285</v>
      </c>
      <c r="M49" s="146">
        <v>8.5678672480970733E-2</v>
      </c>
      <c r="N49" s="90" t="str">
        <f>VLOOKUP(E49,'Rate Design (Consol)'!D:F,3,FALSE)</f>
        <v>&gt; 1000 &lt; = 5,000</v>
      </c>
      <c r="O49" s="237">
        <f t="shared" si="0"/>
        <v>3945</v>
      </c>
      <c r="P49" s="148">
        <f t="shared" si="6"/>
        <v>1</v>
      </c>
      <c r="Q49" s="148">
        <f t="shared" si="38"/>
        <v>12</v>
      </c>
      <c r="R49" s="148">
        <v>11.328962059956456</v>
      </c>
      <c r="S49" s="24">
        <v>263</v>
      </c>
      <c r="T49" s="25"/>
      <c r="U49" s="148">
        <v>3945.2683748164459</v>
      </c>
      <c r="V49" s="238">
        <v>0</v>
      </c>
      <c r="W49" s="25"/>
      <c r="X49" s="131">
        <f>VLOOKUP(CONCATENATE(C49,B49),'G2-7 Summary'!S:W,2,FALSE)</f>
        <v>7.5529999999999986E-2</v>
      </c>
      <c r="Y49" s="131">
        <f>VLOOKUP(CONCATENATE(C49,B49),'G2-7 Summary'!S:W,3,FALSE)</f>
        <v>3.6719999999999996E-2</v>
      </c>
      <c r="Z49" s="131">
        <f>VLOOKUP(CONCATENATE(C49,B49),'G2-7 Summary'!S:W,4,FALSE)</f>
        <v>0</v>
      </c>
      <c r="AA49" s="131">
        <f>VLOOKUP(CONCATENATE(C49,B49),'G2-7 Summary'!S:W,5,FALSE)</f>
        <v>0.15890000000000001</v>
      </c>
      <c r="AB49" s="25"/>
      <c r="AC49" s="149">
        <f t="shared" si="34"/>
        <v>3156</v>
      </c>
      <c r="AD49" s="26">
        <f t="shared" si="35"/>
        <v>0</v>
      </c>
      <c r="AE49" s="26">
        <f t="shared" si="8"/>
        <v>297.98612034988611</v>
      </c>
      <c r="AF49" s="26"/>
      <c r="AG49" s="26">
        <f t="shared" si="9"/>
        <v>144.87025472325988</v>
      </c>
      <c r="AH49" s="26">
        <f t="shared" si="10"/>
        <v>0</v>
      </c>
      <c r="AI49" s="26">
        <f t="shared" si="11"/>
        <v>626.90314475833327</v>
      </c>
      <c r="AJ49" s="29">
        <f t="shared" si="36"/>
        <v>4225.7595198314793</v>
      </c>
      <c r="AK49" s="27">
        <f t="shared" si="12"/>
        <v>-771.77339948159317</v>
      </c>
      <c r="AL49" s="27">
        <f t="shared" si="13"/>
        <v>3453.9861203498863</v>
      </c>
      <c r="AN49" s="27">
        <f>SUMIFS('Rate Design (Consol)'!K:K,'Rate Design (Consol)'!A:A,K49,'Rate Design (Consol)'!D:D,G49)</f>
        <v>70</v>
      </c>
      <c r="AO49" s="23">
        <f>SUMIFS('Rate Design (Consol)'!L:L,'Rate Design (Consol)'!A:A,K49,'Rate Design (Consol)'!D:D,G49)</f>
        <v>0.69901999999999997</v>
      </c>
      <c r="AP49" s="24">
        <f t="shared" si="14"/>
        <v>840</v>
      </c>
      <c r="AQ49" s="24">
        <f t="shared" si="15"/>
        <v>2757.8214993641918</v>
      </c>
      <c r="AR49" s="25">
        <f t="shared" si="16"/>
        <v>3597.8214993641918</v>
      </c>
      <c r="AT49" s="53"/>
      <c r="AU49" s="53"/>
      <c r="AV49" s="271"/>
      <c r="AX49" s="53"/>
      <c r="AY49" s="53"/>
    </row>
    <row r="50" spans="1:51" x14ac:dyDescent="0.25">
      <c r="A50" s="23" t="s">
        <v>172</v>
      </c>
      <c r="B50" s="23" t="s">
        <v>181</v>
      </c>
      <c r="C50" s="23" t="s">
        <v>174</v>
      </c>
      <c r="D50" s="23" t="s">
        <v>111</v>
      </c>
      <c r="E50" s="90" t="str">
        <f>INDEX('Rate Design (Consol)'!$B$48:$B$66,MATCH('G2-8 Summary'!F50,'Rate Design (Consol)'!$C$48:$C$66,0))</f>
        <v>GS-3</v>
      </c>
      <c r="F50" s="23" t="s">
        <v>13</v>
      </c>
      <c r="G50" s="90" t="str">
        <f>INDEX('Rate Design (Consol)'!$D$48:$D$66,MATCH('G2-8 Summary'!H50,'Rate Design (Consol)'!$E$48:$E$66,0))</f>
        <v>GS-3</v>
      </c>
      <c r="H50" s="23" t="str">
        <f t="shared" si="3"/>
        <v>General Service - 3</v>
      </c>
      <c r="I50" s="23" t="str">
        <f t="shared" si="39"/>
        <v>CF_FTS31 _General Service - 3</v>
      </c>
      <c r="J50" s="61" t="str">
        <f t="shared" si="5"/>
        <v>CFG-CFG - Firm Transportation Service - 3.1 (Fixed Non-Residential)-GS-3</v>
      </c>
      <c r="K50" s="62" t="s">
        <v>257</v>
      </c>
      <c r="L50" s="146">
        <v>0.7142857142857143</v>
      </c>
      <c r="M50" s="146">
        <v>0.66913869942106563</v>
      </c>
      <c r="N50" s="90" t="str">
        <f>VLOOKUP(E50,'Rate Design (Consol)'!D:F,3,FALSE)</f>
        <v>&gt; 5,000 &lt; = 10,000</v>
      </c>
      <c r="O50" s="237">
        <f t="shared" si="0"/>
        <v>6162</v>
      </c>
      <c r="P50" s="148">
        <f t="shared" si="6"/>
        <v>5</v>
      </c>
      <c r="Q50" s="148">
        <f t="shared" si="38"/>
        <v>60</v>
      </c>
      <c r="R50" s="148">
        <v>56.644810299782286</v>
      </c>
      <c r="S50" s="24">
        <v>263</v>
      </c>
      <c r="T50" s="25"/>
      <c r="U50" s="148">
        <v>30812.005750650111</v>
      </c>
      <c r="V50" s="238">
        <v>0</v>
      </c>
      <c r="W50" s="25"/>
      <c r="X50" s="131">
        <f>VLOOKUP(CONCATENATE(C50,B50),'G2-7 Summary'!S:W,2,FALSE)</f>
        <v>7.5529999999999986E-2</v>
      </c>
      <c r="Y50" s="131">
        <f>VLOOKUP(CONCATENATE(C50,B50),'G2-7 Summary'!S:W,3,FALSE)</f>
        <v>3.6719999999999996E-2</v>
      </c>
      <c r="Z50" s="131">
        <f>VLOOKUP(CONCATENATE(C50,B50),'G2-7 Summary'!S:W,4,FALSE)</f>
        <v>0</v>
      </c>
      <c r="AA50" s="131">
        <f>VLOOKUP(CONCATENATE(C50,B50),'G2-7 Summary'!S:W,5,FALSE)</f>
        <v>0.15890000000000001</v>
      </c>
      <c r="AB50" s="25"/>
      <c r="AC50" s="149">
        <f t="shared" si="34"/>
        <v>15780</v>
      </c>
      <c r="AD50" s="26">
        <f t="shared" si="35"/>
        <v>0</v>
      </c>
      <c r="AE50" s="26">
        <f t="shared" si="8"/>
        <v>2327.2307943466026</v>
      </c>
      <c r="AF50" s="26"/>
      <c r="AG50" s="26">
        <f t="shared" si="9"/>
        <v>1131.416851163872</v>
      </c>
      <c r="AH50" s="26">
        <f t="shared" si="10"/>
        <v>0</v>
      </c>
      <c r="AI50" s="26">
        <f t="shared" si="11"/>
        <v>4896.0277137783032</v>
      </c>
      <c r="AJ50" s="29">
        <f t="shared" si="36"/>
        <v>24134.675359288776</v>
      </c>
      <c r="AK50" s="27">
        <f t="shared" si="12"/>
        <v>-6027.444564942175</v>
      </c>
      <c r="AL50" s="27">
        <f t="shared" si="13"/>
        <v>18107.2307943466</v>
      </c>
      <c r="AN50" s="27">
        <f>SUMIFS('Rate Design (Consol)'!K:K,'Rate Design (Consol)'!A:A,K50,'Rate Design (Consol)'!D:D,G50)</f>
        <v>150</v>
      </c>
      <c r="AO50" s="23">
        <f>SUMIFS('Rate Design (Consol)'!L:L,'Rate Design (Consol)'!A:A,K50,'Rate Design (Consol)'!D:D,G50)</f>
        <v>0.62475000000000003</v>
      </c>
      <c r="AP50" s="24">
        <f t="shared" si="14"/>
        <v>9000</v>
      </c>
      <c r="AQ50" s="24">
        <f t="shared" si="15"/>
        <v>19249.800592718657</v>
      </c>
      <c r="AR50" s="25">
        <f t="shared" si="16"/>
        <v>28249.800592718657</v>
      </c>
      <c r="AT50" s="53"/>
      <c r="AU50" s="53"/>
      <c r="AV50" s="271"/>
      <c r="AX50" s="53"/>
      <c r="AY50" s="53"/>
    </row>
    <row r="51" spans="1:51" x14ac:dyDescent="0.25">
      <c r="A51" s="23" t="s">
        <v>172</v>
      </c>
      <c r="B51" s="23" t="s">
        <v>181</v>
      </c>
      <c r="C51" s="23" t="s">
        <v>174</v>
      </c>
      <c r="D51" s="23" t="s">
        <v>111</v>
      </c>
      <c r="E51" s="90" t="str">
        <f>INDEX('Rate Design (Consol)'!$B$48:$B$66,MATCH('G2-8 Summary'!F51,'Rate Design (Consol)'!$C$48:$C$66,0))</f>
        <v>GS-4</v>
      </c>
      <c r="F51" s="23" t="s">
        <v>14</v>
      </c>
      <c r="G51" s="90" t="str">
        <f>INDEX('Rate Design (Consol)'!$D$48:$D$66,MATCH('G2-8 Summary'!H51,'Rate Design (Consol)'!$E$48:$E$66,0))</f>
        <v>GS-4</v>
      </c>
      <c r="H51" s="23" t="str">
        <f t="shared" si="3"/>
        <v>General Service - 4</v>
      </c>
      <c r="I51" s="23" t="str">
        <f t="shared" si="39"/>
        <v>CF_FTS31 _General Service - 4</v>
      </c>
      <c r="J51" s="61" t="str">
        <f t="shared" si="5"/>
        <v>CFG-CFG - Firm Transportation Service - 3.1 (Fixed Non-Residential)-GS-4</v>
      </c>
      <c r="K51" s="62" t="s">
        <v>257</v>
      </c>
      <c r="L51" s="146">
        <v>0.14285714285714285</v>
      </c>
      <c r="M51" s="146">
        <v>0.24518262809796365</v>
      </c>
      <c r="N51" s="90" t="str">
        <f>VLOOKUP(E51,'Rate Design (Consol)'!D:F,3,FALSE)</f>
        <v>&gt; 10,000 &lt; = 50,000</v>
      </c>
      <c r="O51" s="237">
        <f t="shared" si="0"/>
        <v>11290</v>
      </c>
      <c r="P51" s="148">
        <f t="shared" si="6"/>
        <v>1</v>
      </c>
      <c r="Q51" s="148">
        <f t="shared" si="38"/>
        <v>12</v>
      </c>
      <c r="R51" s="148">
        <v>11.328962059956456</v>
      </c>
      <c r="S51" s="24">
        <v>263</v>
      </c>
      <c r="T51" s="25"/>
      <c r="U51" s="148">
        <v>11289.988986513747</v>
      </c>
      <c r="V51" s="238">
        <v>0</v>
      </c>
      <c r="W51" s="25"/>
      <c r="X51" s="131">
        <f>VLOOKUP(CONCATENATE(C51,B51),'G2-7 Summary'!S:W,2,FALSE)</f>
        <v>7.5529999999999986E-2</v>
      </c>
      <c r="Y51" s="131">
        <f>VLOOKUP(CONCATENATE(C51,B51),'G2-7 Summary'!S:W,3,FALSE)</f>
        <v>3.6719999999999996E-2</v>
      </c>
      <c r="Z51" s="131">
        <f>VLOOKUP(CONCATENATE(C51,B51),'G2-7 Summary'!S:W,4,FALSE)</f>
        <v>0</v>
      </c>
      <c r="AA51" s="131">
        <f>VLOOKUP(CONCATENATE(C51,B51),'G2-7 Summary'!S:W,5,FALSE)</f>
        <v>0.15890000000000001</v>
      </c>
      <c r="AB51" s="25"/>
      <c r="AC51" s="149">
        <f t="shared" si="34"/>
        <v>3156</v>
      </c>
      <c r="AD51" s="26">
        <f t="shared" si="35"/>
        <v>0</v>
      </c>
      <c r="AE51" s="26">
        <f t="shared" si="8"/>
        <v>852.73286815138317</v>
      </c>
      <c r="AF51" s="26"/>
      <c r="AG51" s="26">
        <f t="shared" si="9"/>
        <v>414.56839558478475</v>
      </c>
      <c r="AH51" s="26">
        <f t="shared" si="10"/>
        <v>0</v>
      </c>
      <c r="AI51" s="26">
        <f t="shared" si="11"/>
        <v>1793.9792499570344</v>
      </c>
      <c r="AJ51" s="29">
        <f t="shared" si="36"/>
        <v>6217.280513693202</v>
      </c>
      <c r="AK51" s="27">
        <f t="shared" si="12"/>
        <v>-2208.5476455418193</v>
      </c>
      <c r="AL51" s="27">
        <f t="shared" si="13"/>
        <v>4008.7328681513827</v>
      </c>
      <c r="AN51" s="27">
        <f>SUMIFS('Rate Design (Consol)'!K:K,'Rate Design (Consol)'!A:A,K51,'Rate Design (Consol)'!D:D,G51)</f>
        <v>275</v>
      </c>
      <c r="AO51" s="23">
        <f>SUMIFS('Rate Design (Consol)'!L:L,'Rate Design (Consol)'!A:A,K51,'Rate Design (Consol)'!D:D,G51)</f>
        <v>0.59182999999999997</v>
      </c>
      <c r="AP51" s="24">
        <f t="shared" si="14"/>
        <v>3300</v>
      </c>
      <c r="AQ51" s="24">
        <f t="shared" si="15"/>
        <v>6681.7541818884301</v>
      </c>
      <c r="AR51" s="25">
        <f t="shared" si="16"/>
        <v>9981.754181888431</v>
      </c>
      <c r="AT51" s="53"/>
      <c r="AU51" s="53"/>
      <c r="AV51" s="271"/>
      <c r="AX51" s="53"/>
      <c r="AY51" s="53"/>
    </row>
    <row r="52" spans="1:51" x14ac:dyDescent="0.25">
      <c r="A52" s="23" t="s">
        <v>172</v>
      </c>
      <c r="B52" s="23" t="s">
        <v>181</v>
      </c>
      <c r="C52" s="23" t="s">
        <v>174</v>
      </c>
      <c r="D52" s="23" t="s">
        <v>99</v>
      </c>
      <c r="E52" s="90" t="str">
        <f>INDEX('Rate Design (Consol)'!$B$48:$B$66,MATCH('G2-8 Summary'!F52,'Rate Design (Consol)'!$C$48:$C$66,0))</f>
        <v>GS-2</v>
      </c>
      <c r="F52" s="23" t="s">
        <v>12</v>
      </c>
      <c r="G52" s="90" t="str">
        <f>INDEX('Rate Design (Consol)'!$D$48:$D$66,MATCH('G2-8 Summary'!H52,'Rate Design (Consol)'!$E$48:$E$66,0))</f>
        <v>GS-2</v>
      </c>
      <c r="H52" s="23" t="str">
        <f t="shared" si="3"/>
        <v>General Service - 2</v>
      </c>
      <c r="I52" s="23" t="str">
        <f t="shared" si="17"/>
        <v>CF_FTS31_General Service - 2</v>
      </c>
      <c r="J52" s="61" t="str">
        <f t="shared" si="5"/>
        <v>CFG-CFG - Firm Transportation Service - 3.1 Non-Residential-GS-2</v>
      </c>
      <c r="K52" s="62" t="s">
        <v>257</v>
      </c>
      <c r="L52" s="146">
        <v>0.19117647058823528</v>
      </c>
      <c r="M52" s="146">
        <v>0.10401852976355656</v>
      </c>
      <c r="N52" s="90" t="str">
        <f>VLOOKUP(E52,'Rate Design (Consol)'!D:F,3,FALSE)</f>
        <v>&gt; 1000 &lt; = 5,000</v>
      </c>
      <c r="O52" s="237">
        <f t="shared" si="0"/>
        <v>3862</v>
      </c>
      <c r="P52" s="148">
        <f t="shared" si="6"/>
        <v>62</v>
      </c>
      <c r="Q52" s="148">
        <f t="shared" si="38"/>
        <v>744</v>
      </c>
      <c r="R52" s="148">
        <v>748.68231478288862</v>
      </c>
      <c r="S52" s="24">
        <v>134</v>
      </c>
      <c r="T52" s="25"/>
      <c r="U52" s="148">
        <v>239460.49931523111</v>
      </c>
      <c r="V52" s="238">
        <v>0.20383000000000001</v>
      </c>
      <c r="W52" s="25"/>
      <c r="X52" s="131">
        <f>VLOOKUP(CONCATENATE(C52,B52),'G2-7 Summary'!S:W,2,FALSE)</f>
        <v>7.5529999999999986E-2</v>
      </c>
      <c r="Y52" s="131">
        <f>VLOOKUP(CONCATENATE(C52,B52),'G2-7 Summary'!S:W,3,FALSE)</f>
        <v>3.6719999999999996E-2</v>
      </c>
      <c r="Z52" s="131">
        <f>VLOOKUP(CONCATENATE(C52,B52),'G2-7 Summary'!S:W,4,FALSE)</f>
        <v>0</v>
      </c>
      <c r="AA52" s="131">
        <f>VLOOKUP(CONCATENATE(C52,B52),'G2-7 Summary'!S:W,5,FALSE)</f>
        <v>0.15890000000000001</v>
      </c>
      <c r="AB52" s="25"/>
      <c r="AC52" s="149">
        <f t="shared" si="34"/>
        <v>99696</v>
      </c>
      <c r="AD52" s="26">
        <f t="shared" si="35"/>
        <v>48809.233575423561</v>
      </c>
      <c r="AE52" s="26">
        <f t="shared" si="8"/>
        <v>18086.4515132794</v>
      </c>
      <c r="AF52" s="26"/>
      <c r="AG52" s="26">
        <f t="shared" si="9"/>
        <v>8792.9895348552855</v>
      </c>
      <c r="AH52" s="26">
        <f t="shared" si="10"/>
        <v>0</v>
      </c>
      <c r="AI52" s="26">
        <f t="shared" si="11"/>
        <v>38050.273341190223</v>
      </c>
      <c r="AJ52" s="29">
        <f t="shared" si="36"/>
        <v>213434.94796474848</v>
      </c>
      <c r="AK52" s="27">
        <f t="shared" si="12"/>
        <v>-46843.262876045512</v>
      </c>
      <c r="AL52" s="27">
        <f t="shared" si="13"/>
        <v>166591.68508870297</v>
      </c>
      <c r="AN52" s="27">
        <f>SUMIFS('Rate Design (Consol)'!K:K,'Rate Design (Consol)'!A:A,K52,'Rate Design (Consol)'!D:D,G52)</f>
        <v>70</v>
      </c>
      <c r="AO52" s="23">
        <f>SUMIFS('Rate Design (Consol)'!L:L,'Rate Design (Consol)'!A:A,K52,'Rate Design (Consol)'!D:D,G52)</f>
        <v>0.69901999999999997</v>
      </c>
      <c r="AP52" s="24">
        <f t="shared" si="14"/>
        <v>52080</v>
      </c>
      <c r="AQ52" s="24">
        <f t="shared" si="15"/>
        <v>167387.67823133283</v>
      </c>
      <c r="AR52" s="25">
        <f t="shared" si="16"/>
        <v>219467.67823133283</v>
      </c>
      <c r="AT52" s="53"/>
      <c r="AU52" s="53"/>
      <c r="AV52" s="271"/>
      <c r="AW52" s="199"/>
      <c r="AX52" s="53"/>
      <c r="AY52" s="53"/>
    </row>
    <row r="53" spans="1:51" x14ac:dyDescent="0.25">
      <c r="A53" s="23" t="s">
        <v>172</v>
      </c>
      <c r="B53" s="23" t="s">
        <v>181</v>
      </c>
      <c r="C53" s="23" t="s">
        <v>174</v>
      </c>
      <c r="D53" s="23" t="s">
        <v>99</v>
      </c>
      <c r="E53" s="90" t="str">
        <f>INDEX('Rate Design (Consol)'!$B$48:$B$66,MATCH('G2-8 Summary'!F53,'Rate Design (Consol)'!$C$48:$C$66,0))</f>
        <v>GS-3</v>
      </c>
      <c r="F53" s="23" t="s">
        <v>13</v>
      </c>
      <c r="G53" s="90" t="str">
        <f>INDEX('Rate Design (Consol)'!$D$48:$D$66,MATCH('G2-8 Summary'!H53,'Rate Design (Consol)'!$E$48:$E$66,0))</f>
        <v>GS-3</v>
      </c>
      <c r="H53" s="23" t="str">
        <f t="shared" si="3"/>
        <v>General Service - 3</v>
      </c>
      <c r="I53" s="23" t="str">
        <f t="shared" si="17"/>
        <v>CF_FTS31_General Service - 3</v>
      </c>
      <c r="J53" s="61" t="str">
        <f t="shared" si="5"/>
        <v>CFG-CFG - Firm Transportation Service - 3.1 Non-Residential-GS-3</v>
      </c>
      <c r="K53" s="62" t="s">
        <v>257</v>
      </c>
      <c r="L53" s="146">
        <v>0.69117647058823528</v>
      </c>
      <c r="M53" s="146">
        <v>0.72849260966825935</v>
      </c>
      <c r="N53" s="90" t="str">
        <f>VLOOKUP(E53,'Rate Design (Consol)'!D:F,3,FALSE)</f>
        <v>&gt; 5,000 &lt; = 10,000</v>
      </c>
      <c r="O53" s="237">
        <f t="shared" si="0"/>
        <v>7421</v>
      </c>
      <c r="P53" s="148">
        <f t="shared" si="6"/>
        <v>226</v>
      </c>
      <c r="Q53" s="148">
        <f t="shared" si="38"/>
        <v>2712</v>
      </c>
      <c r="R53" s="148">
        <v>2706.7745226765974</v>
      </c>
      <c r="S53" s="24">
        <v>134</v>
      </c>
      <c r="T53" s="25"/>
      <c r="U53" s="148">
        <v>1677058.9283961877</v>
      </c>
      <c r="V53" s="238">
        <v>0.20383000000000001</v>
      </c>
      <c r="W53" s="25"/>
      <c r="X53" s="131">
        <f>VLOOKUP(CONCATENATE(C53,B53),'G2-7 Summary'!S:W,2,FALSE)</f>
        <v>7.5529999999999986E-2</v>
      </c>
      <c r="Y53" s="131">
        <f>VLOOKUP(CONCATENATE(C53,B53),'G2-7 Summary'!S:W,3,FALSE)</f>
        <v>3.6719999999999996E-2</v>
      </c>
      <c r="Z53" s="131">
        <f>VLOOKUP(CONCATENATE(C53,B53),'G2-7 Summary'!S:W,4,FALSE)</f>
        <v>0</v>
      </c>
      <c r="AA53" s="131">
        <f>VLOOKUP(CONCATENATE(C53,B53),'G2-7 Summary'!S:W,5,FALSE)</f>
        <v>0.15890000000000001</v>
      </c>
      <c r="AB53" s="25"/>
      <c r="AC53" s="149">
        <f t="shared" si="34"/>
        <v>363408</v>
      </c>
      <c r="AD53" s="26">
        <f t="shared" si="35"/>
        <v>341834.92137499497</v>
      </c>
      <c r="AE53" s="26">
        <f t="shared" si="8"/>
        <v>126668.26086176404</v>
      </c>
      <c r="AF53" s="26"/>
      <c r="AG53" s="26">
        <f t="shared" si="9"/>
        <v>61581.603850708008</v>
      </c>
      <c r="AH53" s="26">
        <f t="shared" si="10"/>
        <v>0</v>
      </c>
      <c r="AI53" s="26">
        <f t="shared" si="11"/>
        <v>266484.66372215428</v>
      </c>
      <c r="AJ53" s="29">
        <f t="shared" si="36"/>
        <v>1159977.4498096213</v>
      </c>
      <c r="AK53" s="27">
        <f t="shared" si="12"/>
        <v>-328066.26757286227</v>
      </c>
      <c r="AL53" s="27">
        <f t="shared" si="13"/>
        <v>831911.18223675899</v>
      </c>
      <c r="AN53" s="27">
        <f>SUMIFS('Rate Design (Consol)'!K:K,'Rate Design (Consol)'!A:A,K53,'Rate Design (Consol)'!D:D,G53)</f>
        <v>150</v>
      </c>
      <c r="AO53" s="23">
        <f>SUMIFS('Rate Design (Consol)'!L:L,'Rate Design (Consol)'!A:A,K53,'Rate Design (Consol)'!D:D,G53)</f>
        <v>0.62475000000000003</v>
      </c>
      <c r="AP53" s="24">
        <f t="shared" si="14"/>
        <v>406800</v>
      </c>
      <c r="AQ53" s="24">
        <f t="shared" si="15"/>
        <v>1047742.5655155183</v>
      </c>
      <c r="AR53" s="25">
        <f t="shared" si="16"/>
        <v>1454542.5655155182</v>
      </c>
      <c r="AT53" s="53"/>
      <c r="AU53" s="53"/>
      <c r="AV53" s="271"/>
      <c r="AW53" s="199"/>
      <c r="AX53" s="53"/>
      <c r="AY53" s="53"/>
    </row>
    <row r="54" spans="1:51" x14ac:dyDescent="0.25">
      <c r="A54" s="23" t="s">
        <v>172</v>
      </c>
      <c r="B54" s="23" t="s">
        <v>181</v>
      </c>
      <c r="C54" s="23" t="s">
        <v>174</v>
      </c>
      <c r="D54" s="23" t="s">
        <v>99</v>
      </c>
      <c r="E54" s="90" t="str">
        <f>INDEX('Rate Design (Consol)'!$B$48:$B$66,MATCH('G2-8 Summary'!F54,'Rate Design (Consol)'!$C$48:$C$66,0))</f>
        <v>GS-4</v>
      </c>
      <c r="F54" s="23" t="s">
        <v>14</v>
      </c>
      <c r="G54" s="90" t="str">
        <f>INDEX('Rate Design (Consol)'!$D$48:$D$66,MATCH('G2-8 Summary'!H54,'Rate Design (Consol)'!$E$48:$E$66,0))</f>
        <v>GS-4</v>
      </c>
      <c r="H54" s="23" t="str">
        <f t="shared" si="3"/>
        <v>General Service - 4</v>
      </c>
      <c r="I54" s="23" t="str">
        <f t="shared" si="17"/>
        <v>CF_FTS31_General Service - 4</v>
      </c>
      <c r="J54" s="61" t="str">
        <f t="shared" si="5"/>
        <v>CFG-CFG - Firm Transportation Service - 3.1 Non-Residential-GS-4</v>
      </c>
      <c r="K54" s="62" t="s">
        <v>257</v>
      </c>
      <c r="L54" s="146">
        <v>7.3529411764705885E-2</v>
      </c>
      <c r="M54" s="146">
        <v>0.13195880229515133</v>
      </c>
      <c r="N54" s="90" t="str">
        <f>VLOOKUP(E54,'Rate Design (Consol)'!D:F,3,FALSE)</f>
        <v>&gt; 10,000 &lt; = 50,000</v>
      </c>
      <c r="O54" s="237">
        <f t="shared" si="0"/>
        <v>12658</v>
      </c>
      <c r="P54" s="148">
        <f t="shared" si="6"/>
        <v>24</v>
      </c>
      <c r="Q54" s="148">
        <f t="shared" si="38"/>
        <v>288</v>
      </c>
      <c r="R54" s="148">
        <v>287.95473645495719</v>
      </c>
      <c r="S54" s="24">
        <v>134</v>
      </c>
      <c r="T54" s="25"/>
      <c r="U54" s="148">
        <v>303781.65081225411</v>
      </c>
      <c r="V54" s="238">
        <v>0.20383000000000001</v>
      </c>
      <c r="W54" s="25"/>
      <c r="X54" s="131">
        <f>VLOOKUP(CONCATENATE(C54,B54),'G2-7 Summary'!S:W,2,FALSE)</f>
        <v>7.5529999999999986E-2</v>
      </c>
      <c r="Y54" s="131">
        <f>VLOOKUP(CONCATENATE(C54,B54),'G2-7 Summary'!S:W,3,FALSE)</f>
        <v>3.6719999999999996E-2</v>
      </c>
      <c r="Z54" s="131">
        <f>VLOOKUP(CONCATENATE(C54,B54),'G2-7 Summary'!S:W,4,FALSE)</f>
        <v>0</v>
      </c>
      <c r="AA54" s="131">
        <f>VLOOKUP(CONCATENATE(C54,B54),'G2-7 Summary'!S:W,5,FALSE)</f>
        <v>0.15890000000000001</v>
      </c>
      <c r="AB54" s="25"/>
      <c r="AC54" s="149">
        <f t="shared" si="34"/>
        <v>38592</v>
      </c>
      <c r="AD54" s="26">
        <f t="shared" si="35"/>
        <v>61919.813885061762</v>
      </c>
      <c r="AE54" s="26">
        <f t="shared" si="8"/>
        <v>22944.628085849548</v>
      </c>
      <c r="AF54" s="26"/>
      <c r="AG54" s="26">
        <f t="shared" si="9"/>
        <v>11154.86221782597</v>
      </c>
      <c r="AH54" s="26">
        <f t="shared" si="10"/>
        <v>0</v>
      </c>
      <c r="AI54" s="26">
        <f t="shared" si="11"/>
        <v>48270.904314067186</v>
      </c>
      <c r="AJ54" s="29">
        <f t="shared" si="36"/>
        <v>182882.20850280448</v>
      </c>
      <c r="AK54" s="27">
        <f t="shared" si="12"/>
        <v>-59425.766531893154</v>
      </c>
      <c r="AL54" s="27">
        <f t="shared" si="13"/>
        <v>123456.44197091133</v>
      </c>
      <c r="AN54" s="27">
        <f>SUMIFS('Rate Design (Consol)'!K:K,'Rate Design (Consol)'!A:A,K54,'Rate Design (Consol)'!D:D,G54)</f>
        <v>275</v>
      </c>
      <c r="AO54" s="23">
        <f>SUMIFS('Rate Design (Consol)'!L:L,'Rate Design (Consol)'!A:A,K54,'Rate Design (Consol)'!D:D,G54)</f>
        <v>0.59182999999999997</v>
      </c>
      <c r="AP54" s="24">
        <f t="shared" si="14"/>
        <v>79200</v>
      </c>
      <c r="AQ54" s="24">
        <f t="shared" si="15"/>
        <v>179787.09440021633</v>
      </c>
      <c r="AR54" s="25">
        <f t="shared" si="16"/>
        <v>258987.09440021633</v>
      </c>
      <c r="AT54" s="53"/>
      <c r="AU54" s="53"/>
      <c r="AV54" s="271"/>
      <c r="AW54" s="199"/>
      <c r="AX54" s="53"/>
      <c r="AY54" s="53"/>
    </row>
    <row r="55" spans="1:51" x14ac:dyDescent="0.25">
      <c r="A55" s="23" t="s">
        <v>172</v>
      </c>
      <c r="B55" s="23" t="s">
        <v>181</v>
      </c>
      <c r="C55" s="23" t="s">
        <v>174</v>
      </c>
      <c r="D55" s="23" t="s">
        <v>99</v>
      </c>
      <c r="E55" s="90" t="str">
        <f>INDEX('Rate Design (Consol)'!$B$48:$B$66,MATCH('G2-8 Summary'!F55,'Rate Design (Consol)'!$C$48:$C$66,0))</f>
        <v>GS-5</v>
      </c>
      <c r="F55" s="23" t="s">
        <v>15</v>
      </c>
      <c r="G55" s="90" t="str">
        <f>INDEX('Rate Design (Consol)'!$D$48:$D$66,MATCH('G2-8 Summary'!H55,'Rate Design (Consol)'!$E$48:$E$66,0))</f>
        <v>GS-5</v>
      </c>
      <c r="H55" s="23" t="str">
        <f t="shared" si="3"/>
        <v>General Service - 5</v>
      </c>
      <c r="I55" s="23" t="str">
        <f t="shared" si="17"/>
        <v>CF_FTS31_General Service - 5</v>
      </c>
      <c r="J55" s="61" t="str">
        <f t="shared" si="5"/>
        <v>CFG-CFG - Firm Transportation Service - 3.1 Non-Residential-GS-5</v>
      </c>
      <c r="K55" s="62" t="s">
        <v>257</v>
      </c>
      <c r="L55" s="146">
        <v>2.9411764705882353E-3</v>
      </c>
      <c r="M55" s="146">
        <v>3.359578069962698E-2</v>
      </c>
      <c r="N55" s="90" t="str">
        <f>VLOOKUP(E55,'Rate Design (Consol)'!D:F,3,FALSE)</f>
        <v>&gt; 50,000 &lt; = 250,000</v>
      </c>
      <c r="O55" s="237">
        <f t="shared" si="0"/>
        <v>77341</v>
      </c>
      <c r="P55" s="148">
        <f t="shared" si="6"/>
        <v>1</v>
      </c>
      <c r="Q55" s="148">
        <f t="shared" si="38"/>
        <v>12</v>
      </c>
      <c r="R55" s="148">
        <v>11.518189458198286</v>
      </c>
      <c r="S55" s="24">
        <v>134</v>
      </c>
      <c r="T55" s="25"/>
      <c r="U55" s="148">
        <v>77340.666509172675</v>
      </c>
      <c r="V55" s="238">
        <v>0.20383000000000001</v>
      </c>
      <c r="W55" s="25"/>
      <c r="X55" s="131">
        <f>VLOOKUP(CONCATENATE(C55,B55),'G2-7 Summary'!S:W,2,FALSE)</f>
        <v>7.5529999999999986E-2</v>
      </c>
      <c r="Y55" s="131">
        <f>VLOOKUP(CONCATENATE(C55,B55),'G2-7 Summary'!S:W,3,FALSE)</f>
        <v>3.6719999999999996E-2</v>
      </c>
      <c r="Z55" s="131">
        <f>VLOOKUP(CONCATENATE(C55,B55),'G2-7 Summary'!S:W,4,FALSE)</f>
        <v>0</v>
      </c>
      <c r="AA55" s="131">
        <f>VLOOKUP(CONCATENATE(C55,B55),'G2-7 Summary'!S:W,5,FALSE)</f>
        <v>0.15890000000000001</v>
      </c>
      <c r="AB55" s="25"/>
      <c r="AC55" s="149">
        <f t="shared" si="34"/>
        <v>1608</v>
      </c>
      <c r="AD55" s="26">
        <f t="shared" si="35"/>
        <v>15764.348054564667</v>
      </c>
      <c r="AE55" s="26">
        <f t="shared" si="8"/>
        <v>5841.540541437811</v>
      </c>
      <c r="AF55" s="26"/>
      <c r="AG55" s="26">
        <f t="shared" si="9"/>
        <v>2839.9492742168204</v>
      </c>
      <c r="AH55" s="26">
        <f t="shared" si="10"/>
        <v>0</v>
      </c>
      <c r="AI55" s="26">
        <f t="shared" si="11"/>
        <v>12289.431908307539</v>
      </c>
      <c r="AJ55" s="29">
        <f t="shared" si="36"/>
        <v>38343.269778526839</v>
      </c>
      <c r="AK55" s="27">
        <f t="shared" si="12"/>
        <v>-15129.381182524359</v>
      </c>
      <c r="AL55" s="27">
        <f t="shared" si="13"/>
        <v>23213.888596002478</v>
      </c>
      <c r="AN55" s="27">
        <f>SUMIFS('Rate Design (Consol)'!K:K,'Rate Design (Consol)'!A:A,K55,'Rate Design (Consol)'!D:D,G55)</f>
        <v>750</v>
      </c>
      <c r="AO55" s="23">
        <f>SUMIFS('Rate Design (Consol)'!L:L,'Rate Design (Consol)'!A:A,K55,'Rate Design (Consol)'!D:D,G55)</f>
        <v>0.52</v>
      </c>
      <c r="AP55" s="24">
        <f t="shared" si="14"/>
        <v>9000</v>
      </c>
      <c r="AQ55" s="24">
        <f t="shared" si="15"/>
        <v>40217.146584769791</v>
      </c>
      <c r="AR55" s="25">
        <f t="shared" si="16"/>
        <v>49217.146584769791</v>
      </c>
      <c r="AT55" s="53"/>
      <c r="AU55" s="53"/>
      <c r="AV55" s="271"/>
      <c r="AW55" s="199"/>
      <c r="AX55" s="53"/>
      <c r="AY55" s="53"/>
    </row>
    <row r="56" spans="1:51" x14ac:dyDescent="0.25">
      <c r="A56" s="23" t="s">
        <v>172</v>
      </c>
      <c r="B56" s="23" t="s">
        <v>181</v>
      </c>
      <c r="C56" s="23" t="s">
        <v>174</v>
      </c>
      <c r="D56" s="23" t="s">
        <v>99</v>
      </c>
      <c r="E56" s="90" t="str">
        <f>INDEX('Rate Design (Consol)'!$B$48:$B$66,MATCH('G2-8 Summary'!F56,'Rate Design (Consol)'!$C$48:$C$66,0))</f>
        <v>GS-1</v>
      </c>
      <c r="F56" s="23" t="s">
        <v>11</v>
      </c>
      <c r="G56" s="90" t="str">
        <f>INDEX('Rate Design (Consol)'!$D$48:$D$66,MATCH('G2-8 Summary'!H56,'Rate Design (Consol)'!$E$48:$E$66,0))</f>
        <v>GS-1</v>
      </c>
      <c r="H56" s="23" t="str">
        <f t="shared" si="3"/>
        <v>General Service - 1</v>
      </c>
      <c r="I56" s="23" t="str">
        <f t="shared" si="17"/>
        <v>CF_FTS31_General Service - 1</v>
      </c>
      <c r="J56" s="61" t="str">
        <f t="shared" si="5"/>
        <v>CFG-CFG - Firm Transportation Service - 3.1 Non-Residential-GS-1</v>
      </c>
      <c r="K56" s="62" t="s">
        <v>257</v>
      </c>
      <c r="L56" s="146">
        <v>4.1176470588235294E-2</v>
      </c>
      <c r="M56" s="146">
        <v>1.9342775734057982E-3</v>
      </c>
      <c r="N56" s="90" t="str">
        <f>VLOOKUP(E56,'Rate Design (Consol)'!D:F,3,FALSE)</f>
        <v>&lt; = 1000</v>
      </c>
      <c r="O56" s="237">
        <f t="shared" si="0"/>
        <v>343</v>
      </c>
      <c r="P56" s="148">
        <f t="shared" si="6"/>
        <v>13</v>
      </c>
      <c r="Q56" s="148">
        <f t="shared" si="38"/>
        <v>156</v>
      </c>
      <c r="R56" s="148">
        <v>161.25465241477602</v>
      </c>
      <c r="S56" s="24">
        <v>134</v>
      </c>
      <c r="T56" s="25"/>
      <c r="U56" s="148">
        <v>4452.8900244491306</v>
      </c>
      <c r="V56" s="238">
        <v>0.20383000000000001</v>
      </c>
      <c r="W56" s="25"/>
      <c r="X56" s="131">
        <f>VLOOKUP(CONCATENATE(C56,B56),'G2-7 Summary'!S:W,2,FALSE)</f>
        <v>7.5529999999999986E-2</v>
      </c>
      <c r="Y56" s="131">
        <f>VLOOKUP(CONCATENATE(C56,B56),'G2-7 Summary'!S:W,3,FALSE)</f>
        <v>3.6719999999999996E-2</v>
      </c>
      <c r="Z56" s="131">
        <f>VLOOKUP(CONCATENATE(C56,B56),'G2-7 Summary'!S:W,4,FALSE)</f>
        <v>0</v>
      </c>
      <c r="AA56" s="131">
        <f>VLOOKUP(CONCATENATE(C56,B56),'G2-7 Summary'!S:W,5,FALSE)</f>
        <v>0.15890000000000001</v>
      </c>
      <c r="AB56" s="25"/>
      <c r="AC56" s="149">
        <f t="shared" si="34"/>
        <v>20904</v>
      </c>
      <c r="AD56" s="26">
        <f t="shared" si="35"/>
        <v>907.63257368346638</v>
      </c>
      <c r="AE56" s="26">
        <f t="shared" si="8"/>
        <v>336.32678354664279</v>
      </c>
      <c r="AF56" s="26"/>
      <c r="AG56" s="26">
        <f t="shared" si="9"/>
        <v>163.51012169777206</v>
      </c>
      <c r="AH56" s="26">
        <f t="shared" si="10"/>
        <v>0</v>
      </c>
      <c r="AI56" s="26">
        <f t="shared" si="11"/>
        <v>707.56422488496696</v>
      </c>
      <c r="AJ56" s="29">
        <f t="shared" si="36"/>
        <v>23019.033703812845</v>
      </c>
      <c r="AK56" s="27">
        <f t="shared" si="12"/>
        <v>-871.07434658273905</v>
      </c>
      <c r="AL56" s="27">
        <f t="shared" si="13"/>
        <v>22147.959357230106</v>
      </c>
      <c r="AN56" s="27">
        <f>SUMIFS('Rate Design (Consol)'!K:K,'Rate Design (Consol)'!A:A,K56,'Rate Design (Consol)'!D:D,G56)</f>
        <v>40</v>
      </c>
      <c r="AO56" s="23">
        <f>SUMIFS('Rate Design (Consol)'!L:L,'Rate Design (Consol)'!A:A,K56,'Rate Design (Consol)'!D:D,G56)</f>
        <v>0.70123999999999997</v>
      </c>
      <c r="AP56" s="24">
        <f t="shared" si="14"/>
        <v>6240</v>
      </c>
      <c r="AQ56" s="24">
        <f t="shared" si="15"/>
        <v>3122.5446007447081</v>
      </c>
      <c r="AR56" s="25">
        <f t="shared" si="16"/>
        <v>9362.5446007447081</v>
      </c>
      <c r="AT56" s="53"/>
      <c r="AU56" s="53"/>
      <c r="AV56" s="271"/>
      <c r="AW56" s="199"/>
      <c r="AX56" s="53"/>
      <c r="AY56" s="53"/>
    </row>
    <row r="57" spans="1:51" x14ac:dyDescent="0.25">
      <c r="A57" s="23" t="s">
        <v>172</v>
      </c>
      <c r="B57" s="23" t="s">
        <v>182</v>
      </c>
      <c r="C57" s="23" t="s">
        <v>174</v>
      </c>
      <c r="D57" s="23" t="s">
        <v>100</v>
      </c>
      <c r="E57" s="90" t="str">
        <f>INDEX('Rate Design (Consol)'!$B$48:$B$66,MATCH('G2-8 Summary'!F57,'Rate Design (Consol)'!$C$48:$C$66,0))</f>
        <v>GS-2</v>
      </c>
      <c r="F57" s="23" t="s">
        <v>12</v>
      </c>
      <c r="G57" s="90" t="str">
        <f>INDEX('Rate Design (Consol)'!$D$48:$D$66,MATCH('G2-8 Summary'!H57,'Rate Design (Consol)'!$E$48:$E$66,0))</f>
        <v>GS-2</v>
      </c>
      <c r="H57" s="23" t="str">
        <f t="shared" si="3"/>
        <v>General Service - 2</v>
      </c>
      <c r="I57" s="23" t="str">
        <f t="shared" si="17"/>
        <v>CF_FTS-4_General Service - 2</v>
      </c>
      <c r="J57" s="61" t="str">
        <f t="shared" si="5"/>
        <v>CFG-CFG - Firm Transportation Service - 4-GS-2</v>
      </c>
      <c r="K57" s="62" t="s">
        <v>257</v>
      </c>
      <c r="L57" s="146">
        <v>4.807692307692308E-2</v>
      </c>
      <c r="M57" s="146">
        <v>8.5309469929972827E-3</v>
      </c>
      <c r="N57" s="90" t="str">
        <f>VLOOKUP(E57,'Rate Design (Consol)'!D:F,3,FALSE)</f>
        <v>&gt; 1000 &lt; = 5,000</v>
      </c>
      <c r="O57" s="237">
        <f t="shared" si="0"/>
        <v>2443</v>
      </c>
      <c r="P57" s="148">
        <f t="shared" si="6"/>
        <v>11</v>
      </c>
      <c r="Q57" s="148">
        <f t="shared" si="38"/>
        <v>132</v>
      </c>
      <c r="R57" s="148">
        <v>127.59217936792692</v>
      </c>
      <c r="S57" s="24">
        <v>210</v>
      </c>
      <c r="T57" s="25"/>
      <c r="U57" s="148">
        <v>26876.292918373369</v>
      </c>
      <c r="V57" s="238">
        <v>0.189</v>
      </c>
      <c r="W57" s="25"/>
      <c r="X57" s="131">
        <f>VLOOKUP(CONCATENATE(C57,B57),'G2-7 Summary'!S:W,2,FALSE)</f>
        <v>8.3809999999999996E-2</v>
      </c>
      <c r="Y57" s="131">
        <f>VLOOKUP(CONCATENATE(C57,B57),'G2-7 Summary'!S:W,3,FALSE)</f>
        <v>3.0700000000000009E-2</v>
      </c>
      <c r="Z57" s="131">
        <f>VLOOKUP(CONCATENATE(C57,B57),'G2-7 Summary'!S:W,4,FALSE)</f>
        <v>0</v>
      </c>
      <c r="AA57" s="131">
        <f>VLOOKUP(CONCATENATE(C57,B57),'G2-7 Summary'!S:W,5,FALSE)</f>
        <v>0.1646</v>
      </c>
      <c r="AB57" s="25"/>
      <c r="AC57" s="149">
        <f t="shared" si="34"/>
        <v>27720</v>
      </c>
      <c r="AD57" s="26">
        <f t="shared" si="35"/>
        <v>5079.619361572567</v>
      </c>
      <c r="AE57" s="26">
        <f t="shared" si="8"/>
        <v>2252.5021094888721</v>
      </c>
      <c r="AF57" s="26"/>
      <c r="AG57" s="26">
        <f t="shared" si="9"/>
        <v>825.10219259406267</v>
      </c>
      <c r="AH57" s="26">
        <f t="shared" si="10"/>
        <v>0</v>
      </c>
      <c r="AI57" s="26">
        <f t="shared" si="11"/>
        <v>4423.8378143642567</v>
      </c>
      <c r="AJ57" s="29">
        <f t="shared" si="36"/>
        <v>40301.061478019757</v>
      </c>
      <c r="AK57" s="27">
        <f t="shared" si="12"/>
        <v>-5248.9400069583189</v>
      </c>
      <c r="AL57" s="27">
        <f t="shared" si="13"/>
        <v>35052.121471061437</v>
      </c>
      <c r="AN57" s="27">
        <f>SUMIFS('Rate Design (Consol)'!K:K,'Rate Design (Consol)'!A:A,K57,'Rate Design (Consol)'!D:D,G57)</f>
        <v>70</v>
      </c>
      <c r="AO57" s="23">
        <f>SUMIFS('Rate Design (Consol)'!L:L,'Rate Design (Consol)'!A:A,K57,'Rate Design (Consol)'!D:D,G57)</f>
        <v>0.69901999999999997</v>
      </c>
      <c r="AP57" s="24">
        <f t="shared" si="14"/>
        <v>9240</v>
      </c>
      <c r="AQ57" s="24">
        <f t="shared" si="15"/>
        <v>18787.066275801353</v>
      </c>
      <c r="AR57" s="25">
        <f t="shared" si="16"/>
        <v>28027.066275801353</v>
      </c>
      <c r="AT57" s="53"/>
      <c r="AU57" s="53"/>
      <c r="AV57" s="271"/>
      <c r="AW57" s="199"/>
      <c r="AX57" s="53"/>
      <c r="AY57" s="53"/>
    </row>
    <row r="58" spans="1:51" x14ac:dyDescent="0.25">
      <c r="A58" s="23" t="s">
        <v>172</v>
      </c>
      <c r="B58" s="23" t="s">
        <v>182</v>
      </c>
      <c r="C58" s="23" t="s">
        <v>174</v>
      </c>
      <c r="D58" s="23" t="s">
        <v>100</v>
      </c>
      <c r="E58" s="90" t="str">
        <f>INDEX('Rate Design (Consol)'!$B$48:$B$66,MATCH('G2-8 Summary'!F58,'Rate Design (Consol)'!$C$48:$C$66,0))</f>
        <v>GS-3</v>
      </c>
      <c r="F58" s="23" t="s">
        <v>13</v>
      </c>
      <c r="G58" s="90" t="str">
        <f>INDEX('Rate Design (Consol)'!$D$48:$D$66,MATCH('G2-8 Summary'!H58,'Rate Design (Consol)'!$E$48:$E$66,0))</f>
        <v>GS-3</v>
      </c>
      <c r="H58" s="23" t="str">
        <f t="shared" si="3"/>
        <v>General Service - 3</v>
      </c>
      <c r="I58" s="23" t="str">
        <f t="shared" si="17"/>
        <v>CF_FTS-4_General Service - 3</v>
      </c>
      <c r="J58" s="61" t="str">
        <f t="shared" si="5"/>
        <v>CFG-CFG - Firm Transportation Service - 4-GS-3</v>
      </c>
      <c r="K58" s="62" t="s">
        <v>257</v>
      </c>
      <c r="L58" s="146">
        <v>0.16826923076923078</v>
      </c>
      <c r="M58" s="146">
        <v>9.5257661051854764E-2</v>
      </c>
      <c r="N58" s="90" t="str">
        <f>VLOOKUP(E58,'Rate Design (Consol)'!D:F,3,FALSE)</f>
        <v>&gt; 5,000 &lt; = 10,000</v>
      </c>
      <c r="O58" s="237">
        <f t="shared" si="0"/>
        <v>8111</v>
      </c>
      <c r="P58" s="148">
        <f t="shared" si="6"/>
        <v>37</v>
      </c>
      <c r="Q58" s="148">
        <f t="shared" si="38"/>
        <v>444</v>
      </c>
      <c r="R58" s="148">
        <v>446.57262778774424</v>
      </c>
      <c r="S58" s="24">
        <v>210</v>
      </c>
      <c r="T58" s="25"/>
      <c r="U58" s="148">
        <v>300104.17404425552</v>
      </c>
      <c r="V58" s="238">
        <v>0.189</v>
      </c>
      <c r="W58" s="25"/>
      <c r="X58" s="131">
        <f>VLOOKUP(CONCATENATE(C58,B58),'G2-7 Summary'!S:W,2,FALSE)</f>
        <v>8.3809999999999996E-2</v>
      </c>
      <c r="Y58" s="131">
        <f>VLOOKUP(CONCATENATE(C58,B58),'G2-7 Summary'!S:W,3,FALSE)</f>
        <v>3.0700000000000009E-2</v>
      </c>
      <c r="Z58" s="131">
        <f>VLOOKUP(CONCATENATE(C58,B58),'G2-7 Summary'!S:W,4,FALSE)</f>
        <v>0</v>
      </c>
      <c r="AA58" s="131">
        <f>VLOOKUP(CONCATENATE(C58,B58),'G2-7 Summary'!S:W,5,FALSE)</f>
        <v>0.1646</v>
      </c>
      <c r="AB58" s="25"/>
      <c r="AC58" s="149">
        <f t="shared" si="34"/>
        <v>93240</v>
      </c>
      <c r="AD58" s="26">
        <f t="shared" si="35"/>
        <v>56719.688894364292</v>
      </c>
      <c r="AE58" s="26">
        <f t="shared" si="8"/>
        <v>25151.730826649055</v>
      </c>
      <c r="AF58" s="26"/>
      <c r="AG58" s="26">
        <f t="shared" si="9"/>
        <v>9213.1981431586464</v>
      </c>
      <c r="AH58" s="26">
        <f t="shared" si="10"/>
        <v>0</v>
      </c>
      <c r="AI58" s="26">
        <f t="shared" si="11"/>
        <v>49397.147047684455</v>
      </c>
      <c r="AJ58" s="29">
        <f t="shared" si="36"/>
        <v>233721.76491185644</v>
      </c>
      <c r="AK58" s="27">
        <f t="shared" si="12"/>
        <v>-58610.345190843102</v>
      </c>
      <c r="AL58" s="27">
        <f t="shared" si="13"/>
        <v>175111.41972101334</v>
      </c>
      <c r="AN58" s="27">
        <f>SUMIFS('Rate Design (Consol)'!K:K,'Rate Design (Consol)'!A:A,K58,'Rate Design (Consol)'!D:D,G58)</f>
        <v>150</v>
      </c>
      <c r="AO58" s="23">
        <f>SUMIFS('Rate Design (Consol)'!L:L,'Rate Design (Consol)'!A:A,K58,'Rate Design (Consol)'!D:D,G58)</f>
        <v>0.62475000000000003</v>
      </c>
      <c r="AP58" s="24">
        <f t="shared" si="14"/>
        <v>66600</v>
      </c>
      <c r="AQ58" s="24">
        <f t="shared" si="15"/>
        <v>187490.08273414863</v>
      </c>
      <c r="AR58" s="25">
        <f t="shared" si="16"/>
        <v>254090.08273414863</v>
      </c>
      <c r="AT58" s="53"/>
      <c r="AU58" s="53"/>
      <c r="AV58" s="271"/>
      <c r="AW58" s="199"/>
      <c r="AX58" s="53"/>
      <c r="AY58" s="53"/>
    </row>
    <row r="59" spans="1:51" x14ac:dyDescent="0.25">
      <c r="A59" s="23" t="s">
        <v>172</v>
      </c>
      <c r="B59" s="23" t="s">
        <v>182</v>
      </c>
      <c r="C59" s="23" t="s">
        <v>174</v>
      </c>
      <c r="D59" s="23" t="s">
        <v>100</v>
      </c>
      <c r="E59" s="90" t="str">
        <f>INDEX('Rate Design (Consol)'!$B$48:$B$66,MATCH('G2-8 Summary'!F59,'Rate Design (Consol)'!$C$48:$C$66,0))</f>
        <v>GS-4</v>
      </c>
      <c r="F59" s="23" t="s">
        <v>14</v>
      </c>
      <c r="G59" s="90" t="str">
        <f>INDEX('Rate Design (Consol)'!$D$48:$D$66,MATCH('G2-8 Summary'!H59,'Rate Design (Consol)'!$E$48:$E$66,0))</f>
        <v>GS-4</v>
      </c>
      <c r="H59" s="23" t="str">
        <f t="shared" si="3"/>
        <v>General Service - 4</v>
      </c>
      <c r="I59" s="23" t="str">
        <f t="shared" si="17"/>
        <v>CF_FTS-4_General Service - 4</v>
      </c>
      <c r="J59" s="61" t="str">
        <f t="shared" si="5"/>
        <v>CFG-CFG - Firm Transportation Service - 4-GS-4</v>
      </c>
      <c r="K59" s="62" t="s">
        <v>257</v>
      </c>
      <c r="L59" s="146">
        <v>0.74519230769230771</v>
      </c>
      <c r="M59" s="146">
        <v>0.84002654626209361</v>
      </c>
      <c r="N59" s="90" t="str">
        <f>VLOOKUP(E59,'Rate Design (Consol)'!D:F,3,FALSE)</f>
        <v>&gt; 10,000 &lt; = 50,000</v>
      </c>
      <c r="O59" s="237">
        <f t="shared" si="0"/>
        <v>16039</v>
      </c>
      <c r="P59" s="148">
        <f t="shared" si="6"/>
        <v>165</v>
      </c>
      <c r="Q59" s="148">
        <f t="shared" si="38"/>
        <v>1980</v>
      </c>
      <c r="R59" s="148">
        <v>1977.6787802028673</v>
      </c>
      <c r="S59" s="24">
        <v>210</v>
      </c>
      <c r="T59" s="25"/>
      <c r="U59" s="148">
        <v>2646458.7735783551</v>
      </c>
      <c r="V59" s="238">
        <v>0.189</v>
      </c>
      <c r="W59" s="25"/>
      <c r="X59" s="131">
        <f>VLOOKUP(CONCATENATE(C59,B59),'G2-7 Summary'!S:W,2,FALSE)</f>
        <v>8.3809999999999996E-2</v>
      </c>
      <c r="Y59" s="131">
        <f>VLOOKUP(CONCATENATE(C59,B59),'G2-7 Summary'!S:W,3,FALSE)</f>
        <v>3.0700000000000009E-2</v>
      </c>
      <c r="Z59" s="131">
        <f>VLOOKUP(CONCATENATE(C59,B59),'G2-7 Summary'!S:W,4,FALSE)</f>
        <v>0</v>
      </c>
      <c r="AA59" s="131">
        <f>VLOOKUP(CONCATENATE(C59,B59),'G2-7 Summary'!S:W,5,FALSE)</f>
        <v>0.1646</v>
      </c>
      <c r="AB59" s="25"/>
      <c r="AC59" s="149">
        <f t="shared" si="34"/>
        <v>415800</v>
      </c>
      <c r="AD59" s="26">
        <f t="shared" si="35"/>
        <v>500180.70820630912</v>
      </c>
      <c r="AE59" s="26">
        <f t="shared" si="8"/>
        <v>221799.70981360192</v>
      </c>
      <c r="AF59" s="26"/>
      <c r="AG59" s="26">
        <f t="shared" si="9"/>
        <v>81246.284348855523</v>
      </c>
      <c r="AH59" s="26">
        <f t="shared" si="10"/>
        <v>0</v>
      </c>
      <c r="AI59" s="26">
        <f t="shared" si="11"/>
        <v>435607.11413099722</v>
      </c>
      <c r="AJ59" s="29">
        <f t="shared" si="36"/>
        <v>1654633.8164997636</v>
      </c>
      <c r="AK59" s="27">
        <f t="shared" si="12"/>
        <v>-516853.39847985271</v>
      </c>
      <c r="AL59" s="27">
        <f t="shared" si="13"/>
        <v>1137780.4180199108</v>
      </c>
      <c r="AN59" s="27">
        <f>SUMIFS('Rate Design (Consol)'!K:K,'Rate Design (Consol)'!A:A,K59,'Rate Design (Consol)'!D:D,G59)</f>
        <v>275</v>
      </c>
      <c r="AO59" s="23">
        <f>SUMIFS('Rate Design (Consol)'!L:L,'Rate Design (Consol)'!A:A,K59,'Rate Design (Consol)'!D:D,G59)</f>
        <v>0.59182999999999997</v>
      </c>
      <c r="AP59" s="24">
        <f t="shared" si="14"/>
        <v>544500</v>
      </c>
      <c r="AQ59" s="24">
        <f t="shared" si="15"/>
        <v>1566253.6959668777</v>
      </c>
      <c r="AR59" s="25">
        <f t="shared" si="16"/>
        <v>2110753.695966878</v>
      </c>
      <c r="AT59" s="53"/>
      <c r="AU59" s="53"/>
      <c r="AV59" s="271"/>
      <c r="AW59" s="199"/>
      <c r="AX59" s="53"/>
      <c r="AY59" s="53"/>
    </row>
    <row r="60" spans="1:51" x14ac:dyDescent="0.25">
      <c r="A60" s="23" t="s">
        <v>172</v>
      </c>
      <c r="B60" s="23" t="s">
        <v>182</v>
      </c>
      <c r="C60" s="23" t="s">
        <v>174</v>
      </c>
      <c r="D60" s="23" t="s">
        <v>100</v>
      </c>
      <c r="E60" s="90" t="str">
        <f>INDEX('Rate Design (Consol)'!$B$48:$B$66,MATCH('G2-8 Summary'!F60,'Rate Design (Consol)'!$C$48:$C$66,0))</f>
        <v>GS-5</v>
      </c>
      <c r="F60" s="23" t="s">
        <v>15</v>
      </c>
      <c r="G60" s="90" t="str">
        <f>INDEX('Rate Design (Consol)'!$D$48:$D$66,MATCH('G2-8 Summary'!H60,'Rate Design (Consol)'!$E$48:$E$66,0))</f>
        <v>GS-5</v>
      </c>
      <c r="H60" s="23" t="str">
        <f t="shared" si="3"/>
        <v>General Service - 5</v>
      </c>
      <c r="I60" s="23" t="str">
        <f t="shared" si="17"/>
        <v>CF_FTS-4_General Service - 5</v>
      </c>
      <c r="J60" s="61" t="str">
        <f t="shared" si="5"/>
        <v>CFG-CFG - Firm Transportation Service - 4-GS-5</v>
      </c>
      <c r="K60" s="62" t="s">
        <v>257</v>
      </c>
      <c r="L60" s="146">
        <v>9.6153846153846159E-3</v>
      </c>
      <c r="M60" s="146">
        <v>5.4922927681951013E-2</v>
      </c>
      <c r="N60" s="90" t="str">
        <f>VLOOKUP(E60,'Rate Design (Consol)'!D:F,3,FALSE)</f>
        <v>&gt; 50,000 &lt; = 250,000</v>
      </c>
      <c r="O60" s="237">
        <f t="shared" si="0"/>
        <v>86516</v>
      </c>
      <c r="P60" s="148">
        <f t="shared" si="6"/>
        <v>2</v>
      </c>
      <c r="Q60" s="148">
        <f t="shared" si="38"/>
        <v>24</v>
      </c>
      <c r="R60" s="148">
        <v>25.518435873585386</v>
      </c>
      <c r="S60" s="24">
        <v>210</v>
      </c>
      <c r="T60" s="25"/>
      <c r="U60" s="148">
        <v>173031.75058131825</v>
      </c>
      <c r="V60" s="238">
        <v>0.189</v>
      </c>
      <c r="W60" s="25"/>
      <c r="X60" s="131">
        <f>VLOOKUP(CONCATENATE(C60,B60),'G2-7 Summary'!S:W,2,FALSE)</f>
        <v>8.3809999999999996E-2</v>
      </c>
      <c r="Y60" s="131">
        <f>VLOOKUP(CONCATENATE(C60,B60),'G2-7 Summary'!S:W,3,FALSE)</f>
        <v>3.0700000000000009E-2</v>
      </c>
      <c r="Z60" s="131">
        <f>VLOOKUP(CONCATENATE(C60,B60),'G2-7 Summary'!S:W,4,FALSE)</f>
        <v>0</v>
      </c>
      <c r="AA60" s="131">
        <f>VLOOKUP(CONCATENATE(C60,B60),'G2-7 Summary'!S:W,5,FALSE)</f>
        <v>0.1646</v>
      </c>
      <c r="AB60" s="25"/>
      <c r="AC60" s="149">
        <f t="shared" si="34"/>
        <v>5040</v>
      </c>
      <c r="AD60" s="26">
        <f t="shared" si="35"/>
        <v>32703.000859869149</v>
      </c>
      <c r="AE60" s="26">
        <f t="shared" si="8"/>
        <v>14501.791016220282</v>
      </c>
      <c r="AF60" s="26"/>
      <c r="AG60" s="26">
        <f t="shared" si="9"/>
        <v>5312.074742846472</v>
      </c>
      <c r="AH60" s="26">
        <f t="shared" si="10"/>
        <v>0</v>
      </c>
      <c r="AI60" s="26">
        <f t="shared" si="11"/>
        <v>28481.026145684984</v>
      </c>
      <c r="AJ60" s="29">
        <f t="shared" si="36"/>
        <v>86037.89276462089</v>
      </c>
      <c r="AK60" s="27">
        <f t="shared" si="12"/>
        <v>-33793.100888531459</v>
      </c>
      <c r="AL60" s="27">
        <f t="shared" si="13"/>
        <v>52244.791876089432</v>
      </c>
      <c r="AN60" s="27">
        <f>SUMIFS('Rate Design (Consol)'!K:K,'Rate Design (Consol)'!A:A,K60,'Rate Design (Consol)'!D:D,G60)</f>
        <v>750</v>
      </c>
      <c r="AO60" s="23">
        <f>SUMIFS('Rate Design (Consol)'!L:L,'Rate Design (Consol)'!A:A,K60,'Rate Design (Consol)'!D:D,G60)</f>
        <v>0.52</v>
      </c>
      <c r="AP60" s="24">
        <f t="shared" si="14"/>
        <v>18000</v>
      </c>
      <c r="AQ60" s="24">
        <f t="shared" si="15"/>
        <v>89976.510302285489</v>
      </c>
      <c r="AR60" s="25">
        <f t="shared" si="16"/>
        <v>107976.51030228549</v>
      </c>
      <c r="AT60" s="53"/>
      <c r="AU60" s="53"/>
      <c r="AV60" s="271"/>
      <c r="AW60" s="199"/>
      <c r="AX60" s="53"/>
      <c r="AY60" s="53"/>
    </row>
    <row r="61" spans="1:51" x14ac:dyDescent="0.25">
      <c r="A61" s="23" t="s">
        <v>172</v>
      </c>
      <c r="B61" s="23" t="s">
        <v>182</v>
      </c>
      <c r="C61" s="23" t="s">
        <v>174</v>
      </c>
      <c r="D61" s="23" t="s">
        <v>100</v>
      </c>
      <c r="E61" s="90" t="str">
        <f>INDEX('Rate Design (Consol)'!$B$48:$B$66,MATCH('G2-8 Summary'!F61,'Rate Design (Consol)'!$C$48:$C$66,0))</f>
        <v>GS-1</v>
      </c>
      <c r="F61" s="23" t="s">
        <v>11</v>
      </c>
      <c r="G61" s="90" t="str">
        <f>INDEX('Rate Design (Consol)'!$D$48:$D$66,MATCH('G2-8 Summary'!H61,'Rate Design (Consol)'!$E$48:$E$66,0))</f>
        <v>GS-1</v>
      </c>
      <c r="H61" s="23" t="str">
        <f t="shared" si="3"/>
        <v>General Service - 1</v>
      </c>
      <c r="I61" s="23" t="str">
        <f t="shared" si="17"/>
        <v>CF_FTS-4_General Service - 1</v>
      </c>
      <c r="J61" s="61" t="str">
        <f t="shared" si="5"/>
        <v>CFG-CFG - Firm Transportation Service - 4-GS-1</v>
      </c>
      <c r="K61" s="62" t="s">
        <v>257</v>
      </c>
      <c r="L61" s="146">
        <v>2.8846153846153848E-2</v>
      </c>
      <c r="M61" s="146">
        <v>1.2619180111032901E-3</v>
      </c>
      <c r="N61" s="90" t="str">
        <f>VLOOKUP(E61,'Rate Design (Consol)'!D:F,3,FALSE)</f>
        <v>&lt; = 1000</v>
      </c>
      <c r="O61" s="237">
        <f t="shared" si="0"/>
        <v>663</v>
      </c>
      <c r="P61" s="148">
        <f t="shared" si="6"/>
        <v>6</v>
      </c>
      <c r="Q61" s="148">
        <f t="shared" si="38"/>
        <v>72</v>
      </c>
      <c r="R61" s="148">
        <v>76.555307620756153</v>
      </c>
      <c r="S61" s="24">
        <v>210</v>
      </c>
      <c r="T61" s="25"/>
      <c r="U61" s="148">
        <v>3975.605303048208</v>
      </c>
      <c r="V61" s="238">
        <v>0.189</v>
      </c>
      <c r="W61" s="25"/>
      <c r="X61" s="131">
        <f>VLOOKUP(CONCATENATE(C61,B61),'G2-7 Summary'!S:W,2,FALSE)</f>
        <v>8.3809999999999996E-2</v>
      </c>
      <c r="Y61" s="131">
        <f>VLOOKUP(CONCATENATE(C61,B61),'G2-7 Summary'!S:W,3,FALSE)</f>
        <v>3.0700000000000009E-2</v>
      </c>
      <c r="Z61" s="131">
        <f>VLOOKUP(CONCATENATE(C61,B61),'G2-7 Summary'!S:W,4,FALSE)</f>
        <v>0</v>
      </c>
      <c r="AA61" s="131">
        <f>VLOOKUP(CONCATENATE(C61,B61),'G2-7 Summary'!S:W,5,FALSE)</f>
        <v>0.1646</v>
      </c>
      <c r="AB61" s="25"/>
      <c r="AC61" s="149">
        <f t="shared" si="34"/>
        <v>15120</v>
      </c>
      <c r="AD61" s="26">
        <f t="shared" si="35"/>
        <v>751.38940227611135</v>
      </c>
      <c r="AE61" s="26">
        <f t="shared" si="8"/>
        <v>333.19548044847028</v>
      </c>
      <c r="AF61" s="26"/>
      <c r="AG61" s="26">
        <f t="shared" si="9"/>
        <v>122.05108280358002</v>
      </c>
      <c r="AH61" s="26">
        <f t="shared" si="10"/>
        <v>0</v>
      </c>
      <c r="AI61" s="26">
        <f t="shared" si="11"/>
        <v>654.384632881735</v>
      </c>
      <c r="AJ61" s="29">
        <f t="shared" si="36"/>
        <v>16981.020598409898</v>
      </c>
      <c r="AK61" s="27">
        <f t="shared" si="12"/>
        <v>-776.43571568531502</v>
      </c>
      <c r="AL61" s="27">
        <f t="shared" si="13"/>
        <v>16204.584882724583</v>
      </c>
      <c r="AN61" s="27">
        <f>SUMIFS('Rate Design (Consol)'!K:K,'Rate Design (Consol)'!A:A,K61,'Rate Design (Consol)'!D:D,G61)</f>
        <v>40</v>
      </c>
      <c r="AO61" s="23">
        <f>SUMIFS('Rate Design (Consol)'!L:L,'Rate Design (Consol)'!A:A,K61,'Rate Design (Consol)'!D:D,G61)</f>
        <v>0.70123999999999997</v>
      </c>
      <c r="AP61" s="24">
        <f t="shared" si="14"/>
        <v>2880</v>
      </c>
      <c r="AQ61" s="24">
        <f t="shared" si="15"/>
        <v>2787.8534627095255</v>
      </c>
      <c r="AR61" s="25">
        <f t="shared" si="16"/>
        <v>5667.853462709525</v>
      </c>
      <c r="AT61" s="53"/>
      <c r="AU61" s="53"/>
      <c r="AV61" s="271"/>
      <c r="AW61" s="199"/>
      <c r="AX61" s="53"/>
      <c r="AY61" s="53"/>
    </row>
    <row r="62" spans="1:51" x14ac:dyDescent="0.25">
      <c r="A62" s="23" t="s">
        <v>172</v>
      </c>
      <c r="B62" s="23" t="s">
        <v>183</v>
      </c>
      <c r="C62" s="23" t="s">
        <v>174</v>
      </c>
      <c r="D62" s="23" t="s">
        <v>105</v>
      </c>
      <c r="E62" s="90" t="str">
        <f>INDEX('Rate Design (Consol)'!$B$48:$B$66,MATCH('G2-8 Summary'!F62,'Rate Design (Consol)'!$C$48:$C$66,0))</f>
        <v>GS-2</v>
      </c>
      <c r="F62" s="23" t="s">
        <v>12</v>
      </c>
      <c r="G62" s="90" t="str">
        <f>INDEX('Rate Design (Consol)'!$D$48:$D$66,MATCH('G2-8 Summary'!H62,'Rate Design (Consol)'!$E$48:$E$66,0))</f>
        <v>GS-2</v>
      </c>
      <c r="H62" s="23" t="str">
        <f t="shared" si="3"/>
        <v>General Service - 2</v>
      </c>
      <c r="I62" s="23" t="str">
        <f t="shared" si="17"/>
        <v>CF_FTS-5_General Service - 2</v>
      </c>
      <c r="J62" s="61" t="str">
        <f t="shared" si="5"/>
        <v>CFG-CFG - Firm Transportation Service - 5-GS-2</v>
      </c>
      <c r="K62" s="62" t="s">
        <v>257</v>
      </c>
      <c r="L62" s="146">
        <v>5.5555555555555552E-2</v>
      </c>
      <c r="M62" s="146">
        <v>8.4482074542610152E-3</v>
      </c>
      <c r="N62" s="90" t="str">
        <f>VLOOKUP(E62,'Rate Design (Consol)'!D:F,3,FALSE)</f>
        <v>&gt; 1000 &lt; = 5,000</v>
      </c>
      <c r="O62" s="237">
        <f t="shared" si="0"/>
        <v>4421</v>
      </c>
      <c r="P62" s="148">
        <f t="shared" si="6"/>
        <v>2</v>
      </c>
      <c r="Q62" s="148">
        <f t="shared" si="38"/>
        <v>24</v>
      </c>
      <c r="R62" s="148">
        <v>24</v>
      </c>
      <c r="S62" s="24">
        <v>380</v>
      </c>
      <c r="T62" s="25"/>
      <c r="U62" s="148">
        <v>8842.01</v>
      </c>
      <c r="V62" s="238">
        <v>0.1658</v>
      </c>
      <c r="W62" s="25"/>
      <c r="X62" s="131">
        <f>VLOOKUP(CONCATENATE(C62,B62),'G2-7 Summary'!S:W,2,FALSE)</f>
        <v>8.9869999999999992E-2</v>
      </c>
      <c r="Y62" s="131">
        <f>VLOOKUP(CONCATENATE(C62,B62),'G2-7 Summary'!S:W,3,FALSE)</f>
        <v>2.6809999999999997E-2</v>
      </c>
      <c r="Z62" s="131">
        <f>VLOOKUP(CONCATENATE(C62,B62),'G2-7 Summary'!S:W,4,FALSE)</f>
        <v>0</v>
      </c>
      <c r="AA62" s="131">
        <f>VLOOKUP(CONCATENATE(C62,B62),'G2-7 Summary'!S:W,5,FALSE)</f>
        <v>0.15879999999999997</v>
      </c>
      <c r="AB62" s="25"/>
      <c r="AC62" s="149">
        <f t="shared" si="34"/>
        <v>9120</v>
      </c>
      <c r="AD62" s="26">
        <f t="shared" si="35"/>
        <v>1466.0052580000001</v>
      </c>
      <c r="AE62" s="26">
        <f t="shared" si="8"/>
        <v>794.63143869999999</v>
      </c>
      <c r="AF62" s="26"/>
      <c r="AG62" s="26">
        <f t="shared" si="9"/>
        <v>237.05428809999998</v>
      </c>
      <c r="AH62" s="26">
        <f t="shared" si="10"/>
        <v>0</v>
      </c>
      <c r="AI62" s="26">
        <f t="shared" si="11"/>
        <v>1404.1111879999999</v>
      </c>
      <c r="AJ62" s="29">
        <f t="shared" si="36"/>
        <v>13021.802172800002</v>
      </c>
      <c r="AK62" s="27">
        <f t="shared" si="12"/>
        <v>-1641.1654760999998</v>
      </c>
      <c r="AL62" s="27">
        <f t="shared" si="13"/>
        <v>11380.636696700003</v>
      </c>
      <c r="AN62" s="27">
        <f>SUMIFS('Rate Design (Consol)'!K:K,'Rate Design (Consol)'!A:A,K62,'Rate Design (Consol)'!D:D,G62)</f>
        <v>70</v>
      </c>
      <c r="AO62" s="23">
        <f>SUMIFS('Rate Design (Consol)'!L:L,'Rate Design (Consol)'!A:A,K62,'Rate Design (Consol)'!D:D,G62)</f>
        <v>0.69901999999999997</v>
      </c>
      <c r="AP62" s="24">
        <f t="shared" si="14"/>
        <v>1680</v>
      </c>
      <c r="AQ62" s="24">
        <f t="shared" si="15"/>
        <v>6180.7418301999996</v>
      </c>
      <c r="AR62" s="25">
        <f t="shared" si="16"/>
        <v>7860.7418301999996</v>
      </c>
      <c r="AT62" s="53"/>
      <c r="AU62" s="53"/>
      <c r="AV62" s="271"/>
      <c r="AW62" s="199"/>
      <c r="AX62" s="53"/>
      <c r="AY62" s="53"/>
    </row>
    <row r="63" spans="1:51" x14ac:dyDescent="0.25">
      <c r="A63" s="23" t="s">
        <v>172</v>
      </c>
      <c r="B63" s="23" t="s">
        <v>183</v>
      </c>
      <c r="C63" s="23" t="s">
        <v>174</v>
      </c>
      <c r="D63" s="23" t="s">
        <v>105</v>
      </c>
      <c r="E63" s="90" t="str">
        <f>INDEX('Rate Design (Consol)'!$B$48:$B$66,MATCH('G2-8 Summary'!F63,'Rate Design (Consol)'!$C$48:$C$66,0))</f>
        <v>GS-3</v>
      </c>
      <c r="F63" s="23" t="s">
        <v>13</v>
      </c>
      <c r="G63" s="90" t="str">
        <f>INDEX('Rate Design (Consol)'!$D$48:$D$66,MATCH('G2-8 Summary'!H63,'Rate Design (Consol)'!$E$48:$E$66,0))</f>
        <v>GS-3</v>
      </c>
      <c r="H63" s="23" t="str">
        <f t="shared" si="3"/>
        <v>General Service - 3</v>
      </c>
      <c r="I63" s="23" t="str">
        <f t="shared" si="17"/>
        <v>CF_FTS-5_General Service - 3</v>
      </c>
      <c r="J63" s="61" t="str">
        <f t="shared" si="5"/>
        <v>CFG-CFG - Firm Transportation Service - 5-GS-3</v>
      </c>
      <c r="K63" s="62" t="s">
        <v>257</v>
      </c>
      <c r="L63" s="146">
        <v>2.7777777777777776E-2</v>
      </c>
      <c r="M63" s="146">
        <v>8.6031643345328146E-3</v>
      </c>
      <c r="N63" s="90" t="str">
        <f>VLOOKUP(E63,'Rate Design (Consol)'!D:F,3,FALSE)</f>
        <v>&gt; 5,000 &lt; = 10,000</v>
      </c>
      <c r="O63" s="237">
        <f t="shared" si="0"/>
        <v>9004</v>
      </c>
      <c r="P63" s="148">
        <f t="shared" si="6"/>
        <v>1</v>
      </c>
      <c r="Q63" s="148">
        <f t="shared" si="38"/>
        <v>12</v>
      </c>
      <c r="R63" s="148">
        <v>12</v>
      </c>
      <c r="S63" s="24">
        <v>380</v>
      </c>
      <c r="T63" s="25"/>
      <c r="U63" s="148">
        <v>9004.19</v>
      </c>
      <c r="V63" s="238">
        <v>0.1658</v>
      </c>
      <c r="W63" s="25"/>
      <c r="X63" s="131">
        <f>VLOOKUP(CONCATENATE(C63,B63),'G2-7 Summary'!S:W,2,FALSE)</f>
        <v>8.9869999999999992E-2</v>
      </c>
      <c r="Y63" s="131">
        <f>VLOOKUP(CONCATENATE(C63,B63),'G2-7 Summary'!S:W,3,FALSE)</f>
        <v>2.6809999999999997E-2</v>
      </c>
      <c r="Z63" s="131">
        <f>VLOOKUP(CONCATENATE(C63,B63),'G2-7 Summary'!S:W,4,FALSE)</f>
        <v>0</v>
      </c>
      <c r="AA63" s="131">
        <f>VLOOKUP(CONCATENATE(C63,B63),'G2-7 Summary'!S:W,5,FALSE)</f>
        <v>0.15879999999999997</v>
      </c>
      <c r="AB63" s="25"/>
      <c r="AC63" s="149">
        <f t="shared" si="34"/>
        <v>4560</v>
      </c>
      <c r="AD63" s="26">
        <f t="shared" si="35"/>
        <v>1492.8947020000001</v>
      </c>
      <c r="AE63" s="26">
        <f t="shared" si="8"/>
        <v>809.20655529999999</v>
      </c>
      <c r="AF63" s="26"/>
      <c r="AG63" s="26">
        <f t="shared" si="9"/>
        <v>241.40233389999997</v>
      </c>
      <c r="AH63" s="26">
        <f t="shared" si="10"/>
        <v>0</v>
      </c>
      <c r="AI63" s="26">
        <f t="shared" si="11"/>
        <v>1429.8653719999998</v>
      </c>
      <c r="AJ63" s="29">
        <f t="shared" si="36"/>
        <v>8533.3689631999987</v>
      </c>
      <c r="AK63" s="27">
        <f t="shared" si="12"/>
        <v>-1671.2677058999998</v>
      </c>
      <c r="AL63" s="27">
        <f t="shared" si="13"/>
        <v>6862.1012572999989</v>
      </c>
      <c r="AN63" s="27">
        <f>SUMIFS('Rate Design (Consol)'!K:K,'Rate Design (Consol)'!A:A,K63,'Rate Design (Consol)'!D:D,G63)</f>
        <v>150</v>
      </c>
      <c r="AO63" s="23">
        <f>SUMIFS('Rate Design (Consol)'!L:L,'Rate Design (Consol)'!A:A,K63,'Rate Design (Consol)'!D:D,G63)</f>
        <v>0.62475000000000003</v>
      </c>
      <c r="AP63" s="24">
        <f t="shared" si="14"/>
        <v>1800</v>
      </c>
      <c r="AQ63" s="24">
        <f t="shared" si="15"/>
        <v>5625.3677025000006</v>
      </c>
      <c r="AR63" s="25">
        <f t="shared" si="16"/>
        <v>7425.3677025000006</v>
      </c>
      <c r="AT63" s="53"/>
      <c r="AU63" s="53"/>
      <c r="AV63" s="271"/>
      <c r="AW63" s="199"/>
      <c r="AX63" s="53"/>
      <c r="AY63" s="53"/>
    </row>
    <row r="64" spans="1:51" x14ac:dyDescent="0.25">
      <c r="A64" s="23" t="s">
        <v>172</v>
      </c>
      <c r="B64" s="23" t="s">
        <v>183</v>
      </c>
      <c r="C64" s="23" t="s">
        <v>174</v>
      </c>
      <c r="D64" s="23" t="s">
        <v>105</v>
      </c>
      <c r="E64" s="90" t="str">
        <f>INDEX('Rate Design (Consol)'!$B$48:$B$66,MATCH('G2-8 Summary'!F64,'Rate Design (Consol)'!$C$48:$C$66,0))</f>
        <v>GS-4</v>
      </c>
      <c r="F64" s="23" t="s">
        <v>14</v>
      </c>
      <c r="G64" s="90" t="str">
        <f>INDEX('Rate Design (Consol)'!$D$48:$D$66,MATCH('G2-8 Summary'!H64,'Rate Design (Consol)'!$E$48:$E$66,0))</f>
        <v>GS-4</v>
      </c>
      <c r="H64" s="23" t="str">
        <f t="shared" si="3"/>
        <v>General Service - 4</v>
      </c>
      <c r="I64" s="23" t="str">
        <f t="shared" si="17"/>
        <v>CF_FTS-5_General Service - 4</v>
      </c>
      <c r="J64" s="61" t="str">
        <f t="shared" si="5"/>
        <v>CFG-CFG - Firm Transportation Service - 5-GS-4</v>
      </c>
      <c r="K64" s="62" t="s">
        <v>257</v>
      </c>
      <c r="L64" s="146">
        <v>0.75</v>
      </c>
      <c r="M64" s="146">
        <v>0.75115410772268298</v>
      </c>
      <c r="N64" s="90" t="str">
        <f>VLOOKUP(E64,'Rate Design (Consol)'!D:F,3,FALSE)</f>
        <v>&gt; 10,000 &lt; = 50,000</v>
      </c>
      <c r="O64" s="237">
        <f t="shared" si="0"/>
        <v>29117</v>
      </c>
      <c r="P64" s="148">
        <f t="shared" si="6"/>
        <v>27</v>
      </c>
      <c r="Q64" s="148">
        <f t="shared" si="38"/>
        <v>324</v>
      </c>
      <c r="R64" s="148">
        <v>324</v>
      </c>
      <c r="S64" s="24">
        <v>380</v>
      </c>
      <c r="T64" s="25"/>
      <c r="U64" s="148">
        <v>786168.21000000008</v>
      </c>
      <c r="V64" s="238">
        <v>0.1658</v>
      </c>
      <c r="W64" s="25"/>
      <c r="X64" s="131">
        <f>VLOOKUP(CONCATENATE(C64,B64),'G2-7 Summary'!S:W,2,FALSE)</f>
        <v>8.9869999999999992E-2</v>
      </c>
      <c r="Y64" s="131">
        <f>VLOOKUP(CONCATENATE(C64,B64),'G2-7 Summary'!S:W,3,FALSE)</f>
        <v>2.6809999999999997E-2</v>
      </c>
      <c r="Z64" s="131">
        <f>VLOOKUP(CONCATENATE(C64,B64),'G2-7 Summary'!S:W,4,FALSE)</f>
        <v>0</v>
      </c>
      <c r="AA64" s="131">
        <f>VLOOKUP(CONCATENATE(C64,B64),'G2-7 Summary'!S:W,5,FALSE)</f>
        <v>0.15879999999999997</v>
      </c>
      <c r="AB64" s="25"/>
      <c r="AC64" s="149">
        <f t="shared" si="34"/>
        <v>123120</v>
      </c>
      <c r="AD64" s="26">
        <f t="shared" si="35"/>
        <v>130346.68921800001</v>
      </c>
      <c r="AE64" s="26">
        <f t="shared" si="8"/>
        <v>70652.937032700007</v>
      </c>
      <c r="AF64" s="26"/>
      <c r="AG64" s="26">
        <f t="shared" si="9"/>
        <v>21077.169710099999</v>
      </c>
      <c r="AH64" s="26">
        <f t="shared" si="10"/>
        <v>0</v>
      </c>
      <c r="AI64" s="26">
        <f t="shared" si="11"/>
        <v>124843.51174799999</v>
      </c>
      <c r="AJ64" s="29">
        <f t="shared" si="36"/>
        <v>470040.30770880001</v>
      </c>
      <c r="AK64" s="27">
        <f t="shared" si="12"/>
        <v>-145920.68145809998</v>
      </c>
      <c r="AL64" s="27">
        <f t="shared" si="13"/>
        <v>324119.62625070004</v>
      </c>
      <c r="AN64" s="27">
        <f>SUMIFS('Rate Design (Consol)'!K:K,'Rate Design (Consol)'!A:A,K64,'Rate Design (Consol)'!D:D,G64)</f>
        <v>275</v>
      </c>
      <c r="AO64" s="23">
        <f>SUMIFS('Rate Design (Consol)'!L:L,'Rate Design (Consol)'!A:A,K64,'Rate Design (Consol)'!D:D,G64)</f>
        <v>0.59182999999999997</v>
      </c>
      <c r="AP64" s="24">
        <f t="shared" si="14"/>
        <v>89100</v>
      </c>
      <c r="AQ64" s="24">
        <f t="shared" si="15"/>
        <v>465277.93172430003</v>
      </c>
      <c r="AR64" s="25">
        <f t="shared" si="16"/>
        <v>554377.93172430003</v>
      </c>
      <c r="AT64" s="53"/>
      <c r="AU64" s="53"/>
      <c r="AV64" s="271"/>
      <c r="AW64" s="199"/>
      <c r="AX64" s="53"/>
      <c r="AY64" s="53"/>
    </row>
    <row r="65" spans="1:51" x14ac:dyDescent="0.25">
      <c r="A65" s="23" t="s">
        <v>172</v>
      </c>
      <c r="B65" s="23" t="s">
        <v>183</v>
      </c>
      <c r="C65" s="23" t="s">
        <v>174</v>
      </c>
      <c r="D65" s="23" t="s">
        <v>105</v>
      </c>
      <c r="E65" s="90" t="str">
        <f>INDEX('Rate Design (Consol)'!$B$48:$B$66,MATCH('G2-8 Summary'!F65,'Rate Design (Consol)'!$C$48:$C$66,0))</f>
        <v>GS-5</v>
      </c>
      <c r="F65" s="23" t="s">
        <v>15</v>
      </c>
      <c r="G65" s="90" t="str">
        <f>INDEX('Rate Design (Consol)'!$D$48:$D$66,MATCH('G2-8 Summary'!H65,'Rate Design (Consol)'!$E$48:$E$66,0))</f>
        <v>GS-5</v>
      </c>
      <c r="H65" s="23" t="str">
        <f t="shared" si="3"/>
        <v>General Service - 5</v>
      </c>
      <c r="I65" s="23" t="str">
        <f t="shared" si="17"/>
        <v>CF_FTS-5_General Service - 5</v>
      </c>
      <c r="J65" s="61" t="str">
        <f t="shared" si="5"/>
        <v>CFG-CFG - Firm Transportation Service - 5-GS-5</v>
      </c>
      <c r="K65" s="62" t="s">
        <v>257</v>
      </c>
      <c r="L65" s="146">
        <v>0.1111111111111111</v>
      </c>
      <c r="M65" s="146">
        <v>0.23044277060608814</v>
      </c>
      <c r="N65" s="90" t="str">
        <f>VLOOKUP(E65,'Rate Design (Consol)'!D:F,3,FALSE)</f>
        <v>&gt; 50,000 &lt; = 250,000</v>
      </c>
      <c r="O65" s="237">
        <f t="shared" si="0"/>
        <v>60296</v>
      </c>
      <c r="P65" s="147">
        <f t="shared" si="6"/>
        <v>4</v>
      </c>
      <c r="Q65" s="148">
        <f t="shared" si="38"/>
        <v>48</v>
      </c>
      <c r="R65" s="148">
        <v>48</v>
      </c>
      <c r="S65" s="151">
        <v>380</v>
      </c>
      <c r="T65" s="25"/>
      <c r="U65" s="148">
        <v>241184.56999999998</v>
      </c>
      <c r="V65" s="238">
        <v>0.1658</v>
      </c>
      <c r="W65" s="25"/>
      <c r="X65" s="131">
        <f>VLOOKUP(CONCATENATE(C65,B65),'G2-7 Summary'!S:W,2,FALSE)</f>
        <v>8.9869999999999992E-2</v>
      </c>
      <c r="Y65" s="131">
        <f>VLOOKUP(CONCATENATE(C65,B65),'G2-7 Summary'!S:W,3,FALSE)</f>
        <v>2.6809999999999997E-2</v>
      </c>
      <c r="Z65" s="131">
        <f>VLOOKUP(CONCATENATE(C65,B65),'G2-7 Summary'!S:W,4,FALSE)</f>
        <v>0</v>
      </c>
      <c r="AA65" s="131">
        <f>VLOOKUP(CONCATENATE(C65,B65),'G2-7 Summary'!S:W,5,FALSE)</f>
        <v>0.15879999999999997</v>
      </c>
      <c r="AB65" s="25"/>
      <c r="AC65" s="149">
        <f t="shared" si="34"/>
        <v>18240</v>
      </c>
      <c r="AD65" s="149">
        <f t="shared" si="35"/>
        <v>39988.401705999997</v>
      </c>
      <c r="AE65" s="149">
        <f t="shared" si="8"/>
        <v>21675.257305899995</v>
      </c>
      <c r="AF65" s="149"/>
      <c r="AG65" s="149">
        <f t="shared" si="9"/>
        <v>6466.1583216999989</v>
      </c>
      <c r="AH65" s="149">
        <f t="shared" si="10"/>
        <v>0</v>
      </c>
      <c r="AI65" s="149">
        <f t="shared" si="11"/>
        <v>38300.109715999992</v>
      </c>
      <c r="AJ65" s="119">
        <f t="shared" si="36"/>
        <v>124669.92704959998</v>
      </c>
      <c r="AK65" s="27">
        <f t="shared" si="12"/>
        <v>-44766.268037699992</v>
      </c>
      <c r="AL65" s="27">
        <f t="shared" si="13"/>
        <v>79903.659011899988</v>
      </c>
      <c r="AN65" s="27">
        <f>SUMIFS('Rate Design (Consol)'!K:K,'Rate Design (Consol)'!A:A,K65,'Rate Design (Consol)'!D:D,G65)</f>
        <v>750</v>
      </c>
      <c r="AO65" s="23">
        <f>SUMIFS('Rate Design (Consol)'!L:L,'Rate Design (Consol)'!A:A,K65,'Rate Design (Consol)'!D:D,G65)</f>
        <v>0.52</v>
      </c>
      <c r="AP65" s="24">
        <f t="shared" si="14"/>
        <v>36000</v>
      </c>
      <c r="AQ65" s="24">
        <f t="shared" si="15"/>
        <v>125415.9764</v>
      </c>
      <c r="AR65" s="25">
        <f t="shared" si="16"/>
        <v>161415.97639999999</v>
      </c>
      <c r="AT65" s="53"/>
      <c r="AU65" s="53"/>
      <c r="AV65" s="271"/>
      <c r="AW65" s="199"/>
      <c r="AX65" s="53"/>
      <c r="AY65" s="53"/>
    </row>
    <row r="66" spans="1:51" x14ac:dyDescent="0.25">
      <c r="A66" s="23" t="s">
        <v>172</v>
      </c>
      <c r="B66" s="23" t="s">
        <v>183</v>
      </c>
      <c r="C66" s="23" t="s">
        <v>174</v>
      </c>
      <c r="D66" s="23" t="s">
        <v>105</v>
      </c>
      <c r="E66" s="90" t="str">
        <f>INDEX('Rate Design (Consol)'!$B$48:$B$66,MATCH('G2-8 Summary'!F66,'Rate Design (Consol)'!$C$48:$C$66,0))</f>
        <v>GS-1</v>
      </c>
      <c r="F66" s="23" t="s">
        <v>11</v>
      </c>
      <c r="G66" s="90" t="str">
        <f>INDEX('Rate Design (Consol)'!$D$48:$D$66,MATCH('G2-8 Summary'!H66,'Rate Design (Consol)'!$E$48:$E$66,0))</f>
        <v>GS-1</v>
      </c>
      <c r="H66" s="23" t="str">
        <f t="shared" si="3"/>
        <v>General Service - 1</v>
      </c>
      <c r="I66" s="23" t="str">
        <f t="shared" si="17"/>
        <v>CF_FTS-5_General Service - 1</v>
      </c>
      <c r="J66" s="61" t="str">
        <f t="shared" si="5"/>
        <v>CFG-CFG - Firm Transportation Service - 5-GS-1</v>
      </c>
      <c r="K66" s="62" t="s">
        <v>257</v>
      </c>
      <c r="L66" s="146">
        <v>5.5555555555555552E-2</v>
      </c>
      <c r="M66" s="146">
        <v>1.3517498824351379E-3</v>
      </c>
      <c r="N66" s="90" t="str">
        <f>VLOOKUP(E66,'Rate Design (Consol)'!D:F,3,FALSE)</f>
        <v>&lt; = 1000</v>
      </c>
      <c r="O66" s="237">
        <f t="shared" si="0"/>
        <v>707</v>
      </c>
      <c r="P66" s="148">
        <f t="shared" si="6"/>
        <v>2</v>
      </c>
      <c r="Q66" s="148">
        <f t="shared" si="38"/>
        <v>24</v>
      </c>
      <c r="R66" s="148">
        <v>24</v>
      </c>
      <c r="S66" s="24">
        <v>380</v>
      </c>
      <c r="T66" s="25"/>
      <c r="U66" s="148">
        <v>1414.76</v>
      </c>
      <c r="V66" s="238">
        <v>0.1658</v>
      </c>
      <c r="W66" s="25"/>
      <c r="X66" s="131">
        <f>VLOOKUP(CONCATENATE(C66,B66),'G2-7 Summary'!S:W,2,FALSE)</f>
        <v>8.9869999999999992E-2</v>
      </c>
      <c r="Y66" s="131">
        <f>VLOOKUP(CONCATENATE(C66,B66),'G2-7 Summary'!S:W,3,FALSE)</f>
        <v>2.6809999999999997E-2</v>
      </c>
      <c r="Z66" s="131">
        <f>VLOOKUP(CONCATENATE(C66,B66),'G2-7 Summary'!S:W,4,FALSE)</f>
        <v>0</v>
      </c>
      <c r="AA66" s="131">
        <f>VLOOKUP(CONCATENATE(C66,B66),'G2-7 Summary'!S:W,5,FALSE)</f>
        <v>0.15879999999999997</v>
      </c>
      <c r="AB66" s="25"/>
      <c r="AC66" s="149">
        <f t="shared" si="34"/>
        <v>9120</v>
      </c>
      <c r="AD66" s="26">
        <f t="shared" si="35"/>
        <v>234.56720799999999</v>
      </c>
      <c r="AE66" s="26">
        <f t="shared" si="8"/>
        <v>127.14448119999999</v>
      </c>
      <c r="AF66" s="26"/>
      <c r="AG66" s="26">
        <f t="shared" si="9"/>
        <v>37.929715599999994</v>
      </c>
      <c r="AH66" s="26">
        <f t="shared" si="10"/>
        <v>0</v>
      </c>
      <c r="AI66" s="26">
        <f t="shared" si="11"/>
        <v>224.66388799999996</v>
      </c>
      <c r="AJ66" s="29">
        <f t="shared" si="36"/>
        <v>9744.3052927999997</v>
      </c>
      <c r="AK66" s="27">
        <f t="shared" si="12"/>
        <v>-262.59360359999994</v>
      </c>
      <c r="AL66" s="27">
        <f t="shared" si="13"/>
        <v>9481.7116891999995</v>
      </c>
      <c r="AN66" s="27">
        <f>SUMIFS('Rate Design (Consol)'!K:K,'Rate Design (Consol)'!A:A,K66,'Rate Design (Consol)'!D:D,G66)</f>
        <v>40</v>
      </c>
      <c r="AO66" s="23">
        <f>SUMIFS('Rate Design (Consol)'!L:L,'Rate Design (Consol)'!A:A,K66,'Rate Design (Consol)'!D:D,G66)</f>
        <v>0.70123999999999997</v>
      </c>
      <c r="AP66" s="24">
        <f t="shared" si="14"/>
        <v>960</v>
      </c>
      <c r="AQ66" s="24">
        <f t="shared" si="15"/>
        <v>992.08630239999991</v>
      </c>
      <c r="AR66" s="25">
        <f t="shared" si="16"/>
        <v>1952.0863024</v>
      </c>
      <c r="AT66" s="53"/>
      <c r="AU66" s="53"/>
      <c r="AV66" s="271"/>
      <c r="AW66" s="199"/>
      <c r="AX66" s="53"/>
      <c r="AY66" s="53"/>
    </row>
    <row r="67" spans="1:51" x14ac:dyDescent="0.25">
      <c r="A67" s="23" t="s">
        <v>172</v>
      </c>
      <c r="B67" s="23" t="s">
        <v>184</v>
      </c>
      <c r="C67" s="23" t="s">
        <v>174</v>
      </c>
      <c r="D67" s="23" t="s">
        <v>110</v>
      </c>
      <c r="E67" s="90" t="str">
        <f>INDEX('Rate Design (Consol)'!$B$48:$B$66,MATCH('G2-8 Summary'!F67,'Rate Design (Consol)'!$C$48:$C$66,0))</f>
        <v>GS-2</v>
      </c>
      <c r="F67" s="23" t="s">
        <v>12</v>
      </c>
      <c r="G67" s="90" t="str">
        <f>INDEX('Rate Design (Consol)'!$D$48:$D$66,MATCH('G2-8 Summary'!H67,'Rate Design (Consol)'!$E$48:$E$66,0))</f>
        <v>GS-2</v>
      </c>
      <c r="H67" s="23" t="str">
        <f t="shared" si="3"/>
        <v>General Service - 2</v>
      </c>
      <c r="I67" s="23" t="str">
        <f t="shared" si="17"/>
        <v>CF_FTS-6_General Service - 2</v>
      </c>
      <c r="J67" s="61" t="str">
        <f t="shared" si="5"/>
        <v>CFG-CFG - Firm Transportation Service - 6-GS-2</v>
      </c>
      <c r="K67" s="62" t="s">
        <v>257</v>
      </c>
      <c r="L67" s="146">
        <v>6.4516129032258063E-2</v>
      </c>
      <c r="M67" s="146">
        <v>3.1080809156862257E-3</v>
      </c>
      <c r="N67" s="90" t="str">
        <f>VLOOKUP(E67,'Rate Design (Consol)'!D:F,3,FALSE)</f>
        <v>&gt; 1000 &lt; = 5,000</v>
      </c>
      <c r="O67" s="237">
        <f t="shared" si="0"/>
        <v>3857</v>
      </c>
      <c r="P67" s="148">
        <f t="shared" si="6"/>
        <v>2</v>
      </c>
      <c r="Q67" s="148">
        <f t="shared" si="38"/>
        <v>24</v>
      </c>
      <c r="R67" s="148">
        <v>23.225806451612904</v>
      </c>
      <c r="S67" s="24">
        <v>600</v>
      </c>
      <c r="T67" s="25"/>
      <c r="U67" s="148">
        <v>7713.21</v>
      </c>
      <c r="V67" s="242">
        <v>0.15137</v>
      </c>
      <c r="W67" s="25"/>
      <c r="X67" s="131">
        <f>VLOOKUP(CONCATENATE(C67,B67),'G2-7 Summary'!S:W,2,FALSE)</f>
        <v>5.7680000000000009E-2</v>
      </c>
      <c r="Y67" s="131">
        <f>VLOOKUP(CONCATENATE(C67,B67),'G2-7 Summary'!S:W,3,FALSE)</f>
        <v>2.1649999999999999E-2</v>
      </c>
      <c r="Z67" s="131">
        <f>VLOOKUP(CONCATENATE(C67,B67),'G2-7 Summary'!S:W,4,FALSE)</f>
        <v>0</v>
      </c>
      <c r="AA67" s="131">
        <f>VLOOKUP(CONCATENATE(C67,B67),'G2-7 Summary'!S:W,5,FALSE)</f>
        <v>0.15920000000000001</v>
      </c>
      <c r="AB67" s="25"/>
      <c r="AC67" s="149">
        <f t="shared" si="34"/>
        <v>14400</v>
      </c>
      <c r="AD67" s="26">
        <f t="shared" si="35"/>
        <v>1167.5485977000001</v>
      </c>
      <c r="AE67" s="26">
        <f t="shared" si="8"/>
        <v>444.8979528000001</v>
      </c>
      <c r="AF67" s="26"/>
      <c r="AG67" s="26">
        <f t="shared" si="9"/>
        <v>166.99099649999999</v>
      </c>
      <c r="AH67" s="26">
        <f t="shared" si="10"/>
        <v>0</v>
      </c>
      <c r="AI67" s="26">
        <f t="shared" si="11"/>
        <v>1227.9430320000001</v>
      </c>
      <c r="AJ67" s="29">
        <f t="shared" si="36"/>
        <v>17407.380579000001</v>
      </c>
      <c r="AK67" s="27">
        <f t="shared" si="12"/>
        <v>-1394.9340285000001</v>
      </c>
      <c r="AL67" s="27">
        <f t="shared" si="13"/>
        <v>16012.446550500001</v>
      </c>
      <c r="AN67" s="27">
        <f>SUMIFS('Rate Design (Consol)'!K:K,'Rate Design (Consol)'!A:A,K67,'Rate Design (Consol)'!D:D,G67)</f>
        <v>70</v>
      </c>
      <c r="AO67" s="23">
        <f>SUMIFS('Rate Design (Consol)'!L:L,'Rate Design (Consol)'!A:A,K67,'Rate Design (Consol)'!D:D,G67)</f>
        <v>0.69901999999999997</v>
      </c>
      <c r="AP67" s="24">
        <f t="shared" si="14"/>
        <v>1680</v>
      </c>
      <c r="AQ67" s="24">
        <f t="shared" si="15"/>
        <v>5391.6880541999999</v>
      </c>
      <c r="AR67" s="25">
        <f t="shared" si="16"/>
        <v>7071.6880541999999</v>
      </c>
      <c r="AT67" s="53"/>
      <c r="AU67" s="53"/>
      <c r="AV67" s="271"/>
      <c r="AW67" s="199"/>
      <c r="AX67" s="53"/>
      <c r="AY67" s="53"/>
    </row>
    <row r="68" spans="1:51" x14ac:dyDescent="0.25">
      <c r="A68" s="23" t="s">
        <v>172</v>
      </c>
      <c r="B68" s="23" t="s">
        <v>184</v>
      </c>
      <c r="C68" s="23" t="s">
        <v>174</v>
      </c>
      <c r="D68" s="23" t="s">
        <v>110</v>
      </c>
      <c r="E68" s="90" t="str">
        <f>INDEX('Rate Design (Consol)'!$B$48:$B$66,MATCH('G2-8 Summary'!F68,'Rate Design (Consol)'!$C$48:$C$66,0))</f>
        <v>GS-3</v>
      </c>
      <c r="F68" s="23" t="s">
        <v>13</v>
      </c>
      <c r="G68" s="90" t="str">
        <f>INDEX('Rate Design (Consol)'!$D$48:$D$66,MATCH('G2-8 Summary'!H68,'Rate Design (Consol)'!$E$48:$E$66,0))</f>
        <v>GS-3</v>
      </c>
      <c r="H68" s="23" t="str">
        <f t="shared" si="3"/>
        <v>General Service - 3</v>
      </c>
      <c r="I68" s="23" t="str">
        <f t="shared" ref="I68:I106" si="40">CONCATENATE(C68,"_",B68,"_",H68)</f>
        <v>CF_FTS-6_General Service - 3</v>
      </c>
      <c r="J68" s="61" t="str">
        <f t="shared" si="5"/>
        <v>CFG-CFG - Firm Transportation Service - 6-GS-3</v>
      </c>
      <c r="K68" s="62" t="s">
        <v>257</v>
      </c>
      <c r="L68" s="146">
        <v>0.12903225806451613</v>
      </c>
      <c r="M68" s="146">
        <v>1.0525356585556641E-2</v>
      </c>
      <c r="N68" s="90" t="str">
        <f>VLOOKUP(E68,'Rate Design (Consol)'!D:F,3,FALSE)</f>
        <v>&gt; 5,000 &lt; = 10,000</v>
      </c>
      <c r="O68" s="237">
        <f t="shared" si="0"/>
        <v>6530</v>
      </c>
      <c r="P68" s="148">
        <f t="shared" si="6"/>
        <v>4</v>
      </c>
      <c r="Q68" s="148">
        <f t="shared" si="38"/>
        <v>48</v>
      </c>
      <c r="R68" s="148">
        <v>46.451612903225808</v>
      </c>
      <c r="S68" s="24">
        <v>600</v>
      </c>
      <c r="T68" s="25"/>
      <c r="U68" s="148">
        <v>26120.39</v>
      </c>
      <c r="V68" s="242">
        <v>0.15137</v>
      </c>
      <c r="W68" s="25"/>
      <c r="X68" s="131">
        <f>VLOOKUP(CONCATENATE(C68,B68),'G2-7 Summary'!S:W,2,FALSE)</f>
        <v>5.7680000000000009E-2</v>
      </c>
      <c r="Y68" s="131">
        <f>VLOOKUP(CONCATENATE(C68,B68),'G2-7 Summary'!S:W,3,FALSE)</f>
        <v>2.1649999999999999E-2</v>
      </c>
      <c r="Z68" s="131">
        <f>VLOOKUP(CONCATENATE(C68,B68),'G2-7 Summary'!S:W,4,FALSE)</f>
        <v>0</v>
      </c>
      <c r="AA68" s="131">
        <f>VLOOKUP(CONCATENATE(C68,B68),'G2-7 Summary'!S:W,5,FALSE)</f>
        <v>0.15920000000000001</v>
      </c>
      <c r="AB68" s="25"/>
      <c r="AC68" s="149">
        <f t="shared" si="34"/>
        <v>28800</v>
      </c>
      <c r="AD68" s="26">
        <f t="shared" si="35"/>
        <v>3953.8434342999999</v>
      </c>
      <c r="AE68" s="26">
        <f t="shared" si="8"/>
        <v>1506.6240952000003</v>
      </c>
      <c r="AF68" s="26"/>
      <c r="AG68" s="26">
        <f t="shared" si="9"/>
        <v>565.50644349999993</v>
      </c>
      <c r="AH68" s="26">
        <f t="shared" si="10"/>
        <v>0</v>
      </c>
      <c r="AI68" s="26">
        <f t="shared" si="11"/>
        <v>4158.3660879999998</v>
      </c>
      <c r="AJ68" s="29">
        <f t="shared" si="36"/>
        <v>38984.340061000003</v>
      </c>
      <c r="AK68" s="27">
        <f t="shared" si="12"/>
        <v>-4723.8725314999992</v>
      </c>
      <c r="AL68" s="27">
        <f t="shared" si="13"/>
        <v>34260.467529500005</v>
      </c>
      <c r="AN68" s="27">
        <f>SUMIFS('Rate Design (Consol)'!K:K,'Rate Design (Consol)'!A:A,K68,'Rate Design (Consol)'!D:D,G68)</f>
        <v>150</v>
      </c>
      <c r="AO68" s="23">
        <f>SUMIFS('Rate Design (Consol)'!L:L,'Rate Design (Consol)'!A:A,K68,'Rate Design (Consol)'!D:D,G68)</f>
        <v>0.62475000000000003</v>
      </c>
      <c r="AP68" s="24">
        <f t="shared" si="14"/>
        <v>7200</v>
      </c>
      <c r="AQ68" s="24">
        <f t="shared" si="15"/>
        <v>16318.713652500001</v>
      </c>
      <c r="AR68" s="25">
        <f t="shared" si="16"/>
        <v>23518.713652500002</v>
      </c>
      <c r="AT68" s="53"/>
      <c r="AU68" s="53"/>
      <c r="AV68" s="271"/>
      <c r="AW68" s="199"/>
      <c r="AX68" s="53"/>
      <c r="AY68" s="53"/>
    </row>
    <row r="69" spans="1:51" x14ac:dyDescent="0.25">
      <c r="A69" s="23" t="s">
        <v>172</v>
      </c>
      <c r="B69" s="23" t="s">
        <v>184</v>
      </c>
      <c r="C69" s="23" t="s">
        <v>174</v>
      </c>
      <c r="D69" s="23" t="s">
        <v>110</v>
      </c>
      <c r="E69" s="90" t="str">
        <f>INDEX('Rate Design (Consol)'!$B$48:$B$66,MATCH('G2-8 Summary'!F69,'Rate Design (Consol)'!$C$48:$C$66,0))</f>
        <v>GS-4</v>
      </c>
      <c r="F69" s="23" t="s">
        <v>14</v>
      </c>
      <c r="G69" s="90" t="str">
        <f>INDEX('Rate Design (Consol)'!$D$48:$D$66,MATCH('G2-8 Summary'!H69,'Rate Design (Consol)'!$E$48:$E$66,0))</f>
        <v>GS-4</v>
      </c>
      <c r="H69" s="23" t="str">
        <f t="shared" ref="H69:H132" si="41">F69</f>
        <v>General Service - 4</v>
      </c>
      <c r="I69" s="23" t="str">
        <f t="shared" si="40"/>
        <v>CF_FTS-6_General Service - 4</v>
      </c>
      <c r="J69" s="61" t="str">
        <f t="shared" si="5"/>
        <v>CFG-CFG - Firm Transportation Service - 6-GS-4</v>
      </c>
      <c r="K69" s="62" t="s">
        <v>257</v>
      </c>
      <c r="L69" s="146">
        <v>0.29032258064516131</v>
      </c>
      <c r="M69" s="146">
        <v>0.15034557126988696</v>
      </c>
      <c r="N69" s="90" t="str">
        <f>VLOOKUP(E69,'Rate Design (Consol)'!D:F,3,FALSE)</f>
        <v>&gt; 10,000 &lt; = 50,000</v>
      </c>
      <c r="O69" s="237">
        <f t="shared" ref="O69:O132" si="42">ROUND(U69/P69,0)</f>
        <v>41456</v>
      </c>
      <c r="P69" s="148">
        <f t="shared" si="6"/>
        <v>9</v>
      </c>
      <c r="Q69" s="148">
        <f t="shared" si="38"/>
        <v>108</v>
      </c>
      <c r="R69" s="148">
        <v>104.51612903225808</v>
      </c>
      <c r="S69" s="24">
        <v>600</v>
      </c>
      <c r="T69" s="25"/>
      <c r="U69" s="148">
        <v>373107.07</v>
      </c>
      <c r="V69" s="242">
        <v>0.15137</v>
      </c>
      <c r="W69" s="25"/>
      <c r="X69" s="131">
        <f>VLOOKUP(CONCATENATE(C69,B69),'G2-7 Summary'!S:W,2,FALSE)</f>
        <v>5.7680000000000009E-2</v>
      </c>
      <c r="Y69" s="131">
        <f>VLOOKUP(CONCATENATE(C69,B69),'G2-7 Summary'!S:W,3,FALSE)</f>
        <v>2.1649999999999999E-2</v>
      </c>
      <c r="Z69" s="131">
        <f>VLOOKUP(CONCATENATE(C69,B69),'G2-7 Summary'!S:W,4,FALSE)</f>
        <v>0</v>
      </c>
      <c r="AA69" s="131">
        <f>VLOOKUP(CONCATENATE(C69,B69),'G2-7 Summary'!S:W,5,FALSE)</f>
        <v>0.15920000000000001</v>
      </c>
      <c r="AB69" s="25"/>
      <c r="AC69" s="149">
        <f t="shared" ref="AC69:AC100" si="43">S69*P69*12</f>
        <v>64800</v>
      </c>
      <c r="AD69" s="26">
        <f t="shared" ref="AD69:AD99" si="44">U69*V69</f>
        <v>56477.217185900001</v>
      </c>
      <c r="AE69" s="26">
        <f t="shared" si="8"/>
        <v>21520.815797600004</v>
      </c>
      <c r="AF69" s="26"/>
      <c r="AG69" s="26">
        <f t="shared" si="9"/>
        <v>8077.7680654999995</v>
      </c>
      <c r="AH69" s="26">
        <f t="shared" si="10"/>
        <v>0</v>
      </c>
      <c r="AI69" s="26">
        <f t="shared" si="11"/>
        <v>59398.645544000006</v>
      </c>
      <c r="AJ69" s="29">
        <f t="shared" ref="AJ69:AJ98" si="45">SUM(AC69:AI69)</f>
        <v>210274.44659299997</v>
      </c>
      <c r="AK69" s="27">
        <f t="shared" si="12"/>
        <v>-67476.413609499999</v>
      </c>
      <c r="AL69" s="27">
        <f t="shared" si="13"/>
        <v>142798.03298349999</v>
      </c>
      <c r="AN69" s="27">
        <f>SUMIFS('Rate Design (Consol)'!K:K,'Rate Design (Consol)'!A:A,K69,'Rate Design (Consol)'!D:D,G69)</f>
        <v>275</v>
      </c>
      <c r="AO69" s="23">
        <f>SUMIFS('Rate Design (Consol)'!L:L,'Rate Design (Consol)'!A:A,K69,'Rate Design (Consol)'!D:D,G69)</f>
        <v>0.59182999999999997</v>
      </c>
      <c r="AP69" s="24">
        <f t="shared" ref="AP69:AP132" si="46">Q69*AN69</f>
        <v>29700</v>
      </c>
      <c r="AQ69" s="24">
        <f t="shared" ref="AQ69:AQ132" si="47">U69*AO69</f>
        <v>220815.9572381</v>
      </c>
      <c r="AR69" s="25">
        <f t="shared" ref="AR69:AR132" si="48">Q69*AN69+U69*AO69</f>
        <v>250515.9572381</v>
      </c>
      <c r="AT69" s="53"/>
      <c r="AU69" s="53"/>
      <c r="AV69" s="271"/>
      <c r="AW69" s="199"/>
      <c r="AX69" s="53"/>
      <c r="AY69" s="53"/>
    </row>
    <row r="70" spans="1:51" x14ac:dyDescent="0.25">
      <c r="A70" s="23" t="s">
        <v>172</v>
      </c>
      <c r="B70" s="23" t="s">
        <v>184</v>
      </c>
      <c r="C70" s="23" t="s">
        <v>174</v>
      </c>
      <c r="D70" s="23" t="s">
        <v>110</v>
      </c>
      <c r="E70" s="90" t="str">
        <f>INDEX('Rate Design (Consol)'!$B$48:$B$66,MATCH('G2-8 Summary'!F70,'Rate Design (Consol)'!$C$48:$C$66,0))</f>
        <v>GS-5</v>
      </c>
      <c r="F70" s="23" t="s">
        <v>15</v>
      </c>
      <c r="G70" s="90" t="str">
        <f>INDEX('Rate Design (Consol)'!$D$48:$D$66,MATCH('G2-8 Summary'!H70,'Rate Design (Consol)'!$E$48:$E$66,0))</f>
        <v>GS-5</v>
      </c>
      <c r="H70" s="23" t="str">
        <f t="shared" si="41"/>
        <v>General Service - 5</v>
      </c>
      <c r="I70" s="23" t="str">
        <f t="shared" si="40"/>
        <v>CF_FTS-6_General Service - 5</v>
      </c>
      <c r="J70" s="61" t="str">
        <f t="shared" ref="J70:J133" si="49">CONCATENATE(A70,"-",D70,"-",G70)</f>
        <v>CFG-CFG - Firm Transportation Service - 6-GS-5</v>
      </c>
      <c r="K70" s="62" t="s">
        <v>257</v>
      </c>
      <c r="L70" s="146">
        <v>0.45161290322580644</v>
      </c>
      <c r="M70" s="146">
        <v>0.5578460749945684</v>
      </c>
      <c r="N70" s="90" t="str">
        <f>VLOOKUP(E70,'Rate Design (Consol)'!D:F,3,FALSE)</f>
        <v>&gt; 50,000 &lt; = 250,000</v>
      </c>
      <c r="O70" s="237">
        <f t="shared" si="42"/>
        <v>106491</v>
      </c>
      <c r="P70" s="148">
        <f t="shared" ref="P70:P132" si="50">ROUND(Q70/12,0)</f>
        <v>13</v>
      </c>
      <c r="Q70" s="148">
        <f>ROUND(R70/12,0)*12-12</f>
        <v>156</v>
      </c>
      <c r="R70" s="148">
        <v>162.58064516129031</v>
      </c>
      <c r="S70" s="24">
        <v>600</v>
      </c>
      <c r="T70" s="25"/>
      <c r="U70" s="148">
        <v>1384386.0699999998</v>
      </c>
      <c r="V70" s="242">
        <v>0.15137</v>
      </c>
      <c r="W70" s="25"/>
      <c r="X70" s="131">
        <f>VLOOKUP(CONCATENATE(C70,B70),'G2-7 Summary'!S:W,2,FALSE)</f>
        <v>5.7680000000000009E-2</v>
      </c>
      <c r="Y70" s="131">
        <f>VLOOKUP(CONCATENATE(C70,B70),'G2-7 Summary'!S:W,3,FALSE)</f>
        <v>2.1649999999999999E-2</v>
      </c>
      <c r="Z70" s="131">
        <f>VLOOKUP(CONCATENATE(C70,B70),'G2-7 Summary'!S:W,4,FALSE)</f>
        <v>0</v>
      </c>
      <c r="AA70" s="131">
        <f>VLOOKUP(CONCATENATE(C70,B70),'G2-7 Summary'!S:W,5,FALSE)</f>
        <v>0.15920000000000001</v>
      </c>
      <c r="AB70" s="25"/>
      <c r="AC70" s="149">
        <f t="shared" si="43"/>
        <v>93600</v>
      </c>
      <c r="AD70" s="26">
        <f t="shared" si="44"/>
        <v>209554.51941589999</v>
      </c>
      <c r="AE70" s="26">
        <f t="shared" ref="AE70:AE132" si="51">X70*$U70</f>
        <v>79851.388517600004</v>
      </c>
      <c r="AF70" s="26"/>
      <c r="AG70" s="26">
        <f t="shared" ref="AG70:AG132" si="52">Y70*$U70</f>
        <v>29971.958415499994</v>
      </c>
      <c r="AH70" s="26">
        <f t="shared" ref="AH70:AH132" si="53">Z70*$U70</f>
        <v>0</v>
      </c>
      <c r="AI70" s="26">
        <f t="shared" ref="AI70:AI132" si="54">AA70*$U70</f>
        <v>220394.26234399999</v>
      </c>
      <c r="AJ70" s="29">
        <f t="shared" si="45"/>
        <v>633372.12869299995</v>
      </c>
      <c r="AK70" s="27">
        <f t="shared" ref="AK70:AK132" si="55">-SUM(AG70:AI70)</f>
        <v>-250366.22075949999</v>
      </c>
      <c r="AL70" s="27">
        <f t="shared" ref="AL70:AL132" si="56">AK70+AJ70</f>
        <v>383005.90793349996</v>
      </c>
      <c r="AN70" s="27">
        <f>SUMIFS('Rate Design (Consol)'!K:K,'Rate Design (Consol)'!A:A,K70,'Rate Design (Consol)'!D:D,G70)</f>
        <v>750</v>
      </c>
      <c r="AO70" s="23">
        <f>SUMIFS('Rate Design (Consol)'!L:L,'Rate Design (Consol)'!A:A,K70,'Rate Design (Consol)'!D:D,G70)</f>
        <v>0.52</v>
      </c>
      <c r="AP70" s="24">
        <f t="shared" si="46"/>
        <v>117000</v>
      </c>
      <c r="AQ70" s="24">
        <f t="shared" si="47"/>
        <v>719880.75639999995</v>
      </c>
      <c r="AR70" s="25">
        <f t="shared" si="48"/>
        <v>836880.75639999995</v>
      </c>
      <c r="AT70" s="53"/>
      <c r="AU70" s="53"/>
      <c r="AV70" s="271"/>
      <c r="AW70" s="199"/>
      <c r="AX70" s="53"/>
      <c r="AY70" s="53"/>
    </row>
    <row r="71" spans="1:51" x14ac:dyDescent="0.25">
      <c r="A71" s="23" t="s">
        <v>172</v>
      </c>
      <c r="B71" s="23" t="s">
        <v>184</v>
      </c>
      <c r="C71" s="23" t="s">
        <v>174</v>
      </c>
      <c r="D71" s="23" t="s">
        <v>110</v>
      </c>
      <c r="E71" s="90" t="str">
        <f>INDEX('Rate Design (Consol)'!$B$48:$B$66,MATCH('G2-8 Summary'!F71,'Rate Design (Consol)'!$C$48:$C$66,0))</f>
        <v>GS-7</v>
      </c>
      <c r="F71" s="23" t="s">
        <v>17</v>
      </c>
      <c r="G71" s="90" t="str">
        <f>INDEX('Rate Design (Consol)'!$D$48:$D$66,MATCH('G2-8 Summary'!H71,'Rate Design (Consol)'!$E$48:$E$66,0))</f>
        <v>GS-7</v>
      </c>
      <c r="H71" s="23" t="str">
        <f t="shared" si="41"/>
        <v>General Service - 7</v>
      </c>
      <c r="I71" s="23" t="str">
        <f t="shared" si="40"/>
        <v>CF_FTS-6_General Service - 7</v>
      </c>
      <c r="J71" s="61" t="str">
        <f t="shared" si="49"/>
        <v>CFG-CFG - Firm Transportation Service - 6-GS-7</v>
      </c>
      <c r="K71" s="62" t="s">
        <v>257</v>
      </c>
      <c r="L71" s="146">
        <v>3.2258064516129031E-2</v>
      </c>
      <c r="M71" s="146">
        <v>0.27815776644533297</v>
      </c>
      <c r="N71" s="90" t="str">
        <f>VLOOKUP(E71,'Rate Design (Consol)'!D:F,3,FALSE)</f>
        <v>&gt; 500,000 &lt; = 1,000,000</v>
      </c>
      <c r="O71" s="237">
        <f t="shared" si="42"/>
        <v>690294</v>
      </c>
      <c r="P71" s="148">
        <f t="shared" si="50"/>
        <v>1</v>
      </c>
      <c r="Q71" s="148">
        <f t="shared" ref="Q71:Q96" si="57">ROUND(R71/12,0)*12</f>
        <v>12</v>
      </c>
      <c r="R71" s="148">
        <v>11.612903225806452</v>
      </c>
      <c r="S71" s="24">
        <v>600</v>
      </c>
      <c r="T71" s="25"/>
      <c r="U71" s="148">
        <v>690293.8899999999</v>
      </c>
      <c r="V71" s="242">
        <v>0.15137</v>
      </c>
      <c r="W71" s="25"/>
      <c r="X71" s="131">
        <f>VLOOKUP(CONCATENATE(C71,B71),'G2-7 Summary'!S:W,2,FALSE)</f>
        <v>5.7680000000000009E-2</v>
      </c>
      <c r="Y71" s="131">
        <f>VLOOKUP(CONCATENATE(C71,B71),'G2-7 Summary'!S:W,3,FALSE)</f>
        <v>2.1649999999999999E-2</v>
      </c>
      <c r="Z71" s="131">
        <f>VLOOKUP(CONCATENATE(C71,B71),'G2-7 Summary'!S:W,4,FALSE)</f>
        <v>0</v>
      </c>
      <c r="AA71" s="131">
        <f>VLOOKUP(CONCATENATE(C71,B71),'G2-7 Summary'!S:W,5,FALSE)</f>
        <v>0.15920000000000001</v>
      </c>
      <c r="AB71" s="25"/>
      <c r="AC71" s="149">
        <f t="shared" si="43"/>
        <v>7200</v>
      </c>
      <c r="AD71" s="26">
        <f t="shared" si="44"/>
        <v>104489.78612929999</v>
      </c>
      <c r="AE71" s="26">
        <f t="shared" si="51"/>
        <v>39816.151575199998</v>
      </c>
      <c r="AF71" s="26"/>
      <c r="AG71" s="26">
        <f t="shared" si="52"/>
        <v>14944.862718499997</v>
      </c>
      <c r="AH71" s="26">
        <f t="shared" si="53"/>
        <v>0</v>
      </c>
      <c r="AI71" s="26">
        <f t="shared" si="54"/>
        <v>109894.78728799999</v>
      </c>
      <c r="AJ71" s="29">
        <f t="shared" si="45"/>
        <v>276345.587711</v>
      </c>
      <c r="AK71" s="27">
        <f t="shared" si="55"/>
        <v>-124839.65000649999</v>
      </c>
      <c r="AL71" s="27">
        <f t="shared" si="56"/>
        <v>151505.93770450001</v>
      </c>
      <c r="AN71" s="27">
        <f>SUMIFS('Rate Design (Consol)'!K:K,'Rate Design (Consol)'!A:A,K71,'Rate Design (Consol)'!D:D,G71)</f>
        <v>4500</v>
      </c>
      <c r="AO71" s="23">
        <f>SUMIFS('Rate Design (Consol)'!L:L,'Rate Design (Consol)'!A:A,K71,'Rate Design (Consol)'!D:D,G71)</f>
        <v>0.38796999999999998</v>
      </c>
      <c r="AP71" s="24">
        <f t="shared" si="46"/>
        <v>54000</v>
      </c>
      <c r="AQ71" s="24">
        <f t="shared" si="47"/>
        <v>267813.32050329994</v>
      </c>
      <c r="AR71" s="25">
        <f t="shared" si="48"/>
        <v>321813.32050329994</v>
      </c>
      <c r="AT71" s="53"/>
      <c r="AU71" s="53"/>
      <c r="AV71" s="271"/>
      <c r="AW71" s="199"/>
      <c r="AX71" s="53"/>
      <c r="AY71" s="53"/>
    </row>
    <row r="72" spans="1:51" x14ac:dyDescent="0.25">
      <c r="A72" s="23" t="s">
        <v>172</v>
      </c>
      <c r="B72" s="23" t="s">
        <v>184</v>
      </c>
      <c r="C72" s="23" t="s">
        <v>174</v>
      </c>
      <c r="D72" s="23" t="s">
        <v>110</v>
      </c>
      <c r="E72" s="90" t="str">
        <f>INDEX('Rate Design (Consol)'!$B$48:$B$66,MATCH('G2-8 Summary'!F72,'Rate Design (Consol)'!$C$48:$C$66,0))</f>
        <v>GS-1</v>
      </c>
      <c r="F72" s="23" t="s">
        <v>11</v>
      </c>
      <c r="G72" s="90" t="str">
        <f>INDEX('Rate Design (Consol)'!$D$48:$D$66,MATCH('G2-8 Summary'!H72,'Rate Design (Consol)'!$E$48:$E$66,0))</f>
        <v>GS-1</v>
      </c>
      <c r="H72" s="23" t="str">
        <f t="shared" si="41"/>
        <v>General Service - 1</v>
      </c>
      <c r="I72" s="23" t="str">
        <f t="shared" si="40"/>
        <v>CF_FTS-6_General Service - 1</v>
      </c>
      <c r="J72" s="61" t="str">
        <f t="shared" si="49"/>
        <v>CFG-CFG - Firm Transportation Service - 6-GS-1</v>
      </c>
      <c r="K72" s="62" t="s">
        <v>257</v>
      </c>
      <c r="L72" s="146">
        <v>3.2258064516129031E-2</v>
      </c>
      <c r="M72" s="146">
        <v>1.7149788968743982E-5</v>
      </c>
      <c r="N72" s="90" t="str">
        <f>VLOOKUP(E72,'Rate Design (Consol)'!D:F,3,FALSE)</f>
        <v>&lt; = 1000</v>
      </c>
      <c r="O72" s="237">
        <f t="shared" si="42"/>
        <v>43</v>
      </c>
      <c r="P72" s="148">
        <f t="shared" si="50"/>
        <v>1</v>
      </c>
      <c r="Q72" s="148">
        <f t="shared" si="57"/>
        <v>12</v>
      </c>
      <c r="R72" s="148">
        <v>11.612903225806452</v>
      </c>
      <c r="S72" s="24">
        <v>600</v>
      </c>
      <c r="T72" s="25"/>
      <c r="U72" s="148">
        <v>42.56</v>
      </c>
      <c r="V72" s="242">
        <v>0.15137</v>
      </c>
      <c r="W72" s="25"/>
      <c r="X72" s="131">
        <f>VLOOKUP(CONCATENATE(C72,B72),'G2-7 Summary'!S:W,2,FALSE)</f>
        <v>5.7680000000000009E-2</v>
      </c>
      <c r="Y72" s="131">
        <f>VLOOKUP(CONCATENATE(C72,B72),'G2-7 Summary'!S:W,3,FALSE)</f>
        <v>2.1649999999999999E-2</v>
      </c>
      <c r="Z72" s="131">
        <f>VLOOKUP(CONCATENATE(C72,B72),'G2-7 Summary'!S:W,4,FALSE)</f>
        <v>0</v>
      </c>
      <c r="AA72" s="131">
        <f>VLOOKUP(CONCATENATE(C72,B72),'G2-7 Summary'!S:W,5,FALSE)</f>
        <v>0.15920000000000001</v>
      </c>
      <c r="AB72" s="25"/>
      <c r="AC72" s="149">
        <f t="shared" si="43"/>
        <v>7200</v>
      </c>
      <c r="AD72" s="26">
        <f t="shared" si="44"/>
        <v>6.4423072000000001</v>
      </c>
      <c r="AE72" s="26">
        <f t="shared" si="51"/>
        <v>2.4548608000000005</v>
      </c>
      <c r="AF72" s="26"/>
      <c r="AG72" s="26">
        <f t="shared" si="52"/>
        <v>0.92142400000000002</v>
      </c>
      <c r="AH72" s="26">
        <f t="shared" si="53"/>
        <v>0</v>
      </c>
      <c r="AI72" s="26">
        <f t="shared" si="54"/>
        <v>6.7755520000000011</v>
      </c>
      <c r="AJ72" s="29">
        <f t="shared" si="45"/>
        <v>7216.5941439999997</v>
      </c>
      <c r="AK72" s="27">
        <f t="shared" si="55"/>
        <v>-7.6969760000000012</v>
      </c>
      <c r="AL72" s="27">
        <f t="shared" si="56"/>
        <v>7208.8971679999995</v>
      </c>
      <c r="AN72" s="27">
        <f>SUMIFS('Rate Design (Consol)'!K:K,'Rate Design (Consol)'!A:A,K72,'Rate Design (Consol)'!D:D,G72)</f>
        <v>40</v>
      </c>
      <c r="AO72" s="23">
        <f>SUMIFS('Rate Design (Consol)'!L:L,'Rate Design (Consol)'!A:A,K72,'Rate Design (Consol)'!D:D,G72)</f>
        <v>0.70123999999999997</v>
      </c>
      <c r="AP72" s="24">
        <f t="shared" si="46"/>
        <v>480</v>
      </c>
      <c r="AQ72" s="24">
        <f t="shared" si="47"/>
        <v>29.844774400000002</v>
      </c>
      <c r="AR72" s="25">
        <f t="shared" si="48"/>
        <v>509.84477440000001</v>
      </c>
      <c r="AT72" s="53"/>
      <c r="AU72" s="53"/>
      <c r="AV72" s="271"/>
      <c r="AW72" s="199"/>
      <c r="AX72" s="53"/>
      <c r="AY72" s="53"/>
    </row>
    <row r="73" spans="1:51" x14ac:dyDescent="0.25">
      <c r="A73" s="23" t="s">
        <v>172</v>
      </c>
      <c r="B73" s="23" t="s">
        <v>185</v>
      </c>
      <c r="C73" s="23" t="s">
        <v>174</v>
      </c>
      <c r="D73" s="23" t="s">
        <v>113</v>
      </c>
      <c r="E73" s="90" t="str">
        <f>INDEX('Rate Design (Consol)'!$B$48:$B$66,MATCH('G2-8 Summary'!F73,'Rate Design (Consol)'!$C$48:$C$66,0))</f>
        <v>GS-3</v>
      </c>
      <c r="F73" s="23" t="s">
        <v>13</v>
      </c>
      <c r="G73" s="90" t="str">
        <f>INDEX('Rate Design (Consol)'!$D$48:$D$66,MATCH('G2-8 Summary'!H73,'Rate Design (Consol)'!$E$48:$E$66,0))</f>
        <v>GS-3</v>
      </c>
      <c r="H73" s="23" t="str">
        <f t="shared" si="41"/>
        <v>General Service - 3</v>
      </c>
      <c r="I73" s="23" t="str">
        <f t="shared" si="40"/>
        <v>CF_FTS-7_General Service - 3</v>
      </c>
      <c r="J73" s="61" t="str">
        <f t="shared" si="49"/>
        <v>CFG-CFG - Firm Transportation Service - 7-GS-3</v>
      </c>
      <c r="K73" s="62" t="s">
        <v>257</v>
      </c>
      <c r="L73" s="146">
        <v>3.8461538461538464E-2</v>
      </c>
      <c r="M73" s="146">
        <v>1.3568733353370558E-3</v>
      </c>
      <c r="N73" s="90" t="str">
        <f>VLOOKUP(E73,'Rate Design (Consol)'!D:F,3,FALSE)</f>
        <v>&gt; 5,000 &lt; = 10,000</v>
      </c>
      <c r="O73" s="237">
        <f t="shared" si="42"/>
        <v>5827</v>
      </c>
      <c r="P73" s="148">
        <f t="shared" si="50"/>
        <v>1</v>
      </c>
      <c r="Q73" s="148">
        <f t="shared" si="57"/>
        <v>12</v>
      </c>
      <c r="R73" s="148">
        <v>12</v>
      </c>
      <c r="S73" s="24">
        <v>700</v>
      </c>
      <c r="T73" s="25"/>
      <c r="U73" s="148">
        <v>5827.0099999999975</v>
      </c>
      <c r="V73" s="238">
        <v>0.123</v>
      </c>
      <c r="W73" s="25"/>
      <c r="X73" s="131">
        <f>VLOOKUP(CONCATENATE(C73,B73),'G2-7 Summary'!S:W,2,FALSE)</f>
        <v>7.7160000000000006E-2</v>
      </c>
      <c r="Y73" s="131">
        <f>VLOOKUP(CONCATENATE(C73,B73),'G2-7 Summary'!S:W,3,FALSE)</f>
        <v>1.486E-2</v>
      </c>
      <c r="Z73" s="131">
        <f>VLOOKUP(CONCATENATE(C73,B73),'G2-7 Summary'!S:W,4,FALSE)</f>
        <v>0</v>
      </c>
      <c r="AA73" s="131">
        <f>VLOOKUP(CONCATENATE(C73,B73),'G2-7 Summary'!S:W,5,FALSE)</f>
        <v>0.15570000000000001</v>
      </c>
      <c r="AB73" s="25"/>
      <c r="AC73" s="149">
        <f t="shared" si="43"/>
        <v>8400</v>
      </c>
      <c r="AD73" s="26">
        <f t="shared" si="44"/>
        <v>716.72222999999963</v>
      </c>
      <c r="AE73" s="26">
        <f t="shared" si="51"/>
        <v>449.61209159999987</v>
      </c>
      <c r="AF73" s="26"/>
      <c r="AG73" s="26">
        <f t="shared" si="52"/>
        <v>86.589368599999958</v>
      </c>
      <c r="AH73" s="26">
        <f t="shared" si="53"/>
        <v>0</v>
      </c>
      <c r="AI73" s="26">
        <f t="shared" si="54"/>
        <v>907.26545699999963</v>
      </c>
      <c r="AJ73" s="29">
        <f t="shared" si="45"/>
        <v>10560.189147199999</v>
      </c>
      <c r="AK73" s="27">
        <f t="shared" si="55"/>
        <v>-993.85482559999957</v>
      </c>
      <c r="AL73" s="27">
        <f t="shared" si="56"/>
        <v>9566.3343215999994</v>
      </c>
      <c r="AN73" s="27">
        <f>SUMIFS('Rate Design (Consol)'!K:K,'Rate Design (Consol)'!A:A,K73,'Rate Design (Consol)'!D:D,G73)</f>
        <v>150</v>
      </c>
      <c r="AO73" s="23">
        <f>SUMIFS('Rate Design (Consol)'!L:L,'Rate Design (Consol)'!A:A,K73,'Rate Design (Consol)'!D:D,G73)</f>
        <v>0.62475000000000003</v>
      </c>
      <c r="AP73" s="24">
        <f t="shared" si="46"/>
        <v>1800</v>
      </c>
      <c r="AQ73" s="24">
        <f t="shared" si="47"/>
        <v>3640.4244974999988</v>
      </c>
      <c r="AR73" s="25">
        <f t="shared" si="48"/>
        <v>5440.4244974999983</v>
      </c>
      <c r="AT73" s="53"/>
      <c r="AU73" s="53"/>
      <c r="AV73" s="271"/>
      <c r="AW73" s="199"/>
      <c r="AX73" s="53"/>
      <c r="AY73" s="53"/>
    </row>
    <row r="74" spans="1:51" x14ac:dyDescent="0.25">
      <c r="A74" s="23" t="s">
        <v>172</v>
      </c>
      <c r="B74" s="23" t="s">
        <v>185</v>
      </c>
      <c r="C74" s="23" t="s">
        <v>174</v>
      </c>
      <c r="D74" s="23" t="s">
        <v>113</v>
      </c>
      <c r="E74" s="90" t="str">
        <f>INDEX('Rate Design (Consol)'!$B$48:$B$66,MATCH('G2-8 Summary'!F74,'Rate Design (Consol)'!$C$48:$C$66,0))</f>
        <v>GS-4</v>
      </c>
      <c r="F74" s="23" t="s">
        <v>14</v>
      </c>
      <c r="G74" s="90" t="str">
        <f>INDEX('Rate Design (Consol)'!$D$48:$D$66,MATCH('G2-8 Summary'!H74,'Rate Design (Consol)'!$E$48:$E$66,0))</f>
        <v>GS-4</v>
      </c>
      <c r="H74" s="23" t="str">
        <f t="shared" si="41"/>
        <v>General Service - 4</v>
      </c>
      <c r="I74" s="23" t="str">
        <f t="shared" si="40"/>
        <v>CF_FTS-7_General Service - 4</v>
      </c>
      <c r="J74" s="61" t="str">
        <f t="shared" si="49"/>
        <v>CFG-CFG - Firm Transportation Service - 7-GS-4</v>
      </c>
      <c r="K74" s="62" t="s">
        <v>257</v>
      </c>
      <c r="L74" s="146">
        <v>3.8461538461538464E-2</v>
      </c>
      <c r="M74" s="146">
        <v>2.8651564297277024E-3</v>
      </c>
      <c r="N74" s="90" t="str">
        <f>VLOOKUP(E74,'Rate Design (Consol)'!D:F,3,FALSE)</f>
        <v>&gt; 10,000 &lt; = 50,000</v>
      </c>
      <c r="O74" s="237">
        <f t="shared" si="42"/>
        <v>12304</v>
      </c>
      <c r="P74" s="148">
        <f t="shared" si="50"/>
        <v>1</v>
      </c>
      <c r="Q74" s="148">
        <f t="shared" si="57"/>
        <v>12</v>
      </c>
      <c r="R74" s="148">
        <v>12</v>
      </c>
      <c r="S74" s="24">
        <v>700</v>
      </c>
      <c r="T74" s="25"/>
      <c r="U74" s="148">
        <v>12304.239999999998</v>
      </c>
      <c r="V74" s="238">
        <v>0.123</v>
      </c>
      <c r="W74" s="25"/>
      <c r="X74" s="131">
        <f>VLOOKUP(CONCATENATE(C74,B74),'G2-7 Summary'!S:W,2,FALSE)</f>
        <v>7.7160000000000006E-2</v>
      </c>
      <c r="Y74" s="131">
        <f>VLOOKUP(CONCATENATE(C74,B74),'G2-7 Summary'!S:W,3,FALSE)</f>
        <v>1.486E-2</v>
      </c>
      <c r="Z74" s="131">
        <f>VLOOKUP(CONCATENATE(C74,B74),'G2-7 Summary'!S:W,4,FALSE)</f>
        <v>0</v>
      </c>
      <c r="AA74" s="131">
        <f>VLOOKUP(CONCATENATE(C74,B74),'G2-7 Summary'!S:W,5,FALSE)</f>
        <v>0.15570000000000001</v>
      </c>
      <c r="AB74" s="25"/>
      <c r="AC74" s="149">
        <f t="shared" si="43"/>
        <v>8400</v>
      </c>
      <c r="AD74" s="26">
        <f t="shared" si="44"/>
        <v>1513.4215199999996</v>
      </c>
      <c r="AE74" s="26">
        <f t="shared" si="51"/>
        <v>949.3951583999999</v>
      </c>
      <c r="AF74" s="26"/>
      <c r="AG74" s="26">
        <f t="shared" si="52"/>
        <v>182.84100639999997</v>
      </c>
      <c r="AH74" s="26">
        <f t="shared" si="53"/>
        <v>0</v>
      </c>
      <c r="AI74" s="26">
        <f t="shared" si="54"/>
        <v>1915.7701679999998</v>
      </c>
      <c r="AJ74" s="29">
        <f t="shared" si="45"/>
        <v>12961.4278528</v>
      </c>
      <c r="AK74" s="27">
        <f t="shared" si="55"/>
        <v>-2098.6111744</v>
      </c>
      <c r="AL74" s="27">
        <f t="shared" si="56"/>
        <v>10862.816678399999</v>
      </c>
      <c r="AN74" s="27">
        <f>SUMIFS('Rate Design (Consol)'!K:K,'Rate Design (Consol)'!A:A,K74,'Rate Design (Consol)'!D:D,G74)</f>
        <v>275</v>
      </c>
      <c r="AO74" s="23">
        <f>SUMIFS('Rate Design (Consol)'!L:L,'Rate Design (Consol)'!A:A,K74,'Rate Design (Consol)'!D:D,G74)</f>
        <v>0.59182999999999997</v>
      </c>
      <c r="AP74" s="24">
        <f t="shared" si="46"/>
        <v>3300</v>
      </c>
      <c r="AQ74" s="24">
        <f t="shared" si="47"/>
        <v>7282.0183591999985</v>
      </c>
      <c r="AR74" s="25">
        <f t="shared" si="48"/>
        <v>10582.018359199999</v>
      </c>
      <c r="AT74" s="53"/>
      <c r="AU74" s="53"/>
      <c r="AV74" s="271"/>
      <c r="AW74" s="199"/>
      <c r="AX74" s="53"/>
      <c r="AY74" s="53"/>
    </row>
    <row r="75" spans="1:51" x14ac:dyDescent="0.25">
      <c r="A75" s="23" t="s">
        <v>172</v>
      </c>
      <c r="B75" s="23" t="s">
        <v>185</v>
      </c>
      <c r="C75" s="23" t="s">
        <v>174</v>
      </c>
      <c r="D75" s="23" t="s">
        <v>113</v>
      </c>
      <c r="E75" s="90" t="str">
        <f>INDEX('Rate Design (Consol)'!$B$48:$B$66,MATCH('G2-8 Summary'!F75,'Rate Design (Consol)'!$C$48:$C$66,0))</f>
        <v>GS-5</v>
      </c>
      <c r="F75" s="23" t="s">
        <v>15</v>
      </c>
      <c r="G75" s="90" t="str">
        <f>INDEX('Rate Design (Consol)'!$D$48:$D$66,MATCH('G2-8 Summary'!H75,'Rate Design (Consol)'!$E$48:$E$66,0))</f>
        <v>GS-5</v>
      </c>
      <c r="H75" s="23" t="str">
        <f t="shared" si="41"/>
        <v>General Service - 5</v>
      </c>
      <c r="I75" s="23" t="str">
        <f t="shared" si="40"/>
        <v>CF_FTS-7_General Service - 5</v>
      </c>
      <c r="J75" s="61" t="str">
        <f t="shared" si="49"/>
        <v>CFG-CFG - Firm Transportation Service - 7-GS-5</v>
      </c>
      <c r="K75" s="62" t="s">
        <v>257</v>
      </c>
      <c r="L75" s="146">
        <v>0.76923076923076927</v>
      </c>
      <c r="M75" s="146">
        <v>0.61324525875168001</v>
      </c>
      <c r="N75" s="90" t="str">
        <f>VLOOKUP(E75,'Rate Design (Consol)'!D:F,3,FALSE)</f>
        <v>&gt; 50,000 &lt; = 250,000</v>
      </c>
      <c r="O75" s="237">
        <f t="shared" si="42"/>
        <v>131677</v>
      </c>
      <c r="P75" s="148">
        <f t="shared" si="50"/>
        <v>20</v>
      </c>
      <c r="Q75" s="148">
        <f t="shared" si="57"/>
        <v>240</v>
      </c>
      <c r="R75" s="148">
        <v>240</v>
      </c>
      <c r="S75" s="24">
        <v>700</v>
      </c>
      <c r="T75" s="25"/>
      <c r="U75" s="148">
        <v>2633544.46</v>
      </c>
      <c r="V75" s="238">
        <v>0.123</v>
      </c>
      <c r="W75" s="25"/>
      <c r="X75" s="131">
        <f>VLOOKUP(CONCATENATE(C75,B75),'G2-7 Summary'!S:W,2,FALSE)</f>
        <v>7.7160000000000006E-2</v>
      </c>
      <c r="Y75" s="131">
        <f>VLOOKUP(CONCATENATE(C75,B75),'G2-7 Summary'!S:W,3,FALSE)</f>
        <v>1.486E-2</v>
      </c>
      <c r="Z75" s="131">
        <f>VLOOKUP(CONCATENATE(C75,B75),'G2-7 Summary'!S:W,4,FALSE)</f>
        <v>0</v>
      </c>
      <c r="AA75" s="131">
        <f>VLOOKUP(CONCATENATE(C75,B75),'G2-7 Summary'!S:W,5,FALSE)</f>
        <v>0.15570000000000001</v>
      </c>
      <c r="AB75" s="25"/>
      <c r="AC75" s="149">
        <f t="shared" si="43"/>
        <v>168000</v>
      </c>
      <c r="AD75" s="26">
        <f t="shared" si="44"/>
        <v>323925.96857999999</v>
      </c>
      <c r="AE75" s="26">
        <f t="shared" si="51"/>
        <v>203204.29053360003</v>
      </c>
      <c r="AF75" s="26"/>
      <c r="AG75" s="26">
        <f t="shared" si="52"/>
        <v>39134.470675600001</v>
      </c>
      <c r="AH75" s="26">
        <f t="shared" si="53"/>
        <v>0</v>
      </c>
      <c r="AI75" s="26">
        <f t="shared" si="54"/>
        <v>410042.87242199999</v>
      </c>
      <c r="AJ75" s="29">
        <f t="shared" si="45"/>
        <v>1144307.6022111999</v>
      </c>
      <c r="AK75" s="27">
        <f t="shared" si="55"/>
        <v>-449177.34309759998</v>
      </c>
      <c r="AL75" s="27">
        <f t="shared" si="56"/>
        <v>695130.25911360001</v>
      </c>
      <c r="AN75" s="27">
        <f>SUMIFS('Rate Design (Consol)'!K:K,'Rate Design (Consol)'!A:A,K75,'Rate Design (Consol)'!D:D,G75)</f>
        <v>750</v>
      </c>
      <c r="AO75" s="23">
        <f>SUMIFS('Rate Design (Consol)'!L:L,'Rate Design (Consol)'!A:A,K75,'Rate Design (Consol)'!D:D,G75)</f>
        <v>0.52</v>
      </c>
      <c r="AP75" s="24">
        <f t="shared" si="46"/>
        <v>180000</v>
      </c>
      <c r="AQ75" s="24">
        <f t="shared" si="47"/>
        <v>1369443.1192000001</v>
      </c>
      <c r="AR75" s="25">
        <f t="shared" si="48"/>
        <v>1549443.1192000001</v>
      </c>
      <c r="AT75" s="53"/>
      <c r="AU75" s="53"/>
      <c r="AV75" s="271"/>
      <c r="AW75" s="199"/>
      <c r="AX75" s="53"/>
      <c r="AY75" s="53"/>
    </row>
    <row r="76" spans="1:51" x14ac:dyDescent="0.25">
      <c r="A76" s="23" t="s">
        <v>172</v>
      </c>
      <c r="B76" s="23" t="s">
        <v>185</v>
      </c>
      <c r="C76" s="23" t="s">
        <v>174</v>
      </c>
      <c r="D76" s="23" t="s">
        <v>113</v>
      </c>
      <c r="E76" s="90" t="str">
        <f>INDEX('Rate Design (Consol)'!$B$48:$B$66,MATCH('G2-8 Summary'!F76,'Rate Design (Consol)'!$C$48:$C$66,0))</f>
        <v>GS-6</v>
      </c>
      <c r="F76" s="23" t="s">
        <v>16</v>
      </c>
      <c r="G76" s="90" t="str">
        <f>INDEX('Rate Design (Consol)'!$D$48:$D$66,MATCH('G2-8 Summary'!H76,'Rate Design (Consol)'!$E$48:$E$66,0))</f>
        <v>GS-6</v>
      </c>
      <c r="H76" s="23" t="str">
        <f t="shared" si="41"/>
        <v>General Service - 6</v>
      </c>
      <c r="I76" s="23" t="str">
        <f t="shared" si="40"/>
        <v>CF_FTS-7_General Service - 6</v>
      </c>
      <c r="J76" s="61" t="str">
        <f t="shared" si="49"/>
        <v>CFG-CFG - Firm Transportation Service - 7-GS-6</v>
      </c>
      <c r="K76" s="62" t="s">
        <v>257</v>
      </c>
      <c r="L76" s="146">
        <v>0.11538461538461539</v>
      </c>
      <c r="M76" s="146">
        <v>0.22706100643171986</v>
      </c>
      <c r="N76" s="90" t="str">
        <f>VLOOKUP(E76,'Rate Design (Consol)'!D:F,3,FALSE)</f>
        <v>&gt; 250,000 &lt; = 500,000</v>
      </c>
      <c r="O76" s="237">
        <f t="shared" si="42"/>
        <v>325033</v>
      </c>
      <c r="P76" s="147">
        <f t="shared" si="50"/>
        <v>3</v>
      </c>
      <c r="Q76" s="148">
        <f t="shared" si="57"/>
        <v>36</v>
      </c>
      <c r="R76" s="148">
        <v>36</v>
      </c>
      <c r="S76" s="151">
        <v>700</v>
      </c>
      <c r="T76" s="25"/>
      <c r="U76" s="148">
        <v>975099.6799999997</v>
      </c>
      <c r="V76" s="238">
        <v>0.123</v>
      </c>
      <c r="W76" s="25"/>
      <c r="X76" s="131">
        <f>VLOOKUP(CONCATENATE(C76,B76),'G2-7 Summary'!S:W,2,FALSE)</f>
        <v>7.7160000000000006E-2</v>
      </c>
      <c r="Y76" s="131">
        <f>VLOOKUP(CONCATENATE(C76,B76),'G2-7 Summary'!S:W,3,FALSE)</f>
        <v>1.486E-2</v>
      </c>
      <c r="Z76" s="131">
        <f>VLOOKUP(CONCATENATE(C76,B76),'G2-7 Summary'!S:W,4,FALSE)</f>
        <v>0</v>
      </c>
      <c r="AA76" s="131">
        <f>VLOOKUP(CONCATENATE(C76,B76),'G2-7 Summary'!S:W,5,FALSE)</f>
        <v>0.15570000000000001</v>
      </c>
      <c r="AB76" s="25"/>
      <c r="AC76" s="149">
        <f t="shared" si="43"/>
        <v>25200</v>
      </c>
      <c r="AD76" s="149">
        <f t="shared" si="44"/>
        <v>119937.26063999996</v>
      </c>
      <c r="AE76" s="149">
        <f t="shared" si="51"/>
        <v>75238.691308799986</v>
      </c>
      <c r="AF76" s="149"/>
      <c r="AG76" s="149">
        <f t="shared" si="52"/>
        <v>14489.981244799996</v>
      </c>
      <c r="AH76" s="149">
        <f t="shared" si="53"/>
        <v>0</v>
      </c>
      <c r="AI76" s="149">
        <f t="shared" si="54"/>
        <v>151823.02017599996</v>
      </c>
      <c r="AJ76" s="119">
        <f t="shared" si="45"/>
        <v>386688.95336959988</v>
      </c>
      <c r="AK76" s="27">
        <f t="shared" si="55"/>
        <v>-166313.00142079996</v>
      </c>
      <c r="AL76" s="27">
        <f t="shared" si="56"/>
        <v>220375.95194879992</v>
      </c>
      <c r="AN76" s="27">
        <f>SUMIFS('Rate Design (Consol)'!K:K,'Rate Design (Consol)'!A:A,K76,'Rate Design (Consol)'!D:D,G76)</f>
        <v>2500</v>
      </c>
      <c r="AO76" s="23">
        <f>SUMIFS('Rate Design (Consol)'!L:L,'Rate Design (Consol)'!A:A,K76,'Rate Design (Consol)'!D:D,G76)</f>
        <v>0.49419000000000002</v>
      </c>
      <c r="AP76" s="24">
        <f t="shared" si="46"/>
        <v>90000</v>
      </c>
      <c r="AQ76" s="24">
        <f t="shared" si="47"/>
        <v>481884.51085919986</v>
      </c>
      <c r="AR76" s="25">
        <f t="shared" si="48"/>
        <v>571884.5108591998</v>
      </c>
      <c r="AT76" s="53"/>
      <c r="AU76" s="53"/>
      <c r="AV76" s="272"/>
      <c r="AW76" s="199"/>
      <c r="AX76" s="53"/>
      <c r="AY76" s="53"/>
    </row>
    <row r="77" spans="1:51" x14ac:dyDescent="0.25">
      <c r="A77" s="23" t="s">
        <v>172</v>
      </c>
      <c r="B77" s="23" t="s">
        <v>185</v>
      </c>
      <c r="C77" s="23" t="s">
        <v>174</v>
      </c>
      <c r="D77" s="23" t="s">
        <v>113</v>
      </c>
      <c r="E77" s="90" t="str">
        <f>INDEX('Rate Design (Consol)'!$B$48:$B$66,MATCH('G2-8 Summary'!F77,'Rate Design (Consol)'!$C$48:$C$66,0))</f>
        <v>GS-7</v>
      </c>
      <c r="F77" s="23" t="s">
        <v>17</v>
      </c>
      <c r="G77" s="90" t="str">
        <f>INDEX('Rate Design (Consol)'!$D$48:$D$66,MATCH('G2-8 Summary'!H77,'Rate Design (Consol)'!$E$48:$E$66,0))</f>
        <v>GS-7</v>
      </c>
      <c r="H77" s="23" t="str">
        <f t="shared" si="41"/>
        <v>General Service - 7</v>
      </c>
      <c r="I77" s="23" t="str">
        <f t="shared" si="40"/>
        <v>CF_FTS-7_General Service - 7</v>
      </c>
      <c r="J77" s="61" t="str">
        <f t="shared" si="49"/>
        <v>CFG-CFG - Firm Transportation Service - 7-GS-7</v>
      </c>
      <c r="K77" s="62" t="s">
        <v>257</v>
      </c>
      <c r="L77" s="146">
        <v>3.8461538461538464E-2</v>
      </c>
      <c r="M77" s="146">
        <v>0.15547170505153529</v>
      </c>
      <c r="N77" s="90" t="str">
        <f>VLOOKUP(E77,'Rate Design (Consol)'!D:F,3,FALSE)</f>
        <v>&gt; 500,000 &lt; = 1,000,000</v>
      </c>
      <c r="O77" s="237">
        <f t="shared" si="42"/>
        <v>667664</v>
      </c>
      <c r="P77" s="148">
        <f t="shared" si="50"/>
        <v>1</v>
      </c>
      <c r="Q77" s="148">
        <f t="shared" si="57"/>
        <v>12</v>
      </c>
      <c r="R77" s="148">
        <v>12</v>
      </c>
      <c r="S77" s="24">
        <v>700</v>
      </c>
      <c r="T77" s="25"/>
      <c r="U77" s="148">
        <v>667663.78</v>
      </c>
      <c r="V77" s="238">
        <v>0.123</v>
      </c>
      <c r="W77" s="25"/>
      <c r="X77" s="131">
        <f>VLOOKUP(CONCATENATE(C77,B77),'G2-7 Summary'!S:W,2,FALSE)</f>
        <v>7.7160000000000006E-2</v>
      </c>
      <c r="Y77" s="131">
        <f>VLOOKUP(CONCATENATE(C77,B77),'G2-7 Summary'!S:W,3,FALSE)</f>
        <v>1.486E-2</v>
      </c>
      <c r="Z77" s="131">
        <f>VLOOKUP(CONCATENATE(C77,B77),'G2-7 Summary'!S:W,4,FALSE)</f>
        <v>0</v>
      </c>
      <c r="AA77" s="131">
        <f>VLOOKUP(CONCATENATE(C77,B77),'G2-7 Summary'!S:W,5,FALSE)</f>
        <v>0.15570000000000001</v>
      </c>
      <c r="AB77" s="25"/>
      <c r="AC77" s="149">
        <f t="shared" si="43"/>
        <v>8400</v>
      </c>
      <c r="AD77" s="26">
        <f t="shared" si="44"/>
        <v>82122.644939999998</v>
      </c>
      <c r="AE77" s="26">
        <f t="shared" si="51"/>
        <v>51516.937264800006</v>
      </c>
      <c r="AF77" s="26"/>
      <c r="AG77" s="26">
        <f t="shared" si="52"/>
        <v>9921.4837707999995</v>
      </c>
      <c r="AH77" s="26">
        <f t="shared" si="53"/>
        <v>0</v>
      </c>
      <c r="AI77" s="26">
        <f t="shared" si="54"/>
        <v>103955.25054600001</v>
      </c>
      <c r="AJ77" s="29">
        <f t="shared" si="45"/>
        <v>255916.31652160001</v>
      </c>
      <c r="AK77" s="27">
        <f t="shared" si="55"/>
        <v>-113876.73431680001</v>
      </c>
      <c r="AL77" s="27">
        <f t="shared" si="56"/>
        <v>142039.58220479998</v>
      </c>
      <c r="AN77" s="27">
        <f>SUMIFS('Rate Design (Consol)'!K:K,'Rate Design (Consol)'!A:A,K77,'Rate Design (Consol)'!D:D,G77)</f>
        <v>4500</v>
      </c>
      <c r="AO77" s="23">
        <f>SUMIFS('Rate Design (Consol)'!L:L,'Rate Design (Consol)'!A:A,K77,'Rate Design (Consol)'!D:D,G77)</f>
        <v>0.38796999999999998</v>
      </c>
      <c r="AP77" s="24">
        <f t="shared" si="46"/>
        <v>54000</v>
      </c>
      <c r="AQ77" s="24">
        <f t="shared" si="47"/>
        <v>259033.51672660001</v>
      </c>
      <c r="AR77" s="25">
        <f t="shared" si="48"/>
        <v>313033.51672660001</v>
      </c>
      <c r="AT77" s="53"/>
      <c r="AU77" s="53"/>
      <c r="AV77" s="271"/>
      <c r="AW77" s="199"/>
      <c r="AX77" s="53"/>
      <c r="AY77" s="53"/>
    </row>
    <row r="78" spans="1:51" x14ac:dyDescent="0.25">
      <c r="A78" s="23" t="s">
        <v>172</v>
      </c>
      <c r="B78" s="23" t="s">
        <v>186</v>
      </c>
      <c r="C78" s="23" t="s">
        <v>174</v>
      </c>
      <c r="D78" s="23" t="s">
        <v>118</v>
      </c>
      <c r="E78" s="90" t="str">
        <f>INDEX('Rate Design (Consol)'!$B$48:$B$66,MATCH('G2-8 Summary'!F78,'Rate Design (Consol)'!$C$48:$C$66,0))</f>
        <v>GS-5</v>
      </c>
      <c r="F78" s="23" t="s">
        <v>15</v>
      </c>
      <c r="G78" s="90" t="str">
        <f>INDEX('Rate Design (Consol)'!$D$48:$D$66,MATCH('G2-8 Summary'!H78,'Rate Design (Consol)'!$E$48:$E$66,0))</f>
        <v>GS-5</v>
      </c>
      <c r="H78" s="23" t="str">
        <f t="shared" si="41"/>
        <v>General Service - 5</v>
      </c>
      <c r="I78" s="23" t="str">
        <f t="shared" si="40"/>
        <v>CF_FTS-8_General Service - 5</v>
      </c>
      <c r="J78" s="61" t="str">
        <f t="shared" si="49"/>
        <v>CFG-CFG - Firm Transportation Service - 8-GS-5</v>
      </c>
      <c r="K78" s="62" t="s">
        <v>257</v>
      </c>
      <c r="L78" s="146">
        <v>0.29411764705882354</v>
      </c>
      <c r="M78" s="146">
        <v>0.17952199458080853</v>
      </c>
      <c r="N78" s="90" t="str">
        <f>VLOOKUP(E78,'Rate Design (Consol)'!D:F,3,FALSE)</f>
        <v>&gt; 50,000 &lt; = 250,000</v>
      </c>
      <c r="O78" s="237">
        <f t="shared" si="42"/>
        <v>164505</v>
      </c>
      <c r="P78" s="147">
        <f t="shared" si="50"/>
        <v>6</v>
      </c>
      <c r="Q78" s="148">
        <f t="shared" si="57"/>
        <v>72</v>
      </c>
      <c r="R78" s="148">
        <v>67.058823529411768</v>
      </c>
      <c r="S78" s="151">
        <v>1200</v>
      </c>
      <c r="T78" s="25"/>
      <c r="U78" s="148">
        <v>987029.22853512294</v>
      </c>
      <c r="V78" s="238">
        <v>0.11024</v>
      </c>
      <c r="W78" s="25"/>
      <c r="X78" s="131">
        <f>VLOOKUP(CONCATENATE(C78,B78),'G2-7 Summary'!S:W,2,FALSE)</f>
        <v>8.3180000000000004E-2</v>
      </c>
      <c r="Y78" s="131">
        <f>VLOOKUP(CONCATENATE(C78,B78),'G2-7 Summary'!S:W,3,FALSE)</f>
        <v>1.3370000000000003E-2</v>
      </c>
      <c r="Z78" s="131">
        <f>VLOOKUP(CONCATENATE(C78,B78),'G2-7 Summary'!S:W,4,FALSE)</f>
        <v>0</v>
      </c>
      <c r="AA78" s="131">
        <f>VLOOKUP(CONCATENATE(C78,B78),'G2-7 Summary'!S:W,5,FALSE)</f>
        <v>0.1525</v>
      </c>
      <c r="AB78" s="25"/>
      <c r="AC78" s="149">
        <f t="shared" si="43"/>
        <v>86400</v>
      </c>
      <c r="AD78" s="149">
        <f t="shared" si="44"/>
        <v>108810.10215371195</v>
      </c>
      <c r="AE78" s="149">
        <f t="shared" si="51"/>
        <v>82101.09122955153</v>
      </c>
      <c r="AF78" s="149"/>
      <c r="AG78" s="149">
        <f t="shared" si="52"/>
        <v>13196.580785514598</v>
      </c>
      <c r="AH78" s="149">
        <f t="shared" si="53"/>
        <v>0</v>
      </c>
      <c r="AI78" s="149">
        <f t="shared" si="54"/>
        <v>150521.95735160625</v>
      </c>
      <c r="AJ78" s="119">
        <f t="shared" si="45"/>
        <v>441029.73152038432</v>
      </c>
      <c r="AK78" s="27">
        <f t="shared" si="55"/>
        <v>-163718.53813712084</v>
      </c>
      <c r="AL78" s="27">
        <f t="shared" si="56"/>
        <v>277311.19338326348</v>
      </c>
      <c r="AN78" s="27">
        <f>SUMIFS('Rate Design (Consol)'!K:K,'Rate Design (Consol)'!A:A,K78,'Rate Design (Consol)'!D:D,G78)</f>
        <v>750</v>
      </c>
      <c r="AO78" s="23">
        <f>SUMIFS('Rate Design (Consol)'!L:L,'Rate Design (Consol)'!A:A,K78,'Rate Design (Consol)'!D:D,G78)</f>
        <v>0.52</v>
      </c>
      <c r="AP78" s="24">
        <f t="shared" si="46"/>
        <v>54000</v>
      </c>
      <c r="AQ78" s="24">
        <f t="shared" si="47"/>
        <v>513255.19883826392</v>
      </c>
      <c r="AR78" s="25">
        <f t="shared" si="48"/>
        <v>567255.19883826398</v>
      </c>
      <c r="AS78" s="149"/>
      <c r="AT78" s="53"/>
      <c r="AU78" s="53"/>
      <c r="AV78" s="272"/>
      <c r="AW78" s="199"/>
      <c r="AX78" s="53"/>
      <c r="AY78" s="53"/>
    </row>
    <row r="79" spans="1:51" x14ac:dyDescent="0.25">
      <c r="A79" s="23" t="s">
        <v>172</v>
      </c>
      <c r="B79" s="23" t="s">
        <v>186</v>
      </c>
      <c r="C79" s="23" t="s">
        <v>174</v>
      </c>
      <c r="D79" s="23" t="s">
        <v>118</v>
      </c>
      <c r="E79" s="90" t="str">
        <f>INDEX('Rate Design (Consol)'!$B$48:$B$66,MATCH('G2-8 Summary'!F79,'Rate Design (Consol)'!$C$48:$C$66,0))</f>
        <v>GS-6</v>
      </c>
      <c r="F79" s="23" t="s">
        <v>16</v>
      </c>
      <c r="G79" s="90" t="str">
        <f>INDEX('Rate Design (Consol)'!$D$48:$D$66,MATCH('G2-8 Summary'!H79,'Rate Design (Consol)'!$E$48:$E$66,0))</f>
        <v>GS-6</v>
      </c>
      <c r="H79" s="23" t="str">
        <f t="shared" si="41"/>
        <v>General Service - 6</v>
      </c>
      <c r="I79" s="23" t="str">
        <f t="shared" si="40"/>
        <v>CF_FTS-8_General Service - 6</v>
      </c>
      <c r="J79" s="61" t="str">
        <f t="shared" si="49"/>
        <v>CFG-CFG - Firm Transportation Service - 8-GS-6</v>
      </c>
      <c r="K79" s="62" t="s">
        <v>257</v>
      </c>
      <c r="L79" s="146">
        <v>0.70588235294117652</v>
      </c>
      <c r="M79" s="146">
        <v>0.82047800541919158</v>
      </c>
      <c r="N79" s="90" t="str">
        <f>VLOOKUP(E79,'Rate Design (Consol)'!D:F,3,FALSE)</f>
        <v>&gt; 250,000 &lt; = 500,000</v>
      </c>
      <c r="O79" s="237">
        <f t="shared" si="42"/>
        <v>347005</v>
      </c>
      <c r="P79" s="148">
        <f t="shared" si="50"/>
        <v>13</v>
      </c>
      <c r="Q79" s="148">
        <f t="shared" si="57"/>
        <v>156</v>
      </c>
      <c r="R79" s="148">
        <v>160.94117647058823</v>
      </c>
      <c r="S79" s="24">
        <v>1200</v>
      </c>
      <c r="T79" s="25"/>
      <c r="U79" s="148">
        <v>4511067.1514648777</v>
      </c>
      <c r="V79" s="238">
        <v>0.11024</v>
      </c>
      <c r="W79" s="25"/>
      <c r="X79" s="131">
        <f>VLOOKUP(CONCATENATE(C79,B79),'G2-7 Summary'!S:W,2,FALSE)</f>
        <v>8.3180000000000004E-2</v>
      </c>
      <c r="Y79" s="131">
        <f>VLOOKUP(CONCATENATE(C79,B79),'G2-7 Summary'!S:W,3,FALSE)</f>
        <v>1.3370000000000003E-2</v>
      </c>
      <c r="Z79" s="131">
        <f>VLOOKUP(CONCATENATE(C79,B79),'G2-7 Summary'!S:W,4,FALSE)</f>
        <v>0</v>
      </c>
      <c r="AA79" s="131">
        <f>VLOOKUP(CONCATENATE(C79,B79),'G2-7 Summary'!S:W,5,FALSE)</f>
        <v>0.1525</v>
      </c>
      <c r="AB79" s="25"/>
      <c r="AC79" s="149">
        <f t="shared" si="43"/>
        <v>187200</v>
      </c>
      <c r="AD79" s="26">
        <f t="shared" si="44"/>
        <v>497300.04277748812</v>
      </c>
      <c r="AE79" s="26">
        <f t="shared" si="51"/>
        <v>375230.56565884856</v>
      </c>
      <c r="AF79" s="26"/>
      <c r="AG79" s="26">
        <f t="shared" si="52"/>
        <v>60312.967815085431</v>
      </c>
      <c r="AH79" s="26">
        <f t="shared" si="53"/>
        <v>0</v>
      </c>
      <c r="AI79" s="26">
        <f t="shared" si="54"/>
        <v>687937.74059839384</v>
      </c>
      <c r="AJ79" s="29">
        <f t="shared" si="45"/>
        <v>1807981.3168498159</v>
      </c>
      <c r="AK79" s="27">
        <f t="shared" si="55"/>
        <v>-748250.70841347927</v>
      </c>
      <c r="AL79" s="27">
        <f t="shared" si="56"/>
        <v>1059730.6084363367</v>
      </c>
      <c r="AN79" s="27">
        <f>SUMIFS('Rate Design (Consol)'!K:K,'Rate Design (Consol)'!A:A,K79,'Rate Design (Consol)'!D:D,G79)</f>
        <v>2500</v>
      </c>
      <c r="AO79" s="23">
        <f>SUMIFS('Rate Design (Consol)'!L:L,'Rate Design (Consol)'!A:A,K79,'Rate Design (Consol)'!D:D,G79)</f>
        <v>0.49419000000000002</v>
      </c>
      <c r="AP79" s="24">
        <f t="shared" si="46"/>
        <v>390000</v>
      </c>
      <c r="AQ79" s="24">
        <f t="shared" si="47"/>
        <v>2229324.2755824281</v>
      </c>
      <c r="AR79" s="25">
        <f t="shared" si="48"/>
        <v>2619324.2755824281</v>
      </c>
      <c r="AT79" s="53"/>
      <c r="AU79" s="53"/>
      <c r="AV79" s="271"/>
      <c r="AW79" s="199"/>
      <c r="AX79" s="53"/>
      <c r="AY79" s="53"/>
    </row>
    <row r="80" spans="1:51" x14ac:dyDescent="0.25">
      <c r="A80" s="23" t="s">
        <v>172</v>
      </c>
      <c r="B80" s="23" t="s">
        <v>187</v>
      </c>
      <c r="C80" s="23" t="s">
        <v>174</v>
      </c>
      <c r="D80" s="23" t="s">
        <v>115</v>
      </c>
      <c r="E80" s="90" t="str">
        <f>INDEX('Rate Design (Consol)'!$B$48:$B$66,MATCH('G2-8 Summary'!F80,'Rate Design (Consol)'!$C$48:$C$66,0))</f>
        <v>GS-4</v>
      </c>
      <c r="F80" s="23" t="s">
        <v>14</v>
      </c>
      <c r="G80" s="90" t="str">
        <f>INDEX('Rate Design (Consol)'!$D$48:$D$66,MATCH('G2-8 Summary'!H80,'Rate Design (Consol)'!$E$48:$E$66,0))</f>
        <v>GS-4</v>
      </c>
      <c r="H80" s="23" t="str">
        <f t="shared" si="41"/>
        <v>General Service - 4</v>
      </c>
      <c r="I80" s="23" t="str">
        <f t="shared" si="40"/>
        <v>CF_FTS-9_General Service - 4</v>
      </c>
      <c r="J80" s="61" t="str">
        <f t="shared" si="49"/>
        <v>CFG-CFG - Firm Transportation Service - 9-GS-4</v>
      </c>
      <c r="K80" s="62" t="s">
        <v>257</v>
      </c>
      <c r="L80" s="146">
        <v>0.22221111111111111</v>
      </c>
      <c r="M80" s="146">
        <v>6.6037641110066542E-3</v>
      </c>
      <c r="N80" s="90" t="str">
        <f>VLOOKUP(E80,'Rate Design (Consol)'!D:F,3,FALSE)</f>
        <v>&gt; 10,000 &lt; = 50,000</v>
      </c>
      <c r="O80" s="237">
        <f t="shared" si="42"/>
        <v>24459</v>
      </c>
      <c r="P80" s="148">
        <f t="shared" si="50"/>
        <v>1</v>
      </c>
      <c r="Q80" s="148">
        <f>ROUND(R80/12,0)*12-12</f>
        <v>12</v>
      </c>
      <c r="R80" s="148">
        <v>18.887944444444443</v>
      </c>
      <c r="S80" s="24">
        <v>2000</v>
      </c>
      <c r="T80" s="25"/>
      <c r="U80" s="148">
        <v>24458.869999999752</v>
      </c>
      <c r="V80" s="238">
        <v>9.1329999999999995E-2</v>
      </c>
      <c r="W80" s="25"/>
      <c r="X80" s="131">
        <f>VLOOKUP(CONCATENATE(C80,B80),'G2-7 Summary'!S:W,2,FALSE)</f>
        <v>0.129</v>
      </c>
      <c r="Y80" s="131">
        <f>VLOOKUP(CONCATENATE(C80,B80),'G2-7 Summary'!S:W,3,FALSE)</f>
        <v>1.1220000000000001E-2</v>
      </c>
      <c r="Z80" s="131">
        <f>VLOOKUP(CONCATENATE(C80,B80),'G2-7 Summary'!S:W,4,FALSE)</f>
        <v>0</v>
      </c>
      <c r="AA80" s="131">
        <f>VLOOKUP(CONCATENATE(C80,B80),'G2-7 Summary'!S:W,5,FALSE)</f>
        <v>0.14910000000000001</v>
      </c>
      <c r="AB80" s="25"/>
      <c r="AC80" s="149">
        <f t="shared" si="43"/>
        <v>24000</v>
      </c>
      <c r="AD80" s="26">
        <f t="shared" si="44"/>
        <v>2233.8285970999773</v>
      </c>
      <c r="AE80" s="26">
        <f t="shared" si="51"/>
        <v>3155.1942299999682</v>
      </c>
      <c r="AF80" s="26"/>
      <c r="AG80" s="26">
        <f t="shared" si="52"/>
        <v>274.42852139999724</v>
      </c>
      <c r="AH80" s="26">
        <f t="shared" si="53"/>
        <v>0</v>
      </c>
      <c r="AI80" s="26">
        <f t="shared" si="54"/>
        <v>3646.8175169999631</v>
      </c>
      <c r="AJ80" s="29">
        <f t="shared" si="45"/>
        <v>33310.268865499907</v>
      </c>
      <c r="AK80" s="27">
        <f t="shared" si="55"/>
        <v>-3921.2460383999605</v>
      </c>
      <c r="AL80" s="27">
        <f t="shared" si="56"/>
        <v>29389.022827099947</v>
      </c>
      <c r="AN80" s="27">
        <f>SUMIFS('Rate Design (Consol)'!K:K,'Rate Design (Consol)'!A:A,K80,'Rate Design (Consol)'!D:D,G80)</f>
        <v>275</v>
      </c>
      <c r="AO80" s="23">
        <f>SUMIFS('Rate Design (Consol)'!L:L,'Rate Design (Consol)'!A:A,K80,'Rate Design (Consol)'!D:D,G80)</f>
        <v>0.59182999999999997</v>
      </c>
      <c r="AP80" s="24">
        <f t="shared" si="46"/>
        <v>3300</v>
      </c>
      <c r="AQ80" s="24">
        <f t="shared" si="47"/>
        <v>14475.493032099852</v>
      </c>
      <c r="AR80" s="25">
        <f t="shared" si="48"/>
        <v>17775.493032099854</v>
      </c>
      <c r="AT80" s="53"/>
      <c r="AU80" s="53"/>
      <c r="AV80" s="271"/>
      <c r="AW80" s="199"/>
      <c r="AX80" s="53"/>
      <c r="AY80" s="53"/>
    </row>
    <row r="81" spans="1:51" x14ac:dyDescent="0.25">
      <c r="A81" s="23" t="s">
        <v>172</v>
      </c>
      <c r="B81" s="23" t="s">
        <v>187</v>
      </c>
      <c r="C81" s="23" t="s">
        <v>174</v>
      </c>
      <c r="D81" s="23" t="s">
        <v>115</v>
      </c>
      <c r="E81" s="90" t="str">
        <f>INDEX('Rate Design (Consol)'!$B$48:$B$66,MATCH('G2-8 Summary'!F81,'Rate Design (Consol)'!$C$48:$C$66,0))</f>
        <v>GS-5</v>
      </c>
      <c r="F81" s="23" t="s">
        <v>15</v>
      </c>
      <c r="G81" s="90" t="str">
        <f>INDEX('Rate Design (Consol)'!$D$48:$D$66,MATCH('G2-8 Summary'!H81,'Rate Design (Consol)'!$E$48:$E$66,0))</f>
        <v>GS-5</v>
      </c>
      <c r="H81" s="23" t="str">
        <f t="shared" si="41"/>
        <v>General Service - 5</v>
      </c>
      <c r="I81" s="23" t="str">
        <f t="shared" si="40"/>
        <v>CF_FTS-9_General Service - 5</v>
      </c>
      <c r="J81" s="61" t="str">
        <f t="shared" si="49"/>
        <v>CFG-CFG - Firm Transportation Service - 9-GS-5</v>
      </c>
      <c r="K81" s="62" t="s">
        <v>257</v>
      </c>
      <c r="L81" s="146">
        <v>0.1111111111111111</v>
      </c>
      <c r="M81" s="146">
        <v>3.4755091034098552E-2</v>
      </c>
      <c r="N81" s="90" t="str">
        <f>VLOOKUP(E81,'Rate Design (Consol)'!D:F,3,FALSE)</f>
        <v>&gt; 50,000 &lt; = 250,000</v>
      </c>
      <c r="O81" s="237">
        <f t="shared" si="42"/>
        <v>128709</v>
      </c>
      <c r="P81" s="148">
        <f t="shared" si="50"/>
        <v>1</v>
      </c>
      <c r="Q81" s="148">
        <f t="shared" si="57"/>
        <v>12</v>
      </c>
      <c r="R81" s="148">
        <v>9.4444444444444446</v>
      </c>
      <c r="S81" s="24">
        <v>2000</v>
      </c>
      <c r="T81" s="25"/>
      <c r="U81" s="148">
        <v>128709.32000000002</v>
      </c>
      <c r="V81" s="238">
        <v>9.1329999999999995E-2</v>
      </c>
      <c r="W81" s="25"/>
      <c r="X81" s="131">
        <f>VLOOKUP(CONCATENATE(C81,B81),'G2-7 Summary'!S:W,2,FALSE)</f>
        <v>0.129</v>
      </c>
      <c r="Y81" s="131">
        <f>VLOOKUP(CONCATENATE(C81,B81),'G2-7 Summary'!S:W,3,FALSE)</f>
        <v>1.1220000000000001E-2</v>
      </c>
      <c r="Z81" s="131">
        <f>VLOOKUP(CONCATENATE(C81,B81),'G2-7 Summary'!S:W,4,FALSE)</f>
        <v>0</v>
      </c>
      <c r="AA81" s="131">
        <f>VLOOKUP(CONCATENATE(C81,B81),'G2-7 Summary'!S:W,5,FALSE)</f>
        <v>0.14910000000000001</v>
      </c>
      <c r="AB81" s="25"/>
      <c r="AC81" s="149">
        <f t="shared" si="43"/>
        <v>24000</v>
      </c>
      <c r="AD81" s="26">
        <f t="shared" si="44"/>
        <v>11755.0221956</v>
      </c>
      <c r="AE81" s="26">
        <f t="shared" si="51"/>
        <v>16603.502280000004</v>
      </c>
      <c r="AF81" s="26"/>
      <c r="AG81" s="26">
        <f t="shared" si="52"/>
        <v>1444.1185704000004</v>
      </c>
      <c r="AH81" s="26">
        <f t="shared" si="53"/>
        <v>0</v>
      </c>
      <c r="AI81" s="26">
        <f t="shared" si="54"/>
        <v>19190.559612000005</v>
      </c>
      <c r="AJ81" s="29">
        <f t="shared" si="45"/>
        <v>72993.202658000009</v>
      </c>
      <c r="AK81" s="27">
        <f t="shared" si="55"/>
        <v>-20634.678182400006</v>
      </c>
      <c r="AL81" s="27">
        <f t="shared" si="56"/>
        <v>52358.524475600003</v>
      </c>
      <c r="AN81" s="27">
        <f>SUMIFS('Rate Design (Consol)'!K:K,'Rate Design (Consol)'!A:A,K81,'Rate Design (Consol)'!D:D,G81)</f>
        <v>750</v>
      </c>
      <c r="AO81" s="23">
        <f>SUMIFS('Rate Design (Consol)'!L:L,'Rate Design (Consol)'!A:A,K81,'Rate Design (Consol)'!D:D,G81)</f>
        <v>0.52</v>
      </c>
      <c r="AP81" s="24">
        <f t="shared" si="46"/>
        <v>9000</v>
      </c>
      <c r="AQ81" s="24">
        <f t="shared" si="47"/>
        <v>66928.846400000009</v>
      </c>
      <c r="AR81" s="25">
        <f t="shared" si="48"/>
        <v>75928.846400000009</v>
      </c>
      <c r="AT81" s="53"/>
      <c r="AU81" s="53"/>
      <c r="AV81" s="271"/>
      <c r="AW81" s="199"/>
      <c r="AX81" s="53"/>
      <c r="AY81" s="53"/>
    </row>
    <row r="82" spans="1:51" x14ac:dyDescent="0.25">
      <c r="A82" s="23" t="s">
        <v>172</v>
      </c>
      <c r="B82" s="23" t="s">
        <v>187</v>
      </c>
      <c r="C82" s="23" t="s">
        <v>174</v>
      </c>
      <c r="D82" s="23" t="s">
        <v>115</v>
      </c>
      <c r="E82" s="90" t="str">
        <f>INDEX('Rate Design (Consol)'!$B$48:$B$66,MATCH('G2-8 Summary'!F82,'Rate Design (Consol)'!$C$48:$C$66,0))</f>
        <v>GS-6</v>
      </c>
      <c r="F82" s="23" t="s">
        <v>16</v>
      </c>
      <c r="G82" s="90" t="str">
        <f>INDEX('Rate Design (Consol)'!$D$48:$D$66,MATCH('G2-8 Summary'!H82,'Rate Design (Consol)'!$E$48:$E$66,0))</f>
        <v>GS-6</v>
      </c>
      <c r="H82" s="23" t="str">
        <f t="shared" si="41"/>
        <v>General Service - 6</v>
      </c>
      <c r="I82" s="23" t="str">
        <f t="shared" si="40"/>
        <v>CF_FTS-9_General Service - 6</v>
      </c>
      <c r="J82" s="61" t="str">
        <f t="shared" si="49"/>
        <v>CFG-CFG - Firm Transportation Service - 9-GS-6</v>
      </c>
      <c r="K82" s="62" t="s">
        <v>257</v>
      </c>
      <c r="L82" s="146">
        <v>0.22222222222222221</v>
      </c>
      <c r="M82" s="146">
        <v>0.25992161358379257</v>
      </c>
      <c r="N82" s="90" t="str">
        <f>VLOOKUP(E82,'Rate Design (Consol)'!D:F,3,FALSE)</f>
        <v>&gt; 250,000 &lt; = 500,000</v>
      </c>
      <c r="O82" s="237">
        <f t="shared" si="42"/>
        <v>481287</v>
      </c>
      <c r="P82" s="148">
        <f t="shared" si="50"/>
        <v>2</v>
      </c>
      <c r="Q82" s="148">
        <f t="shared" si="57"/>
        <v>24</v>
      </c>
      <c r="R82" s="148">
        <v>18.888888888888889</v>
      </c>
      <c r="S82" s="24">
        <v>2000</v>
      </c>
      <c r="T82" s="25"/>
      <c r="U82" s="148">
        <v>962573.63000000035</v>
      </c>
      <c r="V82" s="238">
        <v>9.1329999999999995E-2</v>
      </c>
      <c r="W82" s="25"/>
      <c r="X82" s="131">
        <f>VLOOKUP(CONCATENATE(C82,B82),'G2-7 Summary'!S:W,2,FALSE)</f>
        <v>0.129</v>
      </c>
      <c r="Y82" s="131">
        <f>VLOOKUP(CONCATENATE(C82,B82),'G2-7 Summary'!S:W,3,FALSE)</f>
        <v>1.1220000000000001E-2</v>
      </c>
      <c r="Z82" s="131">
        <f>VLOOKUP(CONCATENATE(C82,B82),'G2-7 Summary'!S:W,4,FALSE)</f>
        <v>0</v>
      </c>
      <c r="AA82" s="131">
        <f>VLOOKUP(CONCATENATE(C82,B82),'G2-7 Summary'!S:W,5,FALSE)</f>
        <v>0.14910000000000001</v>
      </c>
      <c r="AB82" s="25"/>
      <c r="AC82" s="149">
        <f t="shared" si="43"/>
        <v>48000</v>
      </c>
      <c r="AD82" s="26">
        <f t="shared" si="44"/>
        <v>87911.849627900025</v>
      </c>
      <c r="AE82" s="26">
        <f t="shared" si="51"/>
        <v>124171.99827000005</v>
      </c>
      <c r="AF82" s="26"/>
      <c r="AG82" s="26">
        <f t="shared" si="52"/>
        <v>10800.076128600005</v>
      </c>
      <c r="AH82" s="26">
        <f t="shared" si="53"/>
        <v>0</v>
      </c>
      <c r="AI82" s="26">
        <f t="shared" si="54"/>
        <v>143519.72823300006</v>
      </c>
      <c r="AJ82" s="29">
        <f t="shared" si="45"/>
        <v>414403.65225950012</v>
      </c>
      <c r="AK82" s="27">
        <f t="shared" si="55"/>
        <v>-154319.80436160008</v>
      </c>
      <c r="AL82" s="27">
        <f t="shared" si="56"/>
        <v>260083.84789790004</v>
      </c>
      <c r="AN82" s="27">
        <f>SUMIFS('Rate Design (Consol)'!K:K,'Rate Design (Consol)'!A:A,K82,'Rate Design (Consol)'!D:D,G82)</f>
        <v>2500</v>
      </c>
      <c r="AO82" s="23">
        <f>SUMIFS('Rate Design (Consol)'!L:L,'Rate Design (Consol)'!A:A,K82,'Rate Design (Consol)'!D:D,G82)</f>
        <v>0.49419000000000002</v>
      </c>
      <c r="AP82" s="24">
        <f t="shared" si="46"/>
        <v>60000</v>
      </c>
      <c r="AQ82" s="24">
        <f t="shared" si="47"/>
        <v>475694.26220970019</v>
      </c>
      <c r="AR82" s="25">
        <f t="shared" si="48"/>
        <v>535694.26220970019</v>
      </c>
      <c r="AT82" s="53"/>
      <c r="AU82" s="53"/>
      <c r="AV82" s="271"/>
      <c r="AW82" s="199"/>
      <c r="AX82" s="53"/>
      <c r="AY82" s="53"/>
    </row>
    <row r="83" spans="1:51" x14ac:dyDescent="0.25">
      <c r="A83" s="23" t="s">
        <v>172</v>
      </c>
      <c r="B83" s="23" t="s">
        <v>187</v>
      </c>
      <c r="C83" s="23" t="s">
        <v>174</v>
      </c>
      <c r="D83" s="23" t="s">
        <v>115</v>
      </c>
      <c r="E83" s="90" t="str">
        <f>INDEX('Rate Design (Consol)'!$B$48:$B$66,MATCH('G2-8 Summary'!F83,'Rate Design (Consol)'!$C$48:$C$66,0))</f>
        <v>GS-7</v>
      </c>
      <c r="F83" s="23" t="s">
        <v>17</v>
      </c>
      <c r="G83" s="90" t="str">
        <f>INDEX('Rate Design (Consol)'!$D$48:$D$66,MATCH('G2-8 Summary'!H83,'Rate Design (Consol)'!$E$48:$E$66,0))</f>
        <v>GS-7</v>
      </c>
      <c r="H83" s="23" t="str">
        <f t="shared" si="41"/>
        <v>General Service - 7</v>
      </c>
      <c r="I83" s="23" t="str">
        <f t="shared" si="40"/>
        <v>CF_FTS-9_General Service - 7</v>
      </c>
      <c r="J83" s="61" t="str">
        <f t="shared" si="49"/>
        <v>CFG-CFG - Firm Transportation Service - 9-GS-7</v>
      </c>
      <c r="K83" s="62" t="s">
        <v>257</v>
      </c>
      <c r="L83" s="146">
        <v>0.44444444444444442</v>
      </c>
      <c r="M83" s="146">
        <v>0.69871953127110231</v>
      </c>
      <c r="N83" s="90" t="str">
        <f>VLOOKUP(E83,'Rate Design (Consol)'!D:F,3,FALSE)</f>
        <v>&gt; 500,000 &lt; = 1,000,000</v>
      </c>
      <c r="O83" s="237">
        <f t="shared" si="42"/>
        <v>862528</v>
      </c>
      <c r="P83" s="148">
        <f t="shared" si="50"/>
        <v>3</v>
      </c>
      <c r="Q83" s="148">
        <f t="shared" si="57"/>
        <v>36</v>
      </c>
      <c r="R83" s="148">
        <v>37.777777777777779</v>
      </c>
      <c r="S83" s="24">
        <v>2000</v>
      </c>
      <c r="T83" s="25"/>
      <c r="U83" s="148">
        <v>2587583.9500000002</v>
      </c>
      <c r="V83" s="238">
        <v>9.1329999999999995E-2</v>
      </c>
      <c r="W83" s="25"/>
      <c r="X83" s="131">
        <f>VLOOKUP(CONCATENATE(C83,B83),'G2-7 Summary'!S:W,2,FALSE)</f>
        <v>0.129</v>
      </c>
      <c r="Y83" s="131">
        <f>VLOOKUP(CONCATENATE(C83,B83),'G2-7 Summary'!S:W,3,FALSE)</f>
        <v>1.1220000000000001E-2</v>
      </c>
      <c r="Z83" s="131">
        <f>VLOOKUP(CONCATENATE(C83,B83),'G2-7 Summary'!S:W,4,FALSE)</f>
        <v>0</v>
      </c>
      <c r="AA83" s="131">
        <f>VLOOKUP(CONCATENATE(C83,B83),'G2-7 Summary'!S:W,5,FALSE)</f>
        <v>0.14910000000000001</v>
      </c>
      <c r="AB83" s="25"/>
      <c r="AC83" s="149">
        <f t="shared" si="43"/>
        <v>72000</v>
      </c>
      <c r="AD83" s="26">
        <f t="shared" si="44"/>
        <v>236324.04215349999</v>
      </c>
      <c r="AE83" s="26">
        <f t="shared" si="51"/>
        <v>333798.32955000002</v>
      </c>
      <c r="AF83" s="26"/>
      <c r="AG83" s="26">
        <f t="shared" si="52"/>
        <v>29032.691919000004</v>
      </c>
      <c r="AH83" s="26">
        <f t="shared" si="53"/>
        <v>0</v>
      </c>
      <c r="AI83" s="26">
        <f t="shared" si="54"/>
        <v>385808.76694500004</v>
      </c>
      <c r="AJ83" s="29">
        <f t="shared" si="45"/>
        <v>1056963.8305675001</v>
      </c>
      <c r="AK83" s="27">
        <f t="shared" si="55"/>
        <v>-414841.45886400004</v>
      </c>
      <c r="AL83" s="27">
        <f t="shared" si="56"/>
        <v>642122.37170350004</v>
      </c>
      <c r="AN83" s="27">
        <f>SUMIFS('Rate Design (Consol)'!K:K,'Rate Design (Consol)'!A:A,K83,'Rate Design (Consol)'!D:D,G83)</f>
        <v>4500</v>
      </c>
      <c r="AO83" s="23">
        <f>SUMIFS('Rate Design (Consol)'!L:L,'Rate Design (Consol)'!A:A,K83,'Rate Design (Consol)'!D:D,G83)</f>
        <v>0.38796999999999998</v>
      </c>
      <c r="AP83" s="24">
        <f t="shared" si="46"/>
        <v>162000</v>
      </c>
      <c r="AQ83" s="24">
        <f t="shared" si="47"/>
        <v>1003904.9450815</v>
      </c>
      <c r="AR83" s="25">
        <f t="shared" si="48"/>
        <v>1165904.9450814999</v>
      </c>
      <c r="AT83" s="53"/>
      <c r="AU83" s="53"/>
      <c r="AV83" s="271"/>
      <c r="AW83" s="199"/>
      <c r="AX83" s="53"/>
      <c r="AY83" s="53"/>
    </row>
    <row r="84" spans="1:51" x14ac:dyDescent="0.25">
      <c r="A84" s="23" t="s">
        <v>172</v>
      </c>
      <c r="B84" s="23" t="s">
        <v>188</v>
      </c>
      <c r="C84" s="23" t="s">
        <v>174</v>
      </c>
      <c r="D84" s="23" t="s">
        <v>80</v>
      </c>
      <c r="E84" s="90" t="str">
        <f>INDEX('Rate Design (Consol)'!$B$48:$B$66,MATCH('G2-8 Summary'!F84,'Rate Design (Consol)'!$C$48:$C$66,0))</f>
        <v>RES-1</v>
      </c>
      <c r="F84" s="23" t="s">
        <v>8</v>
      </c>
      <c r="G84" s="90" t="str">
        <f>INDEX('Rate Design (Consol)'!$D$48:$D$66,MATCH('G2-8 Summary'!H84,'Rate Design (Consol)'!$E$48:$E$66,0))</f>
        <v>RES-1</v>
      </c>
      <c r="H84" s="23" t="str">
        <f t="shared" si="41"/>
        <v>Residential - 1</v>
      </c>
      <c r="I84" s="23" t="str">
        <f t="shared" ref="I84:I86" si="58">CONCATENATE(C84,"_",B84," ", AV84,"_",H84)</f>
        <v>CF_FTS-A _Residential - 1</v>
      </c>
      <c r="J84" s="61" t="str">
        <f t="shared" si="49"/>
        <v>CFG-CFG - Firm Transportation Service - A (Fixed Residential)-RES-1</v>
      </c>
      <c r="K84" s="62" t="s">
        <v>257</v>
      </c>
      <c r="L84" s="146">
        <v>0.80645161290322576</v>
      </c>
      <c r="M84" s="146">
        <v>0.6275483593857859</v>
      </c>
      <c r="N84" s="90" t="str">
        <f>VLOOKUP(E84,'Rate Design (Consol)'!D:F,3,FALSE)</f>
        <v>&lt; = 100</v>
      </c>
      <c r="O84" s="237">
        <f t="shared" si="42"/>
        <v>67</v>
      </c>
      <c r="P84" s="148">
        <f t="shared" si="50"/>
        <v>24</v>
      </c>
      <c r="Q84" s="148">
        <f t="shared" si="57"/>
        <v>288</v>
      </c>
      <c r="R84" s="148">
        <v>290.73193281027022</v>
      </c>
      <c r="S84" s="24">
        <v>17</v>
      </c>
      <c r="T84" s="25"/>
      <c r="U84" s="148">
        <v>1611.8137048825135</v>
      </c>
      <c r="V84" s="238">
        <v>0</v>
      </c>
      <c r="W84" s="25"/>
      <c r="X84" s="131">
        <f>VLOOKUP(CONCATENATE(C84,B84),'G2-7 Summary'!S:W,2,FALSE)</f>
        <v>0.71307000000000009</v>
      </c>
      <c r="Y84" s="131">
        <f>VLOOKUP(CONCATENATE(C84,B84),'G2-7 Summary'!S:W,3,FALSE)</f>
        <v>0.21173000000000003</v>
      </c>
      <c r="Z84" s="131">
        <f>VLOOKUP(CONCATENATE(C84,B84),'G2-7 Summary'!S:W,4,FALSE)</f>
        <v>0</v>
      </c>
      <c r="AA84" s="131">
        <f>VLOOKUP(CONCATENATE(C84,B84),'G2-7 Summary'!S:W,5,FALSE)</f>
        <v>0.17870000000000003</v>
      </c>
      <c r="AB84" s="25"/>
      <c r="AC84" s="149">
        <f t="shared" si="43"/>
        <v>4896</v>
      </c>
      <c r="AD84" s="26">
        <f t="shared" si="44"/>
        <v>0</v>
      </c>
      <c r="AE84" s="26">
        <f t="shared" si="51"/>
        <v>1149.3359985405741</v>
      </c>
      <c r="AF84" s="26"/>
      <c r="AG84" s="26">
        <f t="shared" si="52"/>
        <v>341.26931573477464</v>
      </c>
      <c r="AH84" s="26">
        <f t="shared" si="53"/>
        <v>0</v>
      </c>
      <c r="AI84" s="26">
        <f t="shared" si="54"/>
        <v>288.03110906250521</v>
      </c>
      <c r="AJ84" s="29">
        <f t="shared" si="45"/>
        <v>6674.6364233378545</v>
      </c>
      <c r="AK84" s="27">
        <f t="shared" si="55"/>
        <v>-629.3004247972799</v>
      </c>
      <c r="AL84" s="27">
        <f t="shared" si="56"/>
        <v>6045.335998540575</v>
      </c>
      <c r="AN84" s="27">
        <f>SUMIFS('Rate Design (Consol)'!K:K,'Rate Design (Consol)'!A:A,K84,'Rate Design (Consol)'!D:D,G84)</f>
        <v>16.5</v>
      </c>
      <c r="AO84" s="23">
        <f>SUMIFS('Rate Design (Consol)'!L:L,'Rate Design (Consol)'!A:A,K84,'Rate Design (Consol)'!D:D,G84)</f>
        <v>0.65229000000000004</v>
      </c>
      <c r="AP84" s="24">
        <f t="shared" si="46"/>
        <v>4752</v>
      </c>
      <c r="AQ84" s="24">
        <f t="shared" si="47"/>
        <v>1051.3699615578148</v>
      </c>
      <c r="AR84" s="25">
        <f t="shared" si="48"/>
        <v>5803.3699615578153</v>
      </c>
      <c r="AT84" s="53"/>
      <c r="AU84" s="53"/>
      <c r="AV84" s="271"/>
      <c r="AX84" s="53"/>
      <c r="AY84" s="53"/>
    </row>
    <row r="85" spans="1:51" x14ac:dyDescent="0.25">
      <c r="A85" s="23" t="s">
        <v>172</v>
      </c>
      <c r="B85" s="23" t="s">
        <v>188</v>
      </c>
      <c r="C85" s="23" t="s">
        <v>174</v>
      </c>
      <c r="D85" s="23" t="s">
        <v>80</v>
      </c>
      <c r="E85" s="90" t="str">
        <f>INDEX('Rate Design (Consol)'!$B$48:$B$66,MATCH('G2-8 Summary'!F85,'Rate Design (Consol)'!$C$48:$C$66,0))</f>
        <v>RES-3</v>
      </c>
      <c r="F85" s="23" t="s">
        <v>266</v>
      </c>
      <c r="G85" s="90" t="str">
        <f>INDEX('Rate Design (Consol)'!$D$48:$D$66,MATCH('G2-8 Summary'!H85,'Rate Design (Consol)'!$E$48:$E$66,0))</f>
        <v>RES-3</v>
      </c>
      <c r="H85" s="23" t="str">
        <f t="shared" si="41"/>
        <v>Residential - 3</v>
      </c>
      <c r="I85" s="23" t="str">
        <f t="shared" si="58"/>
        <v>CF_FTS-A _Residential - 3</v>
      </c>
      <c r="J85" s="61" t="str">
        <f t="shared" si="49"/>
        <v>CFG-CFG - Firm Transportation Service - A (Fixed Residential)-RES-3</v>
      </c>
      <c r="K85" s="62" t="s">
        <v>257</v>
      </c>
      <c r="L85" s="146">
        <v>3.2258064516129031E-2</v>
      </c>
      <c r="M85" s="146">
        <v>9.613585114052986E-2</v>
      </c>
      <c r="N85" s="90" t="str">
        <f>VLOOKUP(E85,'Rate Design (Consol)'!D:F,3,FALSE)</f>
        <v>&gt; 250</v>
      </c>
      <c r="O85" s="237">
        <f t="shared" si="42"/>
        <v>247</v>
      </c>
      <c r="P85" s="148">
        <f t="shared" si="50"/>
        <v>1</v>
      </c>
      <c r="Q85" s="148">
        <f t="shared" si="57"/>
        <v>12</v>
      </c>
      <c r="R85" s="148">
        <v>11.62927731241081</v>
      </c>
      <c r="S85" s="24">
        <v>17</v>
      </c>
      <c r="T85" s="25"/>
      <c r="U85" s="148">
        <v>246.91815392603667</v>
      </c>
      <c r="V85" s="238">
        <v>0</v>
      </c>
      <c r="W85" s="25"/>
      <c r="X85" s="131">
        <f>VLOOKUP(CONCATENATE(C85,B85),'G2-7 Summary'!S:W,2,FALSE)</f>
        <v>0.71307000000000009</v>
      </c>
      <c r="Y85" s="131">
        <f>VLOOKUP(CONCATENATE(C85,B85),'G2-7 Summary'!S:W,3,FALSE)</f>
        <v>0.21173000000000003</v>
      </c>
      <c r="Z85" s="131">
        <f>VLOOKUP(CONCATENATE(C85,B85),'G2-7 Summary'!S:W,4,FALSE)</f>
        <v>0</v>
      </c>
      <c r="AA85" s="131">
        <f>VLOOKUP(CONCATENATE(C85,B85),'G2-7 Summary'!S:W,5,FALSE)</f>
        <v>0.17870000000000003</v>
      </c>
      <c r="AB85" s="25"/>
      <c r="AC85" s="149">
        <f t="shared" si="43"/>
        <v>204</v>
      </c>
      <c r="AD85" s="26">
        <f t="shared" si="44"/>
        <v>0</v>
      </c>
      <c r="AE85" s="26">
        <f t="shared" si="51"/>
        <v>176.06992802003899</v>
      </c>
      <c r="AF85" s="26"/>
      <c r="AG85" s="26">
        <f t="shared" si="52"/>
        <v>52.279980730759753</v>
      </c>
      <c r="AH85" s="26">
        <f t="shared" si="53"/>
        <v>0</v>
      </c>
      <c r="AI85" s="26">
        <f t="shared" si="54"/>
        <v>44.12427410658276</v>
      </c>
      <c r="AJ85" s="29">
        <f t="shared" si="45"/>
        <v>476.47418285738149</v>
      </c>
      <c r="AK85" s="27">
        <f t="shared" si="55"/>
        <v>-96.404254837342506</v>
      </c>
      <c r="AL85" s="27">
        <f t="shared" si="56"/>
        <v>380.06992802003901</v>
      </c>
      <c r="AN85" s="27">
        <f>SUMIFS('Rate Design (Consol)'!K:K,'Rate Design (Consol)'!A:A,K85,'Rate Design (Consol)'!D:D,G85)</f>
        <v>26.5</v>
      </c>
      <c r="AO85" s="23">
        <f>SUMIFS('Rate Design (Consol)'!L:L,'Rate Design (Consol)'!A:A,K85,'Rate Design (Consol)'!D:D,G85)</f>
        <v>0.65386</v>
      </c>
      <c r="AP85" s="24">
        <f t="shared" si="46"/>
        <v>318</v>
      </c>
      <c r="AQ85" s="24">
        <f t="shared" si="47"/>
        <v>161.44990412607834</v>
      </c>
      <c r="AR85" s="25">
        <f t="shared" si="48"/>
        <v>479.44990412607831</v>
      </c>
      <c r="AT85" s="53"/>
      <c r="AU85" s="53"/>
      <c r="AV85" s="271"/>
      <c r="AX85" s="53"/>
      <c r="AY85" s="53"/>
    </row>
    <row r="86" spans="1:51" x14ac:dyDescent="0.25">
      <c r="A86" s="23" t="s">
        <v>172</v>
      </c>
      <c r="B86" s="23" t="s">
        <v>188</v>
      </c>
      <c r="C86" s="23" t="s">
        <v>174</v>
      </c>
      <c r="D86" s="23" t="s">
        <v>80</v>
      </c>
      <c r="E86" s="90" t="str">
        <f>INDEX('Rate Design (Consol)'!$B$48:$B$66,MATCH('G2-8 Summary'!F86,'Rate Design (Consol)'!$C$48:$C$66,0))</f>
        <v>RES-2</v>
      </c>
      <c r="F86" s="23" t="s">
        <v>9</v>
      </c>
      <c r="G86" s="90" t="str">
        <f>INDEX('Rate Design (Consol)'!$D$48:$D$66,MATCH('G2-8 Summary'!H86,'Rate Design (Consol)'!$E$48:$E$66,0))</f>
        <v>RES-2</v>
      </c>
      <c r="H86" s="23" t="str">
        <f t="shared" si="41"/>
        <v>Residential - 2</v>
      </c>
      <c r="I86" s="23" t="str">
        <f t="shared" si="58"/>
        <v>CF_FTS-A _Residential - 2</v>
      </c>
      <c r="J86" s="61" t="str">
        <f t="shared" si="49"/>
        <v>CFG-CFG - Firm Transportation Service - A (Fixed Residential)-RES-2</v>
      </c>
      <c r="K86" s="62" t="s">
        <v>257</v>
      </c>
      <c r="L86" s="146">
        <v>0.16129032258064516</v>
      </c>
      <c r="M86" s="146">
        <v>0.27631578947368418</v>
      </c>
      <c r="N86" s="90" t="str">
        <f>VLOOKUP(E86,'Rate Design (Consol)'!D:F,3,FALSE)</f>
        <v>&gt; 100 &lt; = 250</v>
      </c>
      <c r="O86" s="237">
        <f t="shared" si="42"/>
        <v>142</v>
      </c>
      <c r="P86" s="148">
        <f t="shared" si="50"/>
        <v>5</v>
      </c>
      <c r="Q86" s="148">
        <f t="shared" si="57"/>
        <v>60</v>
      </c>
      <c r="R86" s="148">
        <v>58.146386562054047</v>
      </c>
      <c r="S86" s="24">
        <v>17</v>
      </c>
      <c r="T86" s="25"/>
      <c r="U86" s="148">
        <v>709.69761881781005</v>
      </c>
      <c r="V86" s="238">
        <v>0</v>
      </c>
      <c r="W86" s="25"/>
      <c r="X86" s="131">
        <f>VLOOKUP(CONCATENATE(C86,B86),'G2-7 Summary'!S:W,2,FALSE)</f>
        <v>0.71307000000000009</v>
      </c>
      <c r="Y86" s="131">
        <f>VLOOKUP(CONCATENATE(C86,B86),'G2-7 Summary'!S:W,3,FALSE)</f>
        <v>0.21173000000000003</v>
      </c>
      <c r="Z86" s="131">
        <f>VLOOKUP(CONCATENATE(C86,B86),'G2-7 Summary'!S:W,4,FALSE)</f>
        <v>0</v>
      </c>
      <c r="AA86" s="131">
        <f>VLOOKUP(CONCATENATE(C86,B86),'G2-7 Summary'!S:W,5,FALSE)</f>
        <v>0.17870000000000003</v>
      </c>
      <c r="AB86" s="25"/>
      <c r="AC86" s="149">
        <f t="shared" si="43"/>
        <v>1020</v>
      </c>
      <c r="AD86" s="26">
        <f t="shared" si="44"/>
        <v>0</v>
      </c>
      <c r="AE86" s="26">
        <f t="shared" si="51"/>
        <v>506.06408105041589</v>
      </c>
      <c r="AF86" s="26"/>
      <c r="AG86" s="26">
        <f t="shared" si="52"/>
        <v>150.26427683229494</v>
      </c>
      <c r="AH86" s="26">
        <f t="shared" si="53"/>
        <v>0</v>
      </c>
      <c r="AI86" s="26">
        <f t="shared" si="54"/>
        <v>126.82296448274268</v>
      </c>
      <c r="AJ86" s="29">
        <f t="shared" si="45"/>
        <v>1803.1513223654536</v>
      </c>
      <c r="AK86" s="27">
        <f t="shared" si="55"/>
        <v>-277.0872413150376</v>
      </c>
      <c r="AL86" s="27">
        <f t="shared" si="56"/>
        <v>1526.064081050416</v>
      </c>
      <c r="AN86" s="27">
        <f>SUMIFS('Rate Design (Consol)'!K:K,'Rate Design (Consol)'!A:A,K86,'Rate Design (Consol)'!D:D,G86)</f>
        <v>19.5</v>
      </c>
      <c r="AO86" s="23">
        <f>SUMIFS('Rate Design (Consol)'!L:L,'Rate Design (Consol)'!A:A,K86,'Rate Design (Consol)'!D:D,G86)</f>
        <v>0.65271999999999997</v>
      </c>
      <c r="AP86" s="24">
        <f t="shared" si="46"/>
        <v>1170</v>
      </c>
      <c r="AQ86" s="24">
        <f t="shared" si="47"/>
        <v>463.23382975476096</v>
      </c>
      <c r="AR86" s="25">
        <f t="shared" si="48"/>
        <v>1633.233829754761</v>
      </c>
      <c r="AT86" s="53"/>
      <c r="AU86" s="53"/>
      <c r="AV86" s="271"/>
      <c r="AX86" s="53"/>
      <c r="AY86" s="53"/>
    </row>
    <row r="87" spans="1:51" x14ac:dyDescent="0.25">
      <c r="A87" s="23" t="s">
        <v>172</v>
      </c>
      <c r="B87" s="23" t="s">
        <v>188</v>
      </c>
      <c r="C87" s="23" t="s">
        <v>174</v>
      </c>
      <c r="D87" s="23" t="s">
        <v>102</v>
      </c>
      <c r="E87" s="90" t="str">
        <f>INDEX('Rate Design (Consol)'!$B$48:$B$66,MATCH('G2-8 Summary'!F87,'Rate Design (Consol)'!$C$48:$C$66,0))</f>
        <v>GS-1</v>
      </c>
      <c r="F87" s="23" t="s">
        <v>11</v>
      </c>
      <c r="G87" s="90" t="str">
        <f>INDEX('Rate Design (Consol)'!$D$48:$D$66,MATCH('G2-8 Summary'!H87,'Rate Design (Consol)'!$E$48:$E$66,0))</f>
        <v>GS-1</v>
      </c>
      <c r="H87" s="23" t="str">
        <f t="shared" si="41"/>
        <v>General Service - 1</v>
      </c>
      <c r="I87" s="23" t="str">
        <f t="shared" si="40"/>
        <v>CF_FTS-A_General Service - 1</v>
      </c>
      <c r="J87" s="61" t="str">
        <f t="shared" si="49"/>
        <v>CFG-CFG - Firm Transportation Service - A Non-Residential-GS-1</v>
      </c>
      <c r="K87" s="62" t="s">
        <v>257</v>
      </c>
      <c r="L87" s="146">
        <v>1</v>
      </c>
      <c r="M87" s="146">
        <v>1</v>
      </c>
      <c r="N87" s="90" t="str">
        <f>VLOOKUP(E87,'Rate Design (Consol)'!D:F,3,FALSE)</f>
        <v>&lt; = 1000</v>
      </c>
      <c r="O87" s="237">
        <f t="shared" si="42"/>
        <v>35</v>
      </c>
      <c r="P87" s="148">
        <f t="shared" si="50"/>
        <v>9</v>
      </c>
      <c r="Q87" s="148">
        <f t="shared" si="57"/>
        <v>108</v>
      </c>
      <c r="R87" s="148">
        <v>109.45833932814294</v>
      </c>
      <c r="S87" s="24">
        <v>13</v>
      </c>
      <c r="T87" s="25"/>
      <c r="U87" s="148">
        <v>316.42744904468196</v>
      </c>
      <c r="V87" s="238">
        <v>0.46357999999999999</v>
      </c>
      <c r="W87" s="25"/>
      <c r="X87" s="131">
        <f>VLOOKUP(CONCATENATE(C87,B87),'G2-7 Summary'!S:W,2,FALSE)</f>
        <v>0.71307000000000009</v>
      </c>
      <c r="Y87" s="131">
        <f>VLOOKUP(CONCATENATE(C87,B87),'G2-7 Summary'!S:W,3,FALSE)</f>
        <v>0.21173000000000003</v>
      </c>
      <c r="Z87" s="131">
        <f>VLOOKUP(CONCATENATE(C87,B87),'G2-7 Summary'!S:W,4,FALSE)</f>
        <v>0</v>
      </c>
      <c r="AA87" s="131">
        <f>VLOOKUP(CONCATENATE(C87,B87),'G2-7 Summary'!S:W,5,FALSE)</f>
        <v>0.17870000000000003</v>
      </c>
      <c r="AB87" s="25"/>
      <c r="AC87" s="149">
        <f t="shared" si="43"/>
        <v>1404</v>
      </c>
      <c r="AD87" s="26">
        <f t="shared" si="44"/>
        <v>146.68943682813367</v>
      </c>
      <c r="AE87" s="26">
        <f t="shared" si="51"/>
        <v>225.63492109029139</v>
      </c>
      <c r="AF87" s="26"/>
      <c r="AG87" s="26">
        <f t="shared" si="52"/>
        <v>66.997183786230522</v>
      </c>
      <c r="AH87" s="26">
        <f t="shared" si="53"/>
        <v>0</v>
      </c>
      <c r="AI87" s="26">
        <f t="shared" si="54"/>
        <v>56.545585144284672</v>
      </c>
      <c r="AJ87" s="29">
        <f t="shared" si="45"/>
        <v>1899.8671268489402</v>
      </c>
      <c r="AK87" s="27">
        <f t="shared" si="55"/>
        <v>-123.54276893051519</v>
      </c>
      <c r="AL87" s="27">
        <f t="shared" si="56"/>
        <v>1776.324357918425</v>
      </c>
      <c r="AN87" s="27">
        <f>SUMIFS('Rate Design (Consol)'!K:K,'Rate Design (Consol)'!A:A,K87,'Rate Design (Consol)'!D:D,G87)</f>
        <v>40</v>
      </c>
      <c r="AO87" s="23">
        <f>SUMIFS('Rate Design (Consol)'!L:L,'Rate Design (Consol)'!A:A,K87,'Rate Design (Consol)'!D:D,G87)</f>
        <v>0.70123999999999997</v>
      </c>
      <c r="AP87" s="24">
        <f t="shared" si="46"/>
        <v>4320</v>
      </c>
      <c r="AQ87" s="24">
        <f t="shared" si="47"/>
        <v>221.89158436809277</v>
      </c>
      <c r="AR87" s="25">
        <f t="shared" si="48"/>
        <v>4541.8915843680925</v>
      </c>
      <c r="AT87" s="53"/>
      <c r="AU87" s="53"/>
      <c r="AV87" s="271"/>
      <c r="AX87" s="53"/>
      <c r="AY87" s="53"/>
    </row>
    <row r="88" spans="1:51" x14ac:dyDescent="0.25">
      <c r="A88" s="23" t="s">
        <v>172</v>
      </c>
      <c r="B88" s="23" t="s">
        <v>188</v>
      </c>
      <c r="C88" s="23" t="s">
        <v>174</v>
      </c>
      <c r="D88" s="23" t="s">
        <v>75</v>
      </c>
      <c r="E88" s="90" t="str">
        <f>INDEX('Rate Design (Consol)'!$B$48:$B$66,MATCH('G2-8 Summary'!F88,'Rate Design (Consol)'!$C$48:$C$66,0))</f>
        <v>RES-1</v>
      </c>
      <c r="F88" s="23" t="s">
        <v>8</v>
      </c>
      <c r="G88" s="90" t="str">
        <f>INDEX('Rate Design (Consol)'!$D$48:$D$66,MATCH('G2-8 Summary'!H88,'Rate Design (Consol)'!$E$48:$E$66,0))</f>
        <v>RES-1</v>
      </c>
      <c r="H88" s="23" t="str">
        <f t="shared" si="41"/>
        <v>Residential - 1</v>
      </c>
      <c r="I88" s="23" t="str">
        <f t="shared" si="40"/>
        <v>CF_FTS-A_Residential - 1</v>
      </c>
      <c r="J88" s="61" t="str">
        <f t="shared" si="49"/>
        <v>CFG-CFG - Firm Transportation Service - A Residential-RES-1</v>
      </c>
      <c r="K88" s="62" t="s">
        <v>257</v>
      </c>
      <c r="L88" s="146">
        <v>0.72898032200357776</v>
      </c>
      <c r="M88" s="146">
        <v>0.48956529843154617</v>
      </c>
      <c r="N88" s="90" t="str">
        <f>VLOOKUP(E88,'Rate Design (Consol)'!D:F,3,FALSE)</f>
        <v>&lt; = 100</v>
      </c>
      <c r="O88" s="237">
        <f t="shared" si="42"/>
        <v>55</v>
      </c>
      <c r="P88" s="148">
        <f t="shared" si="50"/>
        <v>804</v>
      </c>
      <c r="Q88" s="148">
        <f t="shared" si="57"/>
        <v>9648</v>
      </c>
      <c r="R88" s="148">
        <v>9645.4424743805484</v>
      </c>
      <c r="S88" s="24">
        <v>13</v>
      </c>
      <c r="T88" s="25"/>
      <c r="U88" s="148">
        <v>44084.40551236576</v>
      </c>
      <c r="V88" s="238">
        <v>0.46357999999999999</v>
      </c>
      <c r="W88" s="25"/>
      <c r="X88" s="131">
        <f>VLOOKUP(CONCATENATE(C88,B88),'G2-7 Summary'!S:W,2,FALSE)</f>
        <v>0.71307000000000009</v>
      </c>
      <c r="Y88" s="131">
        <f>VLOOKUP(CONCATENATE(C88,B88),'G2-7 Summary'!S:W,3,FALSE)</f>
        <v>0.21173000000000003</v>
      </c>
      <c r="Z88" s="131">
        <f>VLOOKUP(CONCATENATE(C88,B88),'G2-7 Summary'!S:W,4,FALSE)</f>
        <v>0</v>
      </c>
      <c r="AA88" s="131">
        <f>VLOOKUP(CONCATENATE(C88,B88),'G2-7 Summary'!S:W,5,FALSE)</f>
        <v>0.17870000000000003</v>
      </c>
      <c r="AB88" s="25"/>
      <c r="AC88" s="149">
        <f t="shared" si="43"/>
        <v>125424</v>
      </c>
      <c r="AD88" s="26">
        <f t="shared" si="44"/>
        <v>20436.648707422519</v>
      </c>
      <c r="AE88" s="26">
        <f t="shared" si="51"/>
        <v>31435.267038702656</v>
      </c>
      <c r="AF88" s="26"/>
      <c r="AG88" s="26">
        <f t="shared" si="52"/>
        <v>9333.9911791332033</v>
      </c>
      <c r="AH88" s="26">
        <f t="shared" si="53"/>
        <v>0</v>
      </c>
      <c r="AI88" s="26">
        <f t="shared" si="54"/>
        <v>7877.8832650597624</v>
      </c>
      <c r="AJ88" s="29">
        <f t="shared" si="45"/>
        <v>194507.79019031813</v>
      </c>
      <c r="AK88" s="27">
        <f t="shared" si="55"/>
        <v>-17211.874444192967</v>
      </c>
      <c r="AL88" s="27">
        <f t="shared" si="56"/>
        <v>177295.91574612516</v>
      </c>
      <c r="AN88" s="27">
        <f>SUMIFS('Rate Design (Consol)'!K:K,'Rate Design (Consol)'!A:A,K88,'Rate Design (Consol)'!D:D,G88)</f>
        <v>16.5</v>
      </c>
      <c r="AO88" s="23">
        <f>SUMIFS('Rate Design (Consol)'!L:L,'Rate Design (Consol)'!A:A,K88,'Rate Design (Consol)'!D:D,G88)</f>
        <v>0.65229000000000004</v>
      </c>
      <c r="AP88" s="24">
        <f t="shared" si="46"/>
        <v>159192</v>
      </c>
      <c r="AQ88" s="24">
        <f t="shared" si="47"/>
        <v>28755.816871661063</v>
      </c>
      <c r="AR88" s="25">
        <f t="shared" si="48"/>
        <v>187947.81687166105</v>
      </c>
      <c r="AT88" s="53"/>
      <c r="AU88" s="53"/>
      <c r="AV88" s="271"/>
      <c r="AX88" s="53"/>
      <c r="AY88" s="53"/>
    </row>
    <row r="89" spans="1:51" x14ac:dyDescent="0.25">
      <c r="A89" s="23" t="s">
        <v>172</v>
      </c>
      <c r="B89" s="23" t="s">
        <v>188</v>
      </c>
      <c r="C89" s="23" t="s">
        <v>174</v>
      </c>
      <c r="D89" s="23" t="s">
        <v>75</v>
      </c>
      <c r="E89" s="90" t="str">
        <f>INDEX('Rate Design (Consol)'!$B$48:$B$66,MATCH('G2-8 Summary'!F89,'Rate Design (Consol)'!$C$48:$C$66,0))</f>
        <v>RES-3</v>
      </c>
      <c r="F89" s="23" t="s">
        <v>266</v>
      </c>
      <c r="G89" s="90" t="str">
        <f>INDEX('Rate Design (Consol)'!$D$48:$D$66,MATCH('G2-8 Summary'!H89,'Rate Design (Consol)'!$E$48:$E$66,0))</f>
        <v>RES-3</v>
      </c>
      <c r="H89" s="23" t="str">
        <f t="shared" si="41"/>
        <v>Residential - 3</v>
      </c>
      <c r="I89" s="23" t="str">
        <f t="shared" si="40"/>
        <v>CF_FTS-A_Residential - 3</v>
      </c>
      <c r="J89" s="61" t="str">
        <f t="shared" si="49"/>
        <v>CFG-CFG - Firm Transportation Service - A Residential-RES-3</v>
      </c>
      <c r="K89" s="62" t="s">
        <v>257</v>
      </c>
      <c r="L89" s="146">
        <v>1.2522361359570662E-2</v>
      </c>
      <c r="M89" s="146">
        <v>6.9875987694590969E-2</v>
      </c>
      <c r="N89" s="90" t="str">
        <f>VLOOKUP(E89,'Rate Design (Consol)'!D:F,3,FALSE)</f>
        <v>&gt; 250</v>
      </c>
      <c r="O89" s="237">
        <f t="shared" si="42"/>
        <v>449</v>
      </c>
      <c r="P89" s="148">
        <f t="shared" si="50"/>
        <v>14</v>
      </c>
      <c r="Q89" s="148">
        <f t="shared" si="57"/>
        <v>168</v>
      </c>
      <c r="R89" s="148">
        <v>165.68858238199718</v>
      </c>
      <c r="S89" s="24">
        <v>13</v>
      </c>
      <c r="T89" s="25"/>
      <c r="U89" s="148">
        <v>6292.1971532182706</v>
      </c>
      <c r="V89" s="238">
        <v>0.46357999999999999</v>
      </c>
      <c r="W89" s="25"/>
      <c r="X89" s="131">
        <f>VLOOKUP(CONCATENATE(C89,B89),'G2-7 Summary'!S:W,2,FALSE)</f>
        <v>0.71307000000000009</v>
      </c>
      <c r="Y89" s="131">
        <f>VLOOKUP(CONCATENATE(C89,B89),'G2-7 Summary'!S:W,3,FALSE)</f>
        <v>0.21173000000000003</v>
      </c>
      <c r="Z89" s="131">
        <f>VLOOKUP(CONCATENATE(C89,B89),'G2-7 Summary'!S:W,4,FALSE)</f>
        <v>0</v>
      </c>
      <c r="AA89" s="131">
        <f>VLOOKUP(CONCATENATE(C89,B89),'G2-7 Summary'!S:W,5,FALSE)</f>
        <v>0.17870000000000003</v>
      </c>
      <c r="AB89" s="25"/>
      <c r="AC89" s="149">
        <f t="shared" si="43"/>
        <v>2184</v>
      </c>
      <c r="AD89" s="26">
        <f t="shared" si="44"/>
        <v>2916.9367562889261</v>
      </c>
      <c r="AE89" s="26">
        <f t="shared" si="51"/>
        <v>4486.7770240453528</v>
      </c>
      <c r="AF89" s="26"/>
      <c r="AG89" s="26">
        <f t="shared" si="52"/>
        <v>1332.2469032509046</v>
      </c>
      <c r="AH89" s="26">
        <f t="shared" si="53"/>
        <v>0</v>
      </c>
      <c r="AI89" s="26">
        <f t="shared" si="54"/>
        <v>1124.4156312801051</v>
      </c>
      <c r="AJ89" s="29">
        <f t="shared" si="45"/>
        <v>12044.376314865287</v>
      </c>
      <c r="AK89" s="27">
        <f t="shared" si="55"/>
        <v>-2456.6625345310094</v>
      </c>
      <c r="AL89" s="27">
        <f t="shared" si="56"/>
        <v>9587.7137803342775</v>
      </c>
      <c r="AN89" s="27">
        <f>SUMIFS('Rate Design (Consol)'!K:K,'Rate Design (Consol)'!A:A,K89,'Rate Design (Consol)'!D:D,G89)</f>
        <v>26.5</v>
      </c>
      <c r="AO89" s="23">
        <f>SUMIFS('Rate Design (Consol)'!L:L,'Rate Design (Consol)'!A:A,K89,'Rate Design (Consol)'!D:D,G89)</f>
        <v>0.65386</v>
      </c>
      <c r="AP89" s="24">
        <f t="shared" si="46"/>
        <v>4452</v>
      </c>
      <c r="AQ89" s="24">
        <f t="shared" si="47"/>
        <v>4114.2160306032983</v>
      </c>
      <c r="AR89" s="25">
        <f t="shared" si="48"/>
        <v>8566.2160306032983</v>
      </c>
      <c r="AT89" s="53"/>
      <c r="AU89" s="53"/>
      <c r="AV89" s="271"/>
      <c r="AX89" s="53"/>
      <c r="AY89" s="53"/>
    </row>
    <row r="90" spans="1:51" x14ac:dyDescent="0.25">
      <c r="A90" s="23" t="s">
        <v>172</v>
      </c>
      <c r="B90" s="23" t="s">
        <v>188</v>
      </c>
      <c r="C90" s="23" t="s">
        <v>174</v>
      </c>
      <c r="D90" s="23" t="s">
        <v>75</v>
      </c>
      <c r="E90" s="90" t="str">
        <f>INDEX('Rate Design (Consol)'!$B$48:$B$66,MATCH('G2-8 Summary'!F90,'Rate Design (Consol)'!$C$48:$C$66,0))</f>
        <v>RES-2</v>
      </c>
      <c r="F90" s="23" t="s">
        <v>9</v>
      </c>
      <c r="G90" s="90" t="str">
        <f>INDEX('Rate Design (Consol)'!$D$48:$D$66,MATCH('G2-8 Summary'!H90,'Rate Design (Consol)'!$E$48:$E$66,0))</f>
        <v>RES-2</v>
      </c>
      <c r="H90" s="23" t="str">
        <f t="shared" si="41"/>
        <v>Residential - 2</v>
      </c>
      <c r="I90" s="23" t="str">
        <f t="shared" si="40"/>
        <v>CF_FTS-A_Residential - 2</v>
      </c>
      <c r="J90" s="61" t="str">
        <f t="shared" si="49"/>
        <v>CFG-CFG - Firm Transportation Service - A Residential-RES-2</v>
      </c>
      <c r="K90" s="62" t="s">
        <v>257</v>
      </c>
      <c r="L90" s="146">
        <v>0.25849731663685149</v>
      </c>
      <c r="M90" s="146">
        <v>0.44055871387386281</v>
      </c>
      <c r="N90" s="90" t="str">
        <f>VLOOKUP(E90,'Rate Design (Consol)'!D:F,3,FALSE)</f>
        <v>&gt; 100 &lt; = 250</v>
      </c>
      <c r="O90" s="237">
        <f t="shared" si="42"/>
        <v>139</v>
      </c>
      <c r="P90" s="148">
        <f t="shared" si="50"/>
        <v>285</v>
      </c>
      <c r="Q90" s="148">
        <f t="shared" si="57"/>
        <v>3420</v>
      </c>
      <c r="R90" s="148">
        <v>3420.2857363140838</v>
      </c>
      <c r="S90" s="24">
        <v>13</v>
      </c>
      <c r="T90" s="25"/>
      <c r="U90" s="148">
        <v>39671.45763117716</v>
      </c>
      <c r="V90" s="238">
        <v>0.46357999999999999</v>
      </c>
      <c r="W90" s="25"/>
      <c r="X90" s="131">
        <f>VLOOKUP(CONCATENATE(C90,B90),'G2-7 Summary'!S:W,2,FALSE)</f>
        <v>0.71307000000000009</v>
      </c>
      <c r="Y90" s="131">
        <f>VLOOKUP(CONCATENATE(C90,B90),'G2-7 Summary'!S:W,3,FALSE)</f>
        <v>0.21173000000000003</v>
      </c>
      <c r="Z90" s="131">
        <f>VLOOKUP(CONCATENATE(C90,B90),'G2-7 Summary'!S:W,4,FALSE)</f>
        <v>0</v>
      </c>
      <c r="AA90" s="131">
        <f>VLOOKUP(CONCATENATE(C90,B90),'G2-7 Summary'!S:W,5,FALSE)</f>
        <v>0.17870000000000003</v>
      </c>
      <c r="AB90" s="25"/>
      <c r="AC90" s="149">
        <f t="shared" si="43"/>
        <v>44460</v>
      </c>
      <c r="AD90" s="26">
        <f t="shared" si="44"/>
        <v>18390.894328661107</v>
      </c>
      <c r="AE90" s="26">
        <f t="shared" si="51"/>
        <v>28288.5262930635</v>
      </c>
      <c r="AF90" s="26"/>
      <c r="AG90" s="26">
        <f t="shared" si="52"/>
        <v>8399.6377242491417</v>
      </c>
      <c r="AH90" s="26">
        <f t="shared" si="53"/>
        <v>0</v>
      </c>
      <c r="AI90" s="26">
        <f t="shared" si="54"/>
        <v>7089.2894786913594</v>
      </c>
      <c r="AJ90" s="29">
        <f t="shared" si="45"/>
        <v>106628.34782466509</v>
      </c>
      <c r="AK90" s="27">
        <f t="shared" si="55"/>
        <v>-15488.9272029405</v>
      </c>
      <c r="AL90" s="27">
        <f t="shared" si="56"/>
        <v>91139.420621724596</v>
      </c>
      <c r="AN90" s="27">
        <f>SUMIFS('Rate Design (Consol)'!K:K,'Rate Design (Consol)'!A:A,K90,'Rate Design (Consol)'!D:D,G90)</f>
        <v>19.5</v>
      </c>
      <c r="AO90" s="23">
        <f>SUMIFS('Rate Design (Consol)'!L:L,'Rate Design (Consol)'!A:A,K90,'Rate Design (Consol)'!D:D,G90)</f>
        <v>0.65271999999999997</v>
      </c>
      <c r="AP90" s="24">
        <f t="shared" si="46"/>
        <v>66690</v>
      </c>
      <c r="AQ90" s="24">
        <f t="shared" si="47"/>
        <v>25894.353825021954</v>
      </c>
      <c r="AR90" s="25">
        <f t="shared" si="48"/>
        <v>92584.353825021957</v>
      </c>
      <c r="AT90" s="53"/>
      <c r="AU90" s="53"/>
      <c r="AV90" s="271"/>
      <c r="AX90" s="53"/>
      <c r="AY90" s="53"/>
    </row>
    <row r="91" spans="1:51" x14ac:dyDescent="0.25">
      <c r="A91" s="23" t="s">
        <v>172</v>
      </c>
      <c r="B91" s="23" t="s">
        <v>189</v>
      </c>
      <c r="C91" s="23" t="s">
        <v>174</v>
      </c>
      <c r="D91" s="23" t="s">
        <v>108</v>
      </c>
      <c r="E91" s="90" t="str">
        <f>INDEX('Rate Design (Consol)'!$B$48:$B$66,MATCH('G2-8 Summary'!F91,'Rate Design (Consol)'!$C$48:$C$66,0))</f>
        <v>GS-1</v>
      </c>
      <c r="F91" s="23" t="s">
        <v>11</v>
      </c>
      <c r="G91" s="90" t="str">
        <f>INDEX('Rate Design (Consol)'!$D$48:$D$66,MATCH('G2-8 Summary'!H91,'Rate Design (Consol)'!$E$48:$E$66,0))</f>
        <v>GS-1</v>
      </c>
      <c r="H91" s="23" t="str">
        <f t="shared" si="41"/>
        <v>General Service - 1</v>
      </c>
      <c r="I91" s="23" t="str">
        <f t="shared" ref="I91:I94" si="59">CONCATENATE(C91,"_",B91," ", AV91,"_",H91)</f>
        <v>CF_FTS-B _General Service - 1</v>
      </c>
      <c r="J91" s="61" t="str">
        <f t="shared" si="49"/>
        <v>CFG-CFG - Firm Transportation Service - B (Fixed Non-Residential)-GS-1</v>
      </c>
      <c r="K91" s="62" t="s">
        <v>257</v>
      </c>
      <c r="L91" s="146">
        <v>1</v>
      </c>
      <c r="M91" s="146">
        <v>1</v>
      </c>
      <c r="N91" s="90" t="str">
        <f>VLOOKUP(E91,'Rate Design (Consol)'!D:F,3,FALSE)</f>
        <v>&lt; = 1000</v>
      </c>
      <c r="O91" s="237">
        <f t="shared" si="42"/>
        <v>17</v>
      </c>
      <c r="P91" s="148">
        <f t="shared" si="50"/>
        <v>1</v>
      </c>
      <c r="Q91" s="148">
        <f t="shared" si="57"/>
        <v>12</v>
      </c>
      <c r="R91" s="148">
        <v>9.950758120740268</v>
      </c>
      <c r="S91" s="24">
        <v>23</v>
      </c>
      <c r="T91" s="25"/>
      <c r="U91" s="148">
        <v>16.910468692817378</v>
      </c>
      <c r="V91" s="238">
        <v>0</v>
      </c>
      <c r="W91" s="25"/>
      <c r="X91" s="131">
        <f>VLOOKUP(CONCATENATE(C91,B91),'G2-7 Summary'!S:W,2,FALSE)</f>
        <v>0.21507999999999991</v>
      </c>
      <c r="Y91" s="131">
        <f>VLOOKUP(CONCATENATE(C91,B91),'G2-7 Summary'!S:W,3,FALSE)</f>
        <v>0.16429000000000002</v>
      </c>
      <c r="Z91" s="131">
        <f>VLOOKUP(CONCATENATE(C91,B91),'G2-7 Summary'!S:W,4,FALSE)</f>
        <v>0</v>
      </c>
      <c r="AA91" s="131">
        <f>VLOOKUP(CONCATENATE(C91,B91),'G2-7 Summary'!S:W,5,FALSE)</f>
        <v>0.17909999999999998</v>
      </c>
      <c r="AB91" s="25"/>
      <c r="AC91" s="149">
        <f t="shared" si="43"/>
        <v>276</v>
      </c>
      <c r="AD91" s="26">
        <f t="shared" si="44"/>
        <v>0</v>
      </c>
      <c r="AE91" s="26">
        <f t="shared" si="51"/>
        <v>3.6371036064511602</v>
      </c>
      <c r="AF91" s="26"/>
      <c r="AG91" s="26">
        <f t="shared" si="52"/>
        <v>2.7782209015429675</v>
      </c>
      <c r="AH91" s="26">
        <f t="shared" si="53"/>
        <v>0</v>
      </c>
      <c r="AI91" s="26">
        <f t="shared" si="54"/>
        <v>3.0286649428835921</v>
      </c>
      <c r="AJ91" s="29">
        <f t="shared" si="45"/>
        <v>285.44398945087772</v>
      </c>
      <c r="AK91" s="27">
        <f t="shared" si="55"/>
        <v>-5.8068858444265601</v>
      </c>
      <c r="AL91" s="27">
        <f t="shared" si="56"/>
        <v>279.63710360645115</v>
      </c>
      <c r="AN91" s="27">
        <f>SUMIFS('Rate Design (Consol)'!K:K,'Rate Design (Consol)'!A:A,K91,'Rate Design (Consol)'!D:D,G91)</f>
        <v>40</v>
      </c>
      <c r="AO91" s="23">
        <f>SUMIFS('Rate Design (Consol)'!L:L,'Rate Design (Consol)'!A:A,K91,'Rate Design (Consol)'!D:D,G91)</f>
        <v>0.70123999999999997</v>
      </c>
      <c r="AP91" s="24">
        <f t="shared" si="46"/>
        <v>480</v>
      </c>
      <c r="AQ91" s="24">
        <f t="shared" si="47"/>
        <v>11.858297066151257</v>
      </c>
      <c r="AR91" s="25">
        <f t="shared" si="48"/>
        <v>491.85829706615124</v>
      </c>
      <c r="AT91" s="53"/>
      <c r="AU91" s="53"/>
      <c r="AV91" s="271"/>
      <c r="AX91" s="53"/>
      <c r="AY91" s="53"/>
    </row>
    <row r="92" spans="1:51" x14ac:dyDescent="0.25">
      <c r="A92" s="23" t="s">
        <v>172</v>
      </c>
      <c r="B92" s="23" t="s">
        <v>189</v>
      </c>
      <c r="C92" s="23" t="s">
        <v>174</v>
      </c>
      <c r="D92" s="23" t="s">
        <v>81</v>
      </c>
      <c r="E92" s="90" t="str">
        <f>INDEX('Rate Design (Consol)'!$B$48:$B$66,MATCH('G2-8 Summary'!F92,'Rate Design (Consol)'!$C$48:$C$66,0))</f>
        <v>RES-1</v>
      </c>
      <c r="F92" s="23" t="s">
        <v>8</v>
      </c>
      <c r="G92" s="90" t="str">
        <f>INDEX('Rate Design (Consol)'!$D$48:$D$66,MATCH('G2-8 Summary'!H92,'Rate Design (Consol)'!$E$48:$E$66,0))</f>
        <v>RES-1</v>
      </c>
      <c r="H92" s="23" t="str">
        <f t="shared" si="41"/>
        <v>Residential - 1</v>
      </c>
      <c r="I92" s="23" t="str">
        <f t="shared" si="59"/>
        <v>CF_FTS-B _Residential - 1</v>
      </c>
      <c r="J92" s="61" t="str">
        <f t="shared" si="49"/>
        <v>CFG-CFG - Firm Transportation Service - B (Fixed Residential)-RES-1</v>
      </c>
      <c r="K92" s="62" t="s">
        <v>257</v>
      </c>
      <c r="L92" s="146">
        <v>0.27419354838709675</v>
      </c>
      <c r="M92" s="146">
        <v>0.13903179794899539</v>
      </c>
      <c r="N92" s="90" t="str">
        <f>VLOOKUP(E92,'Rate Design (Consol)'!D:F,3,FALSE)</f>
        <v>&lt; = 100</v>
      </c>
      <c r="O92" s="237">
        <f t="shared" si="42"/>
        <v>66</v>
      </c>
      <c r="P92" s="148">
        <f t="shared" si="50"/>
        <v>17</v>
      </c>
      <c r="Q92" s="148">
        <f t="shared" si="57"/>
        <v>204</v>
      </c>
      <c r="R92" s="148">
        <v>199.85834506848082</v>
      </c>
      <c r="S92" s="24">
        <v>23</v>
      </c>
      <c r="T92" s="25"/>
      <c r="U92" s="148">
        <v>1113.7222253974401</v>
      </c>
      <c r="V92" s="238">
        <v>0</v>
      </c>
      <c r="W92" s="25"/>
      <c r="X92" s="131">
        <f>VLOOKUP(CONCATENATE(C92,B92),'G2-7 Summary'!S:W,2,FALSE)</f>
        <v>0.21507999999999991</v>
      </c>
      <c r="Y92" s="131">
        <f>VLOOKUP(CONCATENATE(C92,B92),'G2-7 Summary'!S:W,3,FALSE)</f>
        <v>0.16429000000000002</v>
      </c>
      <c r="Z92" s="131">
        <f>VLOOKUP(CONCATENATE(C92,B92),'G2-7 Summary'!S:W,4,FALSE)</f>
        <v>0</v>
      </c>
      <c r="AA92" s="131">
        <f>VLOOKUP(CONCATENATE(C92,B92),'G2-7 Summary'!S:W,5,FALSE)</f>
        <v>0.17909999999999998</v>
      </c>
      <c r="AB92" s="25"/>
      <c r="AC92" s="149">
        <f t="shared" si="43"/>
        <v>4692</v>
      </c>
      <c r="AD92" s="26">
        <f t="shared" si="44"/>
        <v>0</v>
      </c>
      <c r="AE92" s="26">
        <f t="shared" si="51"/>
        <v>239.53937623848131</v>
      </c>
      <c r="AF92" s="26"/>
      <c r="AG92" s="26">
        <f t="shared" si="52"/>
        <v>182.97342441054545</v>
      </c>
      <c r="AH92" s="26">
        <f t="shared" si="53"/>
        <v>0</v>
      </c>
      <c r="AI92" s="26">
        <f t="shared" si="54"/>
        <v>199.46765056868151</v>
      </c>
      <c r="AJ92" s="29">
        <f t="shared" si="45"/>
        <v>5313.9804512177079</v>
      </c>
      <c r="AK92" s="27">
        <f t="shared" si="55"/>
        <v>-382.44107497922698</v>
      </c>
      <c r="AL92" s="27">
        <f t="shared" si="56"/>
        <v>4931.5393762384811</v>
      </c>
      <c r="AN92" s="27">
        <f>SUMIFS('Rate Design (Consol)'!K:K,'Rate Design (Consol)'!A:A,K92,'Rate Design (Consol)'!D:D,G92)</f>
        <v>16.5</v>
      </c>
      <c r="AO92" s="23">
        <f>SUMIFS('Rate Design (Consol)'!L:L,'Rate Design (Consol)'!A:A,K92,'Rate Design (Consol)'!D:D,G92)</f>
        <v>0.65229000000000004</v>
      </c>
      <c r="AP92" s="24">
        <f t="shared" si="46"/>
        <v>3366</v>
      </c>
      <c r="AQ92" s="24">
        <f t="shared" si="47"/>
        <v>726.46987040449619</v>
      </c>
      <c r="AR92" s="25">
        <f t="shared" si="48"/>
        <v>4092.4698704044963</v>
      </c>
      <c r="AT92" s="53"/>
      <c r="AU92" s="53"/>
      <c r="AV92" s="271"/>
      <c r="AX92" s="53"/>
      <c r="AY92" s="53"/>
    </row>
    <row r="93" spans="1:51" x14ac:dyDescent="0.25">
      <c r="A93" s="23" t="s">
        <v>172</v>
      </c>
      <c r="B93" s="23" t="s">
        <v>189</v>
      </c>
      <c r="C93" s="23" t="s">
        <v>174</v>
      </c>
      <c r="D93" s="23" t="s">
        <v>81</v>
      </c>
      <c r="E93" s="90" t="str">
        <f>INDEX('Rate Design (Consol)'!$B$48:$B$66,MATCH('G2-8 Summary'!F93,'Rate Design (Consol)'!$C$48:$C$66,0))</f>
        <v>RES-3</v>
      </c>
      <c r="F93" s="23" t="s">
        <v>266</v>
      </c>
      <c r="G93" s="90" t="str">
        <f>INDEX('Rate Design (Consol)'!$D$48:$D$66,MATCH('G2-8 Summary'!H93,'Rate Design (Consol)'!$E$48:$E$66,0))</f>
        <v>RES-3</v>
      </c>
      <c r="H93" s="23" t="str">
        <f t="shared" si="41"/>
        <v>Residential - 3</v>
      </c>
      <c r="I93" s="23" t="str">
        <f t="shared" si="59"/>
        <v>CF_FTS-B _Residential - 3</v>
      </c>
      <c r="J93" s="61" t="str">
        <f t="shared" si="49"/>
        <v>CFG-CFG - Firm Transportation Service - B (Fixed Residential)-RES-3</v>
      </c>
      <c r="K93" s="62" t="s">
        <v>257</v>
      </c>
      <c r="L93" s="146">
        <v>4.8387096774193547E-2</v>
      </c>
      <c r="M93" s="146">
        <v>0.12427022108550768</v>
      </c>
      <c r="N93" s="90" t="str">
        <f>VLOOKUP(E93,'Rate Design (Consol)'!D:F,3,FALSE)</f>
        <v>&gt; 250</v>
      </c>
      <c r="O93" s="237">
        <f t="shared" si="42"/>
        <v>332</v>
      </c>
      <c r="P93" s="148">
        <f t="shared" si="50"/>
        <v>3</v>
      </c>
      <c r="Q93" s="148">
        <f t="shared" si="57"/>
        <v>36</v>
      </c>
      <c r="R93" s="148">
        <v>35.269119717967207</v>
      </c>
      <c r="S93" s="24">
        <v>23</v>
      </c>
      <c r="T93" s="25"/>
      <c r="U93" s="148">
        <v>995.47376369797962</v>
      </c>
      <c r="V93" s="238">
        <v>0</v>
      </c>
      <c r="W93" s="25"/>
      <c r="X93" s="131">
        <f>VLOOKUP(CONCATENATE(C93,B93),'G2-7 Summary'!S:W,2,FALSE)</f>
        <v>0.21507999999999991</v>
      </c>
      <c r="Y93" s="131">
        <f>VLOOKUP(CONCATENATE(C93,B93),'G2-7 Summary'!S:W,3,FALSE)</f>
        <v>0.16429000000000002</v>
      </c>
      <c r="Z93" s="131">
        <f>VLOOKUP(CONCATENATE(C93,B93),'G2-7 Summary'!S:W,4,FALSE)</f>
        <v>0</v>
      </c>
      <c r="AA93" s="131">
        <f>VLOOKUP(CONCATENATE(C93,B93),'G2-7 Summary'!S:W,5,FALSE)</f>
        <v>0.17909999999999998</v>
      </c>
      <c r="AB93" s="25"/>
      <c r="AC93" s="149">
        <f t="shared" si="43"/>
        <v>828</v>
      </c>
      <c r="AD93" s="26">
        <f t="shared" si="44"/>
        <v>0</v>
      </c>
      <c r="AE93" s="26">
        <f t="shared" si="51"/>
        <v>214.10649709616138</v>
      </c>
      <c r="AF93" s="26"/>
      <c r="AG93" s="26">
        <f t="shared" si="52"/>
        <v>163.54638463794109</v>
      </c>
      <c r="AH93" s="26">
        <f t="shared" si="53"/>
        <v>0</v>
      </c>
      <c r="AI93" s="26">
        <f t="shared" si="54"/>
        <v>178.28935107830813</v>
      </c>
      <c r="AJ93" s="29">
        <f t="shared" si="45"/>
        <v>1383.9422328124106</v>
      </c>
      <c r="AK93" s="27">
        <f t="shared" si="55"/>
        <v>-341.83573571624925</v>
      </c>
      <c r="AL93" s="27">
        <f t="shared" si="56"/>
        <v>1042.1064970961613</v>
      </c>
      <c r="AN93" s="27">
        <f>SUMIFS('Rate Design (Consol)'!K:K,'Rate Design (Consol)'!A:A,K93,'Rate Design (Consol)'!D:D,G93)</f>
        <v>26.5</v>
      </c>
      <c r="AO93" s="23">
        <f>SUMIFS('Rate Design (Consol)'!L:L,'Rate Design (Consol)'!A:A,K93,'Rate Design (Consol)'!D:D,G93)</f>
        <v>0.65386</v>
      </c>
      <c r="AP93" s="24">
        <f t="shared" si="46"/>
        <v>954</v>
      </c>
      <c r="AQ93" s="24">
        <f t="shared" si="47"/>
        <v>650.90047513156094</v>
      </c>
      <c r="AR93" s="25">
        <f t="shared" si="48"/>
        <v>1604.9004751315611</v>
      </c>
      <c r="AT93" s="53"/>
      <c r="AU93" s="53"/>
      <c r="AV93" s="271"/>
      <c r="AX93" s="53"/>
      <c r="AY93" s="53"/>
    </row>
    <row r="94" spans="1:51" x14ac:dyDescent="0.25">
      <c r="A94" s="23" t="s">
        <v>172</v>
      </c>
      <c r="B94" s="23" t="s">
        <v>189</v>
      </c>
      <c r="C94" s="23" t="s">
        <v>174</v>
      </c>
      <c r="D94" s="23" t="s">
        <v>81</v>
      </c>
      <c r="E94" s="90" t="str">
        <f>INDEX('Rate Design (Consol)'!$B$48:$B$66,MATCH('G2-8 Summary'!F94,'Rate Design (Consol)'!$C$48:$C$66,0))</f>
        <v>RES-2</v>
      </c>
      <c r="F94" s="23" t="s">
        <v>9</v>
      </c>
      <c r="G94" s="90" t="str">
        <f>INDEX('Rate Design (Consol)'!$D$48:$D$66,MATCH('G2-8 Summary'!H94,'Rate Design (Consol)'!$E$48:$E$66,0))</f>
        <v>RES-2</v>
      </c>
      <c r="H94" s="23" t="str">
        <f t="shared" si="41"/>
        <v>Residential - 2</v>
      </c>
      <c r="I94" s="23" t="str">
        <f t="shared" si="59"/>
        <v>CF_FTS-B _Residential - 2</v>
      </c>
      <c r="J94" s="61" t="str">
        <f t="shared" si="49"/>
        <v>CFG-CFG - Firm Transportation Service - B (Fixed Residential)-RES-2</v>
      </c>
      <c r="K94" s="62" t="s">
        <v>257</v>
      </c>
      <c r="L94" s="146">
        <v>0.67741935483870963</v>
      </c>
      <c r="M94" s="146">
        <v>0.73669798096549699</v>
      </c>
      <c r="N94" s="90" t="str">
        <f>VLOOKUP(E94,'Rate Design (Consol)'!D:F,3,FALSE)</f>
        <v>&gt; 100 &lt; = 250</v>
      </c>
      <c r="O94" s="237">
        <f t="shared" si="42"/>
        <v>144</v>
      </c>
      <c r="P94" s="148">
        <f t="shared" si="50"/>
        <v>41</v>
      </c>
      <c r="Q94" s="148">
        <f t="shared" si="57"/>
        <v>492</v>
      </c>
      <c r="R94" s="148">
        <v>493.76767605154089</v>
      </c>
      <c r="S94" s="24">
        <v>23</v>
      </c>
      <c r="T94" s="25"/>
      <c r="U94" s="148">
        <v>5901.3616087140781</v>
      </c>
      <c r="V94" s="238">
        <v>0</v>
      </c>
      <c r="W94" s="25"/>
      <c r="X94" s="131">
        <f>VLOOKUP(CONCATENATE(C94,B94),'G2-7 Summary'!S:W,2,FALSE)</f>
        <v>0.21507999999999991</v>
      </c>
      <c r="Y94" s="131">
        <f>VLOOKUP(CONCATENATE(C94,B94),'G2-7 Summary'!S:W,3,FALSE)</f>
        <v>0.16429000000000002</v>
      </c>
      <c r="Z94" s="131">
        <f>VLOOKUP(CONCATENATE(C94,B94),'G2-7 Summary'!S:W,4,FALSE)</f>
        <v>0</v>
      </c>
      <c r="AA94" s="131">
        <f>VLOOKUP(CONCATENATE(C94,B94),'G2-7 Summary'!S:W,5,FALSE)</f>
        <v>0.17909999999999998</v>
      </c>
      <c r="AB94" s="25"/>
      <c r="AC94" s="149">
        <f t="shared" si="43"/>
        <v>11316</v>
      </c>
      <c r="AD94" s="26">
        <f t="shared" si="44"/>
        <v>0</v>
      </c>
      <c r="AE94" s="26">
        <f t="shared" si="51"/>
        <v>1269.2648548022235</v>
      </c>
      <c r="AF94" s="26"/>
      <c r="AG94" s="26">
        <f t="shared" si="52"/>
        <v>969.53469869563605</v>
      </c>
      <c r="AH94" s="26">
        <f t="shared" si="53"/>
        <v>0</v>
      </c>
      <c r="AI94" s="26">
        <f t="shared" si="54"/>
        <v>1056.9338641206912</v>
      </c>
      <c r="AJ94" s="29">
        <f t="shared" si="45"/>
        <v>14611.733417618549</v>
      </c>
      <c r="AK94" s="27">
        <f t="shared" si="55"/>
        <v>-2026.4685628163272</v>
      </c>
      <c r="AL94" s="27">
        <f t="shared" si="56"/>
        <v>12585.264854802221</v>
      </c>
      <c r="AN94" s="27">
        <f>SUMIFS('Rate Design (Consol)'!K:K,'Rate Design (Consol)'!A:A,K94,'Rate Design (Consol)'!D:D,G94)</f>
        <v>19.5</v>
      </c>
      <c r="AO94" s="23">
        <f>SUMIFS('Rate Design (Consol)'!L:L,'Rate Design (Consol)'!A:A,K94,'Rate Design (Consol)'!D:D,G94)</f>
        <v>0.65271999999999997</v>
      </c>
      <c r="AP94" s="24">
        <f t="shared" si="46"/>
        <v>9594</v>
      </c>
      <c r="AQ94" s="24">
        <f t="shared" si="47"/>
        <v>3851.9367492398528</v>
      </c>
      <c r="AR94" s="25">
        <f t="shared" si="48"/>
        <v>13445.936749239852</v>
      </c>
      <c r="AT94" s="53"/>
      <c r="AU94" s="53"/>
      <c r="AV94" s="271"/>
      <c r="AX94" s="53"/>
      <c r="AY94" s="53"/>
    </row>
    <row r="95" spans="1:51" x14ac:dyDescent="0.25">
      <c r="A95" s="23" t="s">
        <v>172</v>
      </c>
      <c r="B95" s="23" t="s">
        <v>189</v>
      </c>
      <c r="C95" s="23" t="s">
        <v>174</v>
      </c>
      <c r="D95" s="23" t="s">
        <v>104</v>
      </c>
      <c r="E95" s="90" t="str">
        <f>INDEX('Rate Design (Consol)'!$B$48:$B$66,MATCH('G2-8 Summary'!F95,'Rate Design (Consol)'!$C$48:$C$66,0))</f>
        <v>GS-1</v>
      </c>
      <c r="F95" s="23" t="s">
        <v>11</v>
      </c>
      <c r="G95" s="90" t="str">
        <f>INDEX('Rate Design (Consol)'!$D$48:$D$66,MATCH('G2-8 Summary'!H95,'Rate Design (Consol)'!$E$48:$E$66,0))</f>
        <v>GS-1</v>
      </c>
      <c r="H95" s="23" t="str">
        <f t="shared" si="41"/>
        <v>General Service - 1</v>
      </c>
      <c r="I95" s="23" t="str">
        <f t="shared" si="40"/>
        <v>CF_FTS-B_General Service - 1</v>
      </c>
      <c r="J95" s="61" t="str">
        <f t="shared" si="49"/>
        <v>CFG-CFG - Firm Transportation Service - B Non-Residential-GS-1</v>
      </c>
      <c r="K95" s="62" t="s">
        <v>257</v>
      </c>
      <c r="L95" s="146">
        <v>1</v>
      </c>
      <c r="M95" s="146">
        <v>1</v>
      </c>
      <c r="N95" s="90" t="str">
        <f>VLOOKUP(E95,'Rate Design (Consol)'!D:F,3,FALSE)</f>
        <v>&lt; = 1000</v>
      </c>
      <c r="O95" s="237">
        <f t="shared" si="42"/>
        <v>116</v>
      </c>
      <c r="P95" s="148">
        <f t="shared" si="50"/>
        <v>5</v>
      </c>
      <c r="Q95" s="148">
        <f t="shared" si="57"/>
        <v>60</v>
      </c>
      <c r="R95" s="148">
        <v>63.850697941416719</v>
      </c>
      <c r="S95" s="24">
        <v>15.5</v>
      </c>
      <c r="T95" s="25"/>
      <c r="U95" s="148">
        <v>578.64831312358035</v>
      </c>
      <c r="V95" s="238">
        <v>0.49286000000000002</v>
      </c>
      <c r="W95" s="25"/>
      <c r="X95" s="131">
        <f>VLOOKUP(CONCATENATE(C95,B95),'G2-7 Summary'!S:W,2,FALSE)</f>
        <v>0.21507999999999991</v>
      </c>
      <c r="Y95" s="131">
        <f>VLOOKUP(CONCATENATE(C95,B95),'G2-7 Summary'!S:W,3,FALSE)</f>
        <v>0.16429000000000002</v>
      </c>
      <c r="Z95" s="131">
        <f>VLOOKUP(CONCATENATE(C95,B95),'G2-7 Summary'!S:W,4,FALSE)</f>
        <v>0</v>
      </c>
      <c r="AA95" s="131">
        <f>VLOOKUP(CONCATENATE(C95,B95),'G2-7 Summary'!S:W,5,FALSE)</f>
        <v>0.17909999999999998</v>
      </c>
      <c r="AB95" s="25"/>
      <c r="AC95" s="149">
        <f t="shared" si="43"/>
        <v>930</v>
      </c>
      <c r="AD95" s="26">
        <f t="shared" si="44"/>
        <v>285.19260760608785</v>
      </c>
      <c r="AE95" s="26">
        <f t="shared" si="51"/>
        <v>124.45567918661961</v>
      </c>
      <c r="AF95" s="26"/>
      <c r="AG95" s="26">
        <f t="shared" si="52"/>
        <v>95.066131363073026</v>
      </c>
      <c r="AH95" s="26">
        <f t="shared" si="53"/>
        <v>0</v>
      </c>
      <c r="AI95" s="26">
        <f t="shared" si="54"/>
        <v>103.63591288043322</v>
      </c>
      <c r="AJ95" s="29">
        <f t="shared" si="45"/>
        <v>1538.3503310362137</v>
      </c>
      <c r="AK95" s="27">
        <f t="shared" si="55"/>
        <v>-198.70204424350624</v>
      </c>
      <c r="AL95" s="27">
        <f t="shared" si="56"/>
        <v>1339.6482867927075</v>
      </c>
      <c r="AN95" s="27">
        <f>SUMIFS('Rate Design (Consol)'!K:K,'Rate Design (Consol)'!A:A,K95,'Rate Design (Consol)'!D:D,G95)</f>
        <v>40</v>
      </c>
      <c r="AO95" s="23">
        <f>SUMIFS('Rate Design (Consol)'!L:L,'Rate Design (Consol)'!A:A,K95,'Rate Design (Consol)'!D:D,G95)</f>
        <v>0.70123999999999997</v>
      </c>
      <c r="AP95" s="24">
        <f t="shared" si="46"/>
        <v>2400</v>
      </c>
      <c r="AQ95" s="24">
        <f t="shared" si="47"/>
        <v>405.77134309477947</v>
      </c>
      <c r="AR95" s="25">
        <f t="shared" si="48"/>
        <v>2805.7713430947797</v>
      </c>
      <c r="AT95" s="53"/>
      <c r="AU95" s="53"/>
      <c r="AV95" s="271"/>
      <c r="AX95" s="53"/>
      <c r="AY95" s="53"/>
    </row>
    <row r="96" spans="1:51" x14ac:dyDescent="0.25">
      <c r="A96" s="23" t="s">
        <v>172</v>
      </c>
      <c r="B96" s="23" t="s">
        <v>189</v>
      </c>
      <c r="C96" s="23" t="s">
        <v>174</v>
      </c>
      <c r="D96" s="23" t="s">
        <v>74</v>
      </c>
      <c r="E96" s="90" t="str">
        <f>INDEX('Rate Design (Consol)'!$B$48:$B$66,MATCH('G2-8 Summary'!F96,'Rate Design (Consol)'!$C$48:$C$66,0))</f>
        <v>RES-1</v>
      </c>
      <c r="F96" s="23" t="s">
        <v>8</v>
      </c>
      <c r="G96" s="90" t="str">
        <f>INDEX('Rate Design (Consol)'!$D$48:$D$66,MATCH('G2-8 Summary'!H96,'Rate Design (Consol)'!$E$48:$E$66,0))</f>
        <v>RES-1</v>
      </c>
      <c r="H96" s="23" t="str">
        <f t="shared" si="41"/>
        <v>Residential - 1</v>
      </c>
      <c r="I96" s="23" t="str">
        <f t="shared" si="40"/>
        <v>CF_FTS-B_Residential - 1</v>
      </c>
      <c r="J96" s="61" t="str">
        <f t="shared" si="49"/>
        <v>CFG-CFG - Firm Transportation Service - B Residential-RES-1</v>
      </c>
      <c r="K96" s="62" t="s">
        <v>257</v>
      </c>
      <c r="L96" s="146">
        <v>0.38400353513035795</v>
      </c>
      <c r="M96" s="146">
        <v>0.20378271903255107</v>
      </c>
      <c r="N96" s="90" t="str">
        <f>VLOOKUP(E96,'Rate Design (Consol)'!D:F,3,FALSE)</f>
        <v>&lt; = 100</v>
      </c>
      <c r="O96" s="237">
        <f t="shared" si="42"/>
        <v>68</v>
      </c>
      <c r="P96" s="148">
        <f t="shared" si="50"/>
        <v>846</v>
      </c>
      <c r="Q96" s="148">
        <f t="shared" si="57"/>
        <v>10152</v>
      </c>
      <c r="R96" s="148">
        <v>10148.961453989872</v>
      </c>
      <c r="S96" s="24">
        <v>15.5</v>
      </c>
      <c r="T96" s="25"/>
      <c r="U96" s="148">
        <v>57663.032490773883</v>
      </c>
      <c r="V96" s="238">
        <v>0.49286000000000002</v>
      </c>
      <c r="W96" s="25"/>
      <c r="X96" s="131">
        <f>VLOOKUP(CONCATENATE(C96,B96),'G2-7 Summary'!S:W,2,FALSE)</f>
        <v>0.21507999999999991</v>
      </c>
      <c r="Y96" s="131">
        <f>VLOOKUP(CONCATENATE(C96,B96),'G2-7 Summary'!S:W,3,FALSE)</f>
        <v>0.16429000000000002</v>
      </c>
      <c r="Z96" s="131">
        <f>VLOOKUP(CONCATENATE(C96,B96),'G2-7 Summary'!S:W,4,FALSE)</f>
        <v>0</v>
      </c>
      <c r="AA96" s="131">
        <f>VLOOKUP(CONCATENATE(C96,B96),'G2-7 Summary'!S:W,5,FALSE)</f>
        <v>0.17909999999999998</v>
      </c>
      <c r="AB96" s="25"/>
      <c r="AC96" s="149">
        <f t="shared" si="43"/>
        <v>157356</v>
      </c>
      <c r="AD96" s="26">
        <f t="shared" si="44"/>
        <v>28419.802193402818</v>
      </c>
      <c r="AE96" s="26">
        <f t="shared" si="51"/>
        <v>12402.165028115642</v>
      </c>
      <c r="AF96" s="26"/>
      <c r="AG96" s="26">
        <f t="shared" si="52"/>
        <v>9473.4596079092425</v>
      </c>
      <c r="AH96" s="26">
        <f t="shared" si="53"/>
        <v>0</v>
      </c>
      <c r="AI96" s="26">
        <f t="shared" si="54"/>
        <v>10327.449119097602</v>
      </c>
      <c r="AJ96" s="29">
        <f t="shared" si="45"/>
        <v>217978.8759485253</v>
      </c>
      <c r="AK96" s="27">
        <f t="shared" si="55"/>
        <v>-19800.908727006845</v>
      </c>
      <c r="AL96" s="27">
        <f t="shared" si="56"/>
        <v>198177.96722151845</v>
      </c>
      <c r="AN96" s="27">
        <f>SUMIFS('Rate Design (Consol)'!K:K,'Rate Design (Consol)'!A:A,K96,'Rate Design (Consol)'!D:D,G96)</f>
        <v>16.5</v>
      </c>
      <c r="AO96" s="23">
        <f>SUMIFS('Rate Design (Consol)'!L:L,'Rate Design (Consol)'!A:A,K96,'Rate Design (Consol)'!D:D,G96)</f>
        <v>0.65229000000000004</v>
      </c>
      <c r="AP96" s="24">
        <f t="shared" si="46"/>
        <v>167508</v>
      </c>
      <c r="AQ96" s="24">
        <f t="shared" si="47"/>
        <v>37613.019463406898</v>
      </c>
      <c r="AR96" s="25">
        <f t="shared" si="48"/>
        <v>205121.0194634069</v>
      </c>
      <c r="AT96" s="53"/>
      <c r="AU96" s="53"/>
      <c r="AV96" s="271"/>
      <c r="AX96" s="53"/>
      <c r="AY96" s="53"/>
    </row>
    <row r="97" spans="1:51" x14ac:dyDescent="0.25">
      <c r="A97" s="23" t="s">
        <v>172</v>
      </c>
      <c r="B97" s="23" t="s">
        <v>189</v>
      </c>
      <c r="C97" s="23" t="s">
        <v>174</v>
      </c>
      <c r="D97" s="23" t="s">
        <v>74</v>
      </c>
      <c r="E97" s="90" t="str">
        <f>INDEX('Rate Design (Consol)'!$B$48:$B$66,MATCH('G2-8 Summary'!F97,'Rate Design (Consol)'!$C$48:$C$66,0))</f>
        <v>RES-3</v>
      </c>
      <c r="F97" s="23" t="s">
        <v>266</v>
      </c>
      <c r="G97" s="90" t="str">
        <f>INDEX('Rate Design (Consol)'!$D$48:$D$66,MATCH('G2-8 Summary'!H97,'Rate Design (Consol)'!$E$48:$E$66,0))</f>
        <v>RES-3</v>
      </c>
      <c r="H97" s="23" t="str">
        <f t="shared" si="41"/>
        <v>Residential - 3</v>
      </c>
      <c r="I97" s="23" t="str">
        <f t="shared" si="40"/>
        <v>CF_FTS-B_Residential - 3</v>
      </c>
      <c r="J97" s="61" t="str">
        <f t="shared" si="49"/>
        <v>CFG-CFG - Firm Transportation Service - B Residential-RES-3</v>
      </c>
      <c r="K97" s="62" t="s">
        <v>257</v>
      </c>
      <c r="L97" s="146">
        <v>5.1701281484754752E-2</v>
      </c>
      <c r="M97" s="146">
        <v>0.13571512886063491</v>
      </c>
      <c r="N97" s="90" t="str">
        <f>VLOOKUP(E97,'Rate Design (Consol)'!D:F,3,FALSE)</f>
        <v>&gt; 250</v>
      </c>
      <c r="O97" s="237">
        <f t="shared" si="42"/>
        <v>340</v>
      </c>
      <c r="P97" s="171">
        <f t="shared" si="50"/>
        <v>113</v>
      </c>
      <c r="Q97" s="148">
        <f>ROUND(R97/12,0)*12-12</f>
        <v>1356</v>
      </c>
      <c r="R97" s="148">
        <v>1366.4309437477732</v>
      </c>
      <c r="S97" s="151">
        <v>15.5</v>
      </c>
      <c r="T97" s="25"/>
      <c r="U97" s="148">
        <v>38402.401941306496</v>
      </c>
      <c r="V97" s="238">
        <v>0.49286000000000002</v>
      </c>
      <c r="W97" s="25"/>
      <c r="X97" s="131">
        <f>VLOOKUP(CONCATENATE(C97,B97),'G2-7 Summary'!S:W,2,FALSE)</f>
        <v>0.21507999999999991</v>
      </c>
      <c r="Y97" s="243">
        <f>VLOOKUP(CONCATENATE(C97,B97),'G2-7 Summary'!S:W,3,FALSE)</f>
        <v>0.16429000000000002</v>
      </c>
      <c r="Z97" s="131">
        <f>VLOOKUP(CONCATENATE(C97,B97),'G2-7 Summary'!S:W,4,FALSE)</f>
        <v>0</v>
      </c>
      <c r="AA97" s="131">
        <f>VLOOKUP(CONCATENATE(C97,B97),'G2-7 Summary'!S:W,5,FALSE)</f>
        <v>0.17909999999999998</v>
      </c>
      <c r="AB97" s="25"/>
      <c r="AC97" s="149">
        <f t="shared" si="43"/>
        <v>21018</v>
      </c>
      <c r="AD97" s="26">
        <f t="shared" si="44"/>
        <v>18927.007820792322</v>
      </c>
      <c r="AE97" s="26">
        <f t="shared" si="51"/>
        <v>8259.5886095361984</v>
      </c>
      <c r="AF97" s="26"/>
      <c r="AG97" s="26">
        <f t="shared" si="52"/>
        <v>6309.1306149372449</v>
      </c>
      <c r="AH97" s="26">
        <f t="shared" si="53"/>
        <v>0</v>
      </c>
      <c r="AI97" s="26">
        <f t="shared" si="54"/>
        <v>6877.8701876879932</v>
      </c>
      <c r="AJ97" s="29">
        <f t="shared" si="45"/>
        <v>61391.597232953762</v>
      </c>
      <c r="AK97" s="27">
        <f t="shared" si="55"/>
        <v>-13187.000802625238</v>
      </c>
      <c r="AL97" s="27">
        <f t="shared" si="56"/>
        <v>48204.596430328522</v>
      </c>
      <c r="AM97" s="244"/>
      <c r="AN97" s="27">
        <f>SUMIFS('Rate Design (Consol)'!K:K,'Rate Design (Consol)'!A:A,K97,'Rate Design (Consol)'!D:D,G97)</f>
        <v>26.5</v>
      </c>
      <c r="AO97" s="23">
        <f>SUMIFS('Rate Design (Consol)'!L:L,'Rate Design (Consol)'!A:A,K97,'Rate Design (Consol)'!D:D,G97)</f>
        <v>0.65386</v>
      </c>
      <c r="AP97" s="24">
        <f t="shared" si="46"/>
        <v>35934</v>
      </c>
      <c r="AQ97" s="24">
        <f t="shared" si="47"/>
        <v>25109.794533342665</v>
      </c>
      <c r="AR97" s="25">
        <f t="shared" si="48"/>
        <v>61043.794533342661</v>
      </c>
      <c r="AT97" s="53"/>
      <c r="AU97" s="53"/>
      <c r="AV97" s="271"/>
      <c r="AX97" s="53"/>
      <c r="AY97" s="53"/>
    </row>
    <row r="98" spans="1:51" x14ac:dyDescent="0.25">
      <c r="A98" s="23" t="s">
        <v>172</v>
      </c>
      <c r="B98" s="23" t="s">
        <v>189</v>
      </c>
      <c r="C98" s="23" t="s">
        <v>174</v>
      </c>
      <c r="D98" s="23" t="s">
        <v>74</v>
      </c>
      <c r="E98" s="90" t="str">
        <f>INDEX('Rate Design (Consol)'!$B$48:$B$66,MATCH('G2-8 Summary'!F98,'Rate Design (Consol)'!$C$48:$C$66,0))</f>
        <v>RES-2</v>
      </c>
      <c r="F98" s="23" t="s">
        <v>9</v>
      </c>
      <c r="G98" s="90" t="str">
        <f>INDEX('Rate Design (Consol)'!$D$48:$D$66,MATCH('G2-8 Summary'!H98,'Rate Design (Consol)'!$E$48:$E$66,0))</f>
        <v>RES-2</v>
      </c>
      <c r="H98" s="23" t="str">
        <f t="shared" si="41"/>
        <v>Residential - 2</v>
      </c>
      <c r="I98" s="23" t="str">
        <f t="shared" si="40"/>
        <v>CF_FTS-B_Residential - 2</v>
      </c>
      <c r="J98" s="61" t="str">
        <f t="shared" si="49"/>
        <v>CFG-CFG - Firm Transportation Service - B Residential-RES-2</v>
      </c>
      <c r="K98" s="62" t="s">
        <v>257</v>
      </c>
      <c r="L98" s="146">
        <v>0.56429518338488727</v>
      </c>
      <c r="M98" s="146">
        <v>0.66050215210681396</v>
      </c>
      <c r="N98" s="90" t="str">
        <f>VLOOKUP(E98,'Rate Design (Consol)'!D:F,3,FALSE)</f>
        <v>&gt; 100 &lt; = 250</v>
      </c>
      <c r="O98" s="237">
        <f t="shared" si="42"/>
        <v>150</v>
      </c>
      <c r="P98" s="171">
        <f t="shared" si="50"/>
        <v>1243</v>
      </c>
      <c r="Q98" s="148">
        <f>ROUND(R98/12,0)*12</f>
        <v>14916</v>
      </c>
      <c r="R98" s="148">
        <v>14913.951411674412</v>
      </c>
      <c r="S98" s="151">
        <v>15.5</v>
      </c>
      <c r="T98" s="25"/>
      <c r="U98" s="148">
        <v>186897.87454979224</v>
      </c>
      <c r="V98" s="238">
        <v>0.49286000000000002</v>
      </c>
      <c r="W98" s="25"/>
      <c r="X98" s="131">
        <f>VLOOKUP(CONCATENATE(C98,B98),'G2-7 Summary'!S:W,2,FALSE)</f>
        <v>0.21507999999999991</v>
      </c>
      <c r="Y98" s="243">
        <f>VLOOKUP(CONCATENATE(C98,B98),'G2-7 Summary'!S:W,3,FALSE)</f>
        <v>0.16429000000000002</v>
      </c>
      <c r="Z98" s="131">
        <f>VLOOKUP(CONCATENATE(C98,B98),'G2-7 Summary'!S:W,4,FALSE)</f>
        <v>0</v>
      </c>
      <c r="AA98" s="131">
        <f>VLOOKUP(CONCATENATE(C98,B98),'G2-7 Summary'!S:W,5,FALSE)</f>
        <v>0.17909999999999998</v>
      </c>
      <c r="AB98" s="25"/>
      <c r="AC98" s="149">
        <f t="shared" si="43"/>
        <v>231198</v>
      </c>
      <c r="AD98" s="26">
        <f t="shared" si="44"/>
        <v>92114.48645061061</v>
      </c>
      <c r="AE98" s="26">
        <f t="shared" si="51"/>
        <v>40197.994858169295</v>
      </c>
      <c r="AF98" s="26"/>
      <c r="AG98" s="26">
        <f t="shared" si="52"/>
        <v>30705.451809785369</v>
      </c>
      <c r="AH98" s="26">
        <f t="shared" si="53"/>
        <v>0</v>
      </c>
      <c r="AI98" s="26">
        <f t="shared" si="54"/>
        <v>33473.409331867784</v>
      </c>
      <c r="AJ98" s="29">
        <f t="shared" si="45"/>
        <v>427689.34245043306</v>
      </c>
      <c r="AK98" s="27">
        <f t="shared" si="55"/>
        <v>-64178.861141653149</v>
      </c>
      <c r="AL98" s="27">
        <f t="shared" si="56"/>
        <v>363510.48130877991</v>
      </c>
      <c r="AM98" s="244"/>
      <c r="AN98" s="27">
        <f>SUMIFS('Rate Design (Consol)'!K:K,'Rate Design (Consol)'!A:A,K98,'Rate Design (Consol)'!D:D,G98)</f>
        <v>19.5</v>
      </c>
      <c r="AO98" s="23">
        <f>SUMIFS('Rate Design (Consol)'!L:L,'Rate Design (Consol)'!A:A,K98,'Rate Design (Consol)'!D:D,G98)</f>
        <v>0.65271999999999997</v>
      </c>
      <c r="AP98" s="24">
        <f t="shared" si="46"/>
        <v>290862</v>
      </c>
      <c r="AQ98" s="24">
        <f t="shared" si="47"/>
        <v>121991.98067614039</v>
      </c>
      <c r="AR98" s="25">
        <f t="shared" si="48"/>
        <v>412853.9806761404</v>
      </c>
      <c r="AT98" s="53"/>
      <c r="AU98" s="53"/>
      <c r="AV98" s="271"/>
      <c r="AX98" s="53"/>
      <c r="AY98" s="53"/>
    </row>
    <row r="99" spans="1:51" x14ac:dyDescent="0.25">
      <c r="A99" s="23" t="s">
        <v>172</v>
      </c>
      <c r="B99" s="23" t="s">
        <v>190</v>
      </c>
      <c r="C99" s="23" t="s">
        <v>174</v>
      </c>
      <c r="D99" s="23" t="s">
        <v>123</v>
      </c>
      <c r="E99" s="90" t="str">
        <f>INDEX('Rate Design (Consol)'!$B$48:$B$66,MATCH('G2-8 Summary'!F99,'Rate Design (Consol)'!$C$48:$C$66,0))</f>
        <v>COM - NGV</v>
      </c>
      <c r="F99" s="23" t="s">
        <v>19</v>
      </c>
      <c r="G99" s="90" t="str">
        <f>INDEX('Rate Design (Consol)'!$D$48:$D$66,MATCH('G2-8 Summary'!H99,'Rate Design (Consol)'!$E$48:$E$66,0))</f>
        <v>COM - NGV</v>
      </c>
      <c r="H99" s="23" t="str">
        <f t="shared" si="41"/>
        <v>Commercial - NGV</v>
      </c>
      <c r="I99" s="23" t="str">
        <f t="shared" si="40"/>
        <v>CF_NVS_Commercial - NGV</v>
      </c>
      <c r="J99" s="61" t="str">
        <f t="shared" si="49"/>
        <v>CFG-CFG - Firm Transportation Service - NGV-COM - NGV</v>
      </c>
      <c r="K99" s="62" t="s">
        <v>257</v>
      </c>
      <c r="L99" s="146">
        <v>1</v>
      </c>
      <c r="M99" s="146">
        <v>1</v>
      </c>
      <c r="N99" s="90" t="str">
        <f>VLOOKUP(E99,'Rate Design (Consol)'!D:F,3,FALSE)</f>
        <v>n/a</v>
      </c>
      <c r="O99" s="237">
        <f t="shared" si="42"/>
        <v>100131</v>
      </c>
      <c r="P99" s="171">
        <f t="shared" si="50"/>
        <v>1</v>
      </c>
      <c r="Q99" s="148">
        <f>ROUND(R99/12,0)*12</f>
        <v>12</v>
      </c>
      <c r="R99" s="148">
        <v>12</v>
      </c>
      <c r="S99" s="151">
        <v>100</v>
      </c>
      <c r="T99" s="25"/>
      <c r="U99" s="148">
        <v>100131</v>
      </c>
      <c r="V99" s="238">
        <v>0.17111000000000001</v>
      </c>
      <c r="W99" s="25"/>
      <c r="X99" s="131">
        <f>VLOOKUP(CONCATENATE(C99,B99),'G2-7 Summary'!S:W,2,FALSE)</f>
        <v>5.3290000000000004E-2</v>
      </c>
      <c r="Y99" s="243">
        <f>VLOOKUP(CONCATENATE(C99,B99),'G2-7 Summary'!S:W,3,FALSE)</f>
        <v>1.4429999999999997E-2</v>
      </c>
      <c r="Z99" s="131">
        <f>VLOOKUP(CONCATENATE(C99,B99),'G2-7 Summary'!S:W,4,FALSE)</f>
        <v>0</v>
      </c>
      <c r="AA99" s="131">
        <f>VLOOKUP(CONCATENATE(C99,B99),'G2-7 Summary'!S:W,5,FALSE)</f>
        <v>0</v>
      </c>
      <c r="AB99" s="25"/>
      <c r="AC99" s="149">
        <f t="shared" si="43"/>
        <v>1200</v>
      </c>
      <c r="AD99" s="149">
        <f t="shared" si="44"/>
        <v>17133.415410000001</v>
      </c>
      <c r="AE99" s="149">
        <f t="shared" si="51"/>
        <v>5335.98099</v>
      </c>
      <c r="AF99" s="149"/>
      <c r="AG99" s="149">
        <f t="shared" si="52"/>
        <v>1444.8903299999997</v>
      </c>
      <c r="AH99" s="149">
        <f t="shared" si="53"/>
        <v>0</v>
      </c>
      <c r="AI99" s="149">
        <f t="shared" si="54"/>
        <v>0</v>
      </c>
      <c r="AJ99" s="119">
        <f t="shared" ref="AJ99:AJ131" si="60">SUM(AC99:AI99)</f>
        <v>25114.28673</v>
      </c>
      <c r="AK99" s="27">
        <f t="shared" si="55"/>
        <v>-1444.8903299999997</v>
      </c>
      <c r="AL99" s="27">
        <f t="shared" si="56"/>
        <v>23669.396400000001</v>
      </c>
      <c r="AM99" s="244"/>
      <c r="AN99" s="27">
        <f>SUMIFS('Rate Design (Consol)'!K:K,'Rate Design (Consol)'!A:A,K99,'Rate Design (Consol)'!D:D,G99)</f>
        <v>250</v>
      </c>
      <c r="AO99" s="23">
        <f>SUMIFS('Rate Design (Consol)'!L:L,'Rate Design (Consol)'!A:A,K99,'Rate Design (Consol)'!D:D,G99)</f>
        <v>0.49803999999999998</v>
      </c>
      <c r="AP99" s="24">
        <f t="shared" si="46"/>
        <v>3000</v>
      </c>
      <c r="AQ99" s="24">
        <f t="shared" si="47"/>
        <v>49869.243239999996</v>
      </c>
      <c r="AR99" s="25">
        <f t="shared" si="48"/>
        <v>52869.243239999996</v>
      </c>
      <c r="AS99" s="149"/>
      <c r="AT99" s="53"/>
      <c r="AU99" s="53"/>
      <c r="AV99" s="272"/>
      <c r="AX99" s="53"/>
      <c r="AY99" s="53"/>
    </row>
    <row r="100" spans="1:51" x14ac:dyDescent="0.25">
      <c r="A100" s="23" t="s">
        <v>164</v>
      </c>
      <c r="B100" s="23" t="s">
        <v>165</v>
      </c>
      <c r="C100" s="23" t="s">
        <v>166</v>
      </c>
      <c r="D100" s="23" t="s">
        <v>125</v>
      </c>
      <c r="E100" s="90" t="str">
        <f>INDEX('Rate Design (Consol)'!$B$48:$B$66,MATCH('G2-8 Summary'!F100,'Rate Design (Consol)'!$C$48:$C$66,0))</f>
        <v>COM-SG</v>
      </c>
      <c r="F100" s="23" t="s">
        <v>21</v>
      </c>
      <c r="G100" s="90" t="str">
        <f>INDEX('Rate Design (Consol)'!$D$48:$D$66,MATCH('G2-8 Summary'!H100,'Rate Design (Consol)'!$E$48:$E$66,0))</f>
        <v>COM-SG</v>
      </c>
      <c r="H100" s="23" t="str">
        <f t="shared" si="41"/>
        <v>Commercial Standby Generator</v>
      </c>
      <c r="I100" s="23" t="str">
        <f t="shared" si="40"/>
        <v>FN_CS-GS_Commercial Standby Generator</v>
      </c>
      <c r="J100" s="61" t="str">
        <f t="shared" si="49"/>
        <v>FPUC-FPUC - Commercial Standby Generator Service-COM-SG</v>
      </c>
      <c r="K100" s="62" t="s">
        <v>257</v>
      </c>
      <c r="L100" s="146">
        <v>1</v>
      </c>
      <c r="M100" s="146">
        <v>1</v>
      </c>
      <c r="N100" s="90" t="str">
        <f>VLOOKUP(E100,'Rate Design (Consol)'!D:F,3,FALSE)</f>
        <v>n/a</v>
      </c>
      <c r="O100" s="237">
        <f t="shared" si="42"/>
        <v>207</v>
      </c>
      <c r="P100" s="171">
        <f t="shared" si="50"/>
        <v>303</v>
      </c>
      <c r="Q100" s="148">
        <f>ROUND(R100/12,0)*12</f>
        <v>3636</v>
      </c>
      <c r="R100" s="148">
        <v>3639.9233351275325</v>
      </c>
      <c r="S100" s="151">
        <v>35.81</v>
      </c>
      <c r="T100" s="25"/>
      <c r="U100" s="148">
        <v>62693.344449740995</v>
      </c>
      <c r="V100" s="238">
        <v>0.39135999999999999</v>
      </c>
      <c r="W100" s="25"/>
      <c r="X100" s="131">
        <f>VLOOKUP(CONCATENATE(C100,B100),'G2-7 Summary'!S:W,2,FALSE)</f>
        <v>0.22966000000000003</v>
      </c>
      <c r="Y100" s="243">
        <f>VLOOKUP(CONCATENATE(C100,B100),'G2-7 Summary'!S:W,3,FALSE)</f>
        <v>5.4980000000000015E-2</v>
      </c>
      <c r="Z100" s="131">
        <f>VLOOKUP(CONCATENATE(C100,B100),'G2-7 Summary'!S:W,4,FALSE)</f>
        <v>1.0504000000000002</v>
      </c>
      <c r="AA100" s="131">
        <f>VLOOKUP(CONCATENATE(C100,B100),'G2-7 Summary'!S:W,5,FALSE)</f>
        <v>0</v>
      </c>
      <c r="AB100" s="25"/>
      <c r="AC100" s="149">
        <f t="shared" si="43"/>
        <v>130205.16</v>
      </c>
      <c r="AD100" s="149">
        <f t="shared" ref="AD100:AD132" si="61">U100*V100</f>
        <v>24535.667283850635</v>
      </c>
      <c r="AE100" s="149">
        <f t="shared" si="51"/>
        <v>14398.153486327519</v>
      </c>
      <c r="AF100" s="149"/>
      <c r="AG100" s="149">
        <f t="shared" si="52"/>
        <v>3446.8800778467607</v>
      </c>
      <c r="AH100" s="149">
        <f t="shared" si="53"/>
        <v>65853.089010007956</v>
      </c>
      <c r="AI100" s="149">
        <f t="shared" si="54"/>
        <v>0</v>
      </c>
      <c r="AJ100" s="119">
        <f t="shared" si="60"/>
        <v>238438.94985803287</v>
      </c>
      <c r="AK100" s="27">
        <f t="shared" si="55"/>
        <v>-69299.969087854712</v>
      </c>
      <c r="AL100" s="27">
        <f t="shared" si="56"/>
        <v>169138.98077017814</v>
      </c>
      <c r="AM100" s="244"/>
      <c r="AN100" s="27">
        <f>SUMIFS('Rate Design (Consol)'!K:K,'Rate Design (Consol)'!A:A,K100,'Rate Design (Consol)'!D:D,G100)</f>
        <v>65</v>
      </c>
      <c r="AO100" s="23">
        <f>SUMIFS('Rate Design (Consol)'!L:L,'Rate Design (Consol)'!A:A,K100,'Rate Design (Consol)'!D:D,G100)</f>
        <v>0.18104999999999999</v>
      </c>
      <c r="AP100" s="24">
        <f t="shared" si="46"/>
        <v>236340</v>
      </c>
      <c r="AQ100" s="24">
        <f t="shared" si="47"/>
        <v>11350.630012625606</v>
      </c>
      <c r="AR100" s="25">
        <f t="shared" si="48"/>
        <v>247690.6300126256</v>
      </c>
      <c r="AS100" s="149"/>
      <c r="AT100" s="53"/>
      <c r="AU100" s="53"/>
      <c r="AV100" s="272"/>
      <c r="AX100" s="53"/>
      <c r="AY100" s="53"/>
    </row>
    <row r="101" spans="1:51" x14ac:dyDescent="0.25">
      <c r="A101" s="23" t="s">
        <v>164</v>
      </c>
      <c r="B101" s="23" t="s">
        <v>167</v>
      </c>
      <c r="C101" s="23" t="s">
        <v>166</v>
      </c>
      <c r="D101" s="23" t="s">
        <v>124</v>
      </c>
      <c r="E101" s="90" t="str">
        <f>INDEX('Rate Design (Consol)'!$B$48:$B$66,MATCH('G2-8 Summary'!F101,'Rate Design (Consol)'!$C$48:$C$66,0))</f>
        <v>COM - OL</v>
      </c>
      <c r="F101" s="23" t="s">
        <v>20</v>
      </c>
      <c r="G101" s="90" t="str">
        <f>INDEX('Rate Design (Consol)'!$D$48:$D$66,MATCH('G2-8 Summary'!H101,'Rate Design (Consol)'!$E$48:$E$66,0))</f>
        <v>COM - OL</v>
      </c>
      <c r="H101" s="23" t="str">
        <f t="shared" si="41"/>
        <v>Commercial - Outdoor Lighting</v>
      </c>
      <c r="I101" s="23" t="str">
        <f t="shared" si="40"/>
        <v>FN_GLS_Commercial - Outdoor Lighting</v>
      </c>
      <c r="J101" s="61" t="str">
        <f t="shared" si="49"/>
        <v>FPUC-FPUC - Gas Lighting Service-COM - OL</v>
      </c>
      <c r="K101" s="62" t="s">
        <v>257</v>
      </c>
      <c r="L101" s="146">
        <v>1</v>
      </c>
      <c r="M101" s="146">
        <v>1</v>
      </c>
      <c r="N101" s="90" t="str">
        <f>VLOOKUP(E101,'Rate Design (Consol)'!D:F,3,FALSE)</f>
        <v>n/a</v>
      </c>
      <c r="O101" s="237">
        <f t="shared" si="42"/>
        <v>3439</v>
      </c>
      <c r="P101" s="171">
        <f t="shared" si="50"/>
        <v>29</v>
      </c>
      <c r="Q101" s="148">
        <f>ROUND(R101/12,0)*12</f>
        <v>348</v>
      </c>
      <c r="R101" s="148">
        <v>346</v>
      </c>
      <c r="S101" s="151">
        <v>0</v>
      </c>
      <c r="T101" s="25"/>
      <c r="U101" s="148">
        <v>99722.64</v>
      </c>
      <c r="V101" s="238">
        <v>0.24210000000000001</v>
      </c>
      <c r="W101" s="25"/>
      <c r="X101" s="131">
        <f>VLOOKUP(CONCATENATE(C101,B101),'G2-7 Summary'!S:W,2,FALSE)</f>
        <v>1.1405100000000004</v>
      </c>
      <c r="Y101" s="243">
        <f>VLOOKUP(CONCATENATE(C101,B101),'G2-7 Summary'!S:W,3,FALSE)</f>
        <v>0</v>
      </c>
      <c r="Z101" s="131">
        <f>VLOOKUP(CONCATENATE(C101,B101),'G2-7 Summary'!S:W,4,FALSE)</f>
        <v>1.0504000000000002</v>
      </c>
      <c r="AA101" s="131">
        <f>VLOOKUP(CONCATENATE(C101,B101),'G2-7 Summary'!S:W,5,FALSE)</f>
        <v>0</v>
      </c>
      <c r="AB101" s="25"/>
      <c r="AC101" s="149">
        <f t="shared" ref="AC101:AC132" si="62">S101*P101*12</f>
        <v>0</v>
      </c>
      <c r="AD101" s="149">
        <f t="shared" si="61"/>
        <v>24142.851144</v>
      </c>
      <c r="AE101" s="149">
        <f t="shared" si="51"/>
        <v>113734.66814640003</v>
      </c>
      <c r="AF101" s="149"/>
      <c r="AG101" s="149">
        <f t="shared" si="52"/>
        <v>0</v>
      </c>
      <c r="AH101" s="149">
        <f t="shared" si="53"/>
        <v>104748.66105600003</v>
      </c>
      <c r="AI101" s="149">
        <f t="shared" si="54"/>
        <v>0</v>
      </c>
      <c r="AJ101" s="119">
        <f t="shared" si="60"/>
        <v>242626.18034640007</v>
      </c>
      <c r="AK101" s="27">
        <f t="shared" si="55"/>
        <v>-104748.66105600003</v>
      </c>
      <c r="AL101" s="27">
        <f t="shared" si="56"/>
        <v>137877.51929040003</v>
      </c>
      <c r="AM101" s="244"/>
      <c r="AN101" s="27">
        <f>SUMIFS('Rate Design (Consol)'!K:K,'Rate Design (Consol)'!A:A,K101,'Rate Design (Consol)'!D:D,G101)</f>
        <v>0</v>
      </c>
      <c r="AO101" s="23">
        <f>SUMIFS('Rate Design (Consol)'!L:L,'Rate Design (Consol)'!A:A,K101,'Rate Design (Consol)'!D:D,G101)</f>
        <v>0.66344000000000003</v>
      </c>
      <c r="AP101" s="24">
        <f t="shared" si="46"/>
        <v>0</v>
      </c>
      <c r="AQ101" s="24">
        <f t="shared" si="47"/>
        <v>66159.988281600003</v>
      </c>
      <c r="AR101" s="25">
        <f t="shared" si="48"/>
        <v>66159.988281600003</v>
      </c>
      <c r="AS101" s="149"/>
      <c r="AT101" s="53"/>
      <c r="AU101" s="53"/>
      <c r="AV101" s="272"/>
      <c r="AX101" s="53"/>
      <c r="AY101" s="53"/>
    </row>
    <row r="102" spans="1:51" x14ac:dyDescent="0.25">
      <c r="A102" s="23" t="s">
        <v>164</v>
      </c>
      <c r="B102" s="23" t="s">
        <v>49</v>
      </c>
      <c r="C102" s="23" t="s">
        <v>166</v>
      </c>
      <c r="D102" s="23" t="s">
        <v>87</v>
      </c>
      <c r="E102" s="90" t="str">
        <f>INDEX('Rate Design (Consol)'!$B$48:$B$66,MATCH('G2-8 Summary'!F102,'Rate Design (Consol)'!$C$48:$C$66,0))</f>
        <v>GS-2</v>
      </c>
      <c r="F102" s="23" t="s">
        <v>12</v>
      </c>
      <c r="G102" s="90" t="str">
        <f>INDEX('Rate Design (Consol)'!$D$48:$D$66,MATCH('G2-8 Summary'!H102,'Rate Design (Consol)'!$E$48:$E$66,0))</f>
        <v>GS-2</v>
      </c>
      <c r="H102" s="23" t="str">
        <f t="shared" si="41"/>
        <v>General Service - 2</v>
      </c>
      <c r="I102" s="23" t="str">
        <f t="shared" si="40"/>
        <v>FN_GS-2_General Service - 2</v>
      </c>
      <c r="J102" s="61" t="str">
        <f t="shared" si="49"/>
        <v>FPUC-FPUC - General Service - 2-GS-2</v>
      </c>
      <c r="K102" s="62" t="s">
        <v>257</v>
      </c>
      <c r="L102" s="146">
        <v>0.47891842346471125</v>
      </c>
      <c r="M102" s="146">
        <v>0.42414377492151212</v>
      </c>
      <c r="N102" s="90" t="str">
        <f>VLOOKUP(E102,'Rate Design (Consol)'!D:F,3,FALSE)</f>
        <v>&gt; 1000 &lt; = 5,000</v>
      </c>
      <c r="O102" s="237">
        <f t="shared" si="42"/>
        <v>2583</v>
      </c>
      <c r="P102" s="171">
        <f t="shared" si="50"/>
        <v>1086</v>
      </c>
      <c r="Q102" s="148">
        <f>ROUND(R102/12,0)*12+12</f>
        <v>13032</v>
      </c>
      <c r="R102" s="148">
        <v>13025.914510583973</v>
      </c>
      <c r="S102" s="151">
        <v>33</v>
      </c>
      <c r="T102" s="25"/>
      <c r="U102" s="148">
        <v>2805584.4345125551</v>
      </c>
      <c r="V102" s="238">
        <v>0.39135999999999999</v>
      </c>
      <c r="W102" s="25"/>
      <c r="X102" s="131">
        <f>VLOOKUP(CONCATENATE(C102,B102),'G2-7 Summary'!S:W,2,FALSE)</f>
        <v>0.22965999999999995</v>
      </c>
      <c r="Y102" s="243">
        <f>VLOOKUP(CONCATENATE(C102,B102),'G2-7 Summary'!S:W,3,FALSE)</f>
        <v>4.0899999999999992E-2</v>
      </c>
      <c r="Z102" s="131">
        <f>VLOOKUP(CONCATENATE(C102,B102),'G2-7 Summary'!S:W,4,FALSE)</f>
        <v>1.0503999999999998</v>
      </c>
      <c r="AA102" s="131">
        <f>VLOOKUP(CONCATENATE(C102,B102),'G2-7 Summary'!S:W,5,FALSE)</f>
        <v>0</v>
      </c>
      <c r="AB102" s="25"/>
      <c r="AC102" s="149">
        <f t="shared" si="62"/>
        <v>430056</v>
      </c>
      <c r="AD102" s="149">
        <f t="shared" si="61"/>
        <v>1097993.5242908336</v>
      </c>
      <c r="AE102" s="149">
        <f t="shared" si="51"/>
        <v>644330.52123015327</v>
      </c>
      <c r="AF102" s="149"/>
      <c r="AG102" s="149">
        <f t="shared" si="52"/>
        <v>114748.40337156349</v>
      </c>
      <c r="AH102" s="149">
        <f t="shared" si="53"/>
        <v>2946985.8900119872</v>
      </c>
      <c r="AI102" s="149">
        <f t="shared" si="54"/>
        <v>0</v>
      </c>
      <c r="AJ102" s="119">
        <f t="shared" si="60"/>
        <v>5234114.3389045373</v>
      </c>
      <c r="AK102" s="27">
        <f t="shared" si="55"/>
        <v>-3061734.2933835508</v>
      </c>
      <c r="AL102" s="27">
        <f t="shared" si="56"/>
        <v>2172380.0455209864</v>
      </c>
      <c r="AM102" s="244"/>
      <c r="AN102" s="27">
        <f>SUMIFS('Rate Design (Consol)'!K:K,'Rate Design (Consol)'!A:A,K102,'Rate Design (Consol)'!D:D,G102)</f>
        <v>70</v>
      </c>
      <c r="AO102" s="23">
        <f>SUMIFS('Rate Design (Consol)'!L:L,'Rate Design (Consol)'!A:A,K102,'Rate Design (Consol)'!D:D,G102)</f>
        <v>0.69901999999999997</v>
      </c>
      <c r="AP102" s="24">
        <f t="shared" si="46"/>
        <v>912240</v>
      </c>
      <c r="AQ102" s="24">
        <f t="shared" si="47"/>
        <v>1961159.6314129662</v>
      </c>
      <c r="AR102" s="25">
        <f t="shared" si="48"/>
        <v>2873399.6314129662</v>
      </c>
      <c r="AS102" s="149"/>
      <c r="AT102" s="53"/>
      <c r="AU102" s="53"/>
      <c r="AV102" s="272"/>
      <c r="AX102" s="53"/>
      <c r="AY102" s="53"/>
    </row>
    <row r="103" spans="1:51" x14ac:dyDescent="0.25">
      <c r="A103" s="23" t="s">
        <v>164</v>
      </c>
      <c r="B103" s="23" t="s">
        <v>49</v>
      </c>
      <c r="C103" s="23" t="s">
        <v>166</v>
      </c>
      <c r="D103" s="23" t="s">
        <v>87</v>
      </c>
      <c r="E103" s="90" t="str">
        <f>INDEX('Rate Design (Consol)'!$B$48:$B$66,MATCH('G2-8 Summary'!F103,'Rate Design (Consol)'!$C$48:$C$66,0))</f>
        <v>GS-3</v>
      </c>
      <c r="F103" s="23" t="s">
        <v>13</v>
      </c>
      <c r="G103" s="90" t="str">
        <f>INDEX('Rate Design (Consol)'!$D$48:$D$66,MATCH('G2-8 Summary'!H103,'Rate Design (Consol)'!$E$48:$E$66,0))</f>
        <v>GS-3</v>
      </c>
      <c r="H103" s="23" t="str">
        <f t="shared" si="41"/>
        <v>General Service - 3</v>
      </c>
      <c r="I103" s="23" t="str">
        <f t="shared" si="40"/>
        <v>FN_GS-2_General Service - 3</v>
      </c>
      <c r="J103" s="61" t="str">
        <f t="shared" si="49"/>
        <v>FPUC-FPUC - General Service - 2-GS-3</v>
      </c>
      <c r="K103" s="62" t="s">
        <v>257</v>
      </c>
      <c r="L103" s="146">
        <v>0.13657195233730524</v>
      </c>
      <c r="M103" s="146">
        <v>0.31426387806551309</v>
      </c>
      <c r="N103" s="90" t="str">
        <f>VLOOKUP(E103,'Rate Design (Consol)'!D:F,3,FALSE)</f>
        <v>&gt; 5,000 &lt; = 10,000</v>
      </c>
      <c r="O103" s="237">
        <f t="shared" si="42"/>
        <v>6706</v>
      </c>
      <c r="P103" s="171">
        <f t="shared" si="50"/>
        <v>310</v>
      </c>
      <c r="Q103" s="148">
        <f>ROUND(R103/12,0)*12</f>
        <v>3720</v>
      </c>
      <c r="R103" s="148">
        <v>3714.5670087598319</v>
      </c>
      <c r="S103" s="151">
        <v>33</v>
      </c>
      <c r="T103" s="25"/>
      <c r="U103" s="148">
        <v>2078761.7236473945</v>
      </c>
      <c r="V103" s="238">
        <v>0.39135999999999999</v>
      </c>
      <c r="W103" s="25"/>
      <c r="X103" s="131">
        <f>VLOOKUP(CONCATENATE(C103,B103),'G2-7 Summary'!S:W,2,FALSE)</f>
        <v>0.22965999999999995</v>
      </c>
      <c r="Y103" s="243">
        <f>VLOOKUP(CONCATENATE(C103,B103),'G2-7 Summary'!S:W,3,FALSE)</f>
        <v>4.0899999999999992E-2</v>
      </c>
      <c r="Z103" s="131">
        <f>VLOOKUP(CONCATENATE(C103,B103),'G2-7 Summary'!S:W,4,FALSE)</f>
        <v>1.0503999999999998</v>
      </c>
      <c r="AA103" s="131">
        <f>VLOOKUP(CONCATENATE(C103,B103),'G2-7 Summary'!S:W,5,FALSE)</f>
        <v>0</v>
      </c>
      <c r="AB103" s="25"/>
      <c r="AC103" s="149">
        <f t="shared" si="62"/>
        <v>122760</v>
      </c>
      <c r="AD103" s="149">
        <f t="shared" si="61"/>
        <v>813544.18816664431</v>
      </c>
      <c r="AE103" s="149">
        <f t="shared" si="51"/>
        <v>477408.41745286051</v>
      </c>
      <c r="AF103" s="149"/>
      <c r="AG103" s="149">
        <f t="shared" si="52"/>
        <v>85021.354497178414</v>
      </c>
      <c r="AH103" s="149">
        <f t="shared" si="53"/>
        <v>2183531.3145192228</v>
      </c>
      <c r="AI103" s="149">
        <f t="shared" si="54"/>
        <v>0</v>
      </c>
      <c r="AJ103" s="119">
        <f t="shared" si="60"/>
        <v>3682265.2746359063</v>
      </c>
      <c r="AK103" s="27">
        <f t="shared" si="55"/>
        <v>-2268552.6690164013</v>
      </c>
      <c r="AL103" s="27">
        <f t="shared" si="56"/>
        <v>1413712.605619505</v>
      </c>
      <c r="AM103" s="244"/>
      <c r="AN103" s="27">
        <f>SUMIFS('Rate Design (Consol)'!K:K,'Rate Design (Consol)'!A:A,K103,'Rate Design (Consol)'!D:D,G103)</f>
        <v>150</v>
      </c>
      <c r="AO103" s="23">
        <f>SUMIFS('Rate Design (Consol)'!L:L,'Rate Design (Consol)'!A:A,K103,'Rate Design (Consol)'!D:D,G103)</f>
        <v>0.62475000000000003</v>
      </c>
      <c r="AP103" s="24">
        <f t="shared" si="46"/>
        <v>558000</v>
      </c>
      <c r="AQ103" s="24">
        <f t="shared" si="47"/>
        <v>1298706.3868487098</v>
      </c>
      <c r="AR103" s="25">
        <f t="shared" si="48"/>
        <v>1856706.3868487098</v>
      </c>
      <c r="AS103" s="149"/>
      <c r="AT103" s="53"/>
      <c r="AU103" s="53"/>
      <c r="AV103" s="272"/>
      <c r="AX103" s="53"/>
      <c r="AY103" s="53"/>
    </row>
    <row r="104" spans="1:51" x14ac:dyDescent="0.25">
      <c r="A104" s="23" t="s">
        <v>164</v>
      </c>
      <c r="B104" s="23" t="s">
        <v>49</v>
      </c>
      <c r="C104" s="23" t="s">
        <v>166</v>
      </c>
      <c r="D104" s="23" t="s">
        <v>87</v>
      </c>
      <c r="E104" s="90" t="str">
        <f>INDEX('Rate Design (Consol)'!$B$48:$B$66,MATCH('G2-8 Summary'!F104,'Rate Design (Consol)'!$C$48:$C$66,0))</f>
        <v>GS-4</v>
      </c>
      <c r="F104" s="23" t="s">
        <v>14</v>
      </c>
      <c r="G104" s="90" t="str">
        <f>INDEX('Rate Design (Consol)'!$D$48:$D$66,MATCH('G2-8 Summary'!H104,'Rate Design (Consol)'!$E$48:$E$66,0))</f>
        <v>GS-4</v>
      </c>
      <c r="H104" s="23" t="str">
        <f t="shared" si="41"/>
        <v>General Service - 4</v>
      </c>
      <c r="I104" s="23" t="str">
        <f t="shared" si="40"/>
        <v>FN_GS-2_General Service - 4</v>
      </c>
      <c r="J104" s="61" t="str">
        <f t="shared" si="49"/>
        <v>FPUC-FPUC - General Service - 2-GS-4</v>
      </c>
      <c r="K104" s="62" t="s">
        <v>257</v>
      </c>
      <c r="L104" s="146">
        <v>3.5288725939505043E-2</v>
      </c>
      <c r="M104" s="146">
        <v>0.18095614955465905</v>
      </c>
      <c r="N104" s="90" t="str">
        <f>VLOOKUP(E104,'Rate Design (Consol)'!D:F,3,FALSE)</f>
        <v>&gt; 10,000 &lt; = 50,000</v>
      </c>
      <c r="O104" s="237">
        <f t="shared" si="42"/>
        <v>14962</v>
      </c>
      <c r="P104" s="171">
        <f t="shared" si="50"/>
        <v>80</v>
      </c>
      <c r="Q104" s="148">
        <f>ROUND(R104/12,0)*12</f>
        <v>960</v>
      </c>
      <c r="R104" s="148">
        <v>959.80422709566119</v>
      </c>
      <c r="S104" s="151">
        <v>33</v>
      </c>
      <c r="T104" s="25"/>
      <c r="U104" s="148">
        <v>1196970.9012323124</v>
      </c>
      <c r="V104" s="238">
        <v>0.39135999999999999</v>
      </c>
      <c r="W104" s="25"/>
      <c r="X104" s="131">
        <f>VLOOKUP(CONCATENATE(C104,B104),'G2-7 Summary'!S:W,2,FALSE)</f>
        <v>0.22965999999999995</v>
      </c>
      <c r="Y104" s="243">
        <f>VLOOKUP(CONCATENATE(C104,B104),'G2-7 Summary'!S:W,3,FALSE)</f>
        <v>4.0899999999999992E-2</v>
      </c>
      <c r="Z104" s="131">
        <f>VLOOKUP(CONCATENATE(C104,B104),'G2-7 Summary'!S:W,4,FALSE)</f>
        <v>1.0503999999999998</v>
      </c>
      <c r="AA104" s="131">
        <f>VLOOKUP(CONCATENATE(C104,B104),'G2-7 Summary'!S:W,5,FALSE)</f>
        <v>0</v>
      </c>
      <c r="AB104" s="25"/>
      <c r="AC104" s="149">
        <f t="shared" si="62"/>
        <v>31680</v>
      </c>
      <c r="AD104" s="149">
        <f t="shared" si="61"/>
        <v>468446.53190627776</v>
      </c>
      <c r="AE104" s="149">
        <f t="shared" si="51"/>
        <v>274896.33717701281</v>
      </c>
      <c r="AF104" s="149"/>
      <c r="AG104" s="149">
        <f t="shared" si="52"/>
        <v>48956.109860401571</v>
      </c>
      <c r="AH104" s="149">
        <f t="shared" si="53"/>
        <v>1257298.2346544208</v>
      </c>
      <c r="AI104" s="149">
        <f t="shared" si="54"/>
        <v>0</v>
      </c>
      <c r="AJ104" s="119">
        <f t="shared" si="60"/>
        <v>2081277.213598113</v>
      </c>
      <c r="AK104" s="27">
        <f t="shared" si="55"/>
        <v>-1306254.3445148224</v>
      </c>
      <c r="AL104" s="27">
        <f t="shared" si="56"/>
        <v>775022.86908329069</v>
      </c>
      <c r="AM104" s="244"/>
      <c r="AN104" s="27">
        <f>SUMIFS('Rate Design (Consol)'!K:K,'Rate Design (Consol)'!A:A,K104,'Rate Design (Consol)'!D:D,G104)</f>
        <v>275</v>
      </c>
      <c r="AO104" s="23">
        <f>SUMIFS('Rate Design (Consol)'!L:L,'Rate Design (Consol)'!A:A,K104,'Rate Design (Consol)'!D:D,G104)</f>
        <v>0.59182999999999997</v>
      </c>
      <c r="AP104" s="24">
        <f t="shared" si="46"/>
        <v>264000</v>
      </c>
      <c r="AQ104" s="24">
        <f t="shared" si="47"/>
        <v>708403.2884763194</v>
      </c>
      <c r="AR104" s="25">
        <f t="shared" si="48"/>
        <v>972403.2884763194</v>
      </c>
      <c r="AS104" s="149"/>
      <c r="AT104" s="53"/>
      <c r="AU104" s="53"/>
      <c r="AV104" s="272"/>
      <c r="AX104" s="53"/>
      <c r="AY104" s="53"/>
    </row>
    <row r="105" spans="1:51" x14ac:dyDescent="0.25">
      <c r="A105" s="23" t="s">
        <v>164</v>
      </c>
      <c r="B105" s="23" t="s">
        <v>49</v>
      </c>
      <c r="C105" s="23" t="s">
        <v>166</v>
      </c>
      <c r="D105" s="23" t="s">
        <v>87</v>
      </c>
      <c r="E105" s="90" t="str">
        <f>INDEX('Rate Design (Consol)'!$B$48:$B$66,MATCH('G2-8 Summary'!F105,'Rate Design (Consol)'!$C$48:$C$66,0))</f>
        <v>GS-5</v>
      </c>
      <c r="F105" s="23" t="s">
        <v>15</v>
      </c>
      <c r="G105" s="90" t="str">
        <f>INDEX('Rate Design (Consol)'!$D$48:$D$66,MATCH('G2-8 Summary'!H105,'Rate Design (Consol)'!$E$48:$E$66,0))</f>
        <v>GS-5</v>
      </c>
      <c r="H105" s="23" t="str">
        <f t="shared" si="41"/>
        <v>General Service - 5</v>
      </c>
      <c r="I105" s="23" t="str">
        <f t="shared" si="40"/>
        <v>FN_GS-2_General Service - 5</v>
      </c>
      <c r="J105" s="61" t="str">
        <f t="shared" si="49"/>
        <v>FPUC-FPUC - General Service - 2-GS-5</v>
      </c>
      <c r="K105" s="62" t="s">
        <v>257</v>
      </c>
      <c r="L105" s="146">
        <v>4.5829514207149406E-4</v>
      </c>
      <c r="M105" s="146">
        <v>3.2572888817012764E-2</v>
      </c>
      <c r="N105" s="90" t="str">
        <f>VLOOKUP(E105,'Rate Design (Consol)'!D:F,3,FALSE)</f>
        <v>&gt; 50,000 &lt; = 250,000</v>
      </c>
      <c r="O105" s="237">
        <f t="shared" si="42"/>
        <v>215460</v>
      </c>
      <c r="P105" s="171">
        <f t="shared" si="50"/>
        <v>1</v>
      </c>
      <c r="Q105" s="148">
        <f>ROUND(R105/12,0)*12</f>
        <v>12</v>
      </c>
      <c r="R105" s="148">
        <v>12.464989962281313</v>
      </c>
      <c r="S105" s="151">
        <v>33</v>
      </c>
      <c r="T105" s="25"/>
      <c r="U105" s="148">
        <v>215459.93423817214</v>
      </c>
      <c r="V105" s="238">
        <v>0.39135999999999999</v>
      </c>
      <c r="W105" s="25"/>
      <c r="X105" s="131">
        <f>VLOOKUP(CONCATENATE(C105,B105),'G2-7 Summary'!S:W,2,FALSE)</f>
        <v>0.22965999999999995</v>
      </c>
      <c r="Y105" s="243">
        <f>VLOOKUP(CONCATENATE(C105,B105),'G2-7 Summary'!S:W,3,FALSE)</f>
        <v>4.0899999999999992E-2</v>
      </c>
      <c r="Z105" s="131">
        <f>VLOOKUP(CONCATENATE(C105,B105),'G2-7 Summary'!S:W,4,FALSE)</f>
        <v>1.0503999999999998</v>
      </c>
      <c r="AA105" s="131">
        <f>VLOOKUP(CONCATENATE(C105,B105),'G2-7 Summary'!S:W,5,FALSE)</f>
        <v>0</v>
      </c>
      <c r="AB105" s="25"/>
      <c r="AC105" s="149">
        <f t="shared" si="62"/>
        <v>396</v>
      </c>
      <c r="AD105" s="149">
        <f t="shared" si="61"/>
        <v>84322.39986345105</v>
      </c>
      <c r="AE105" s="149">
        <f t="shared" si="51"/>
        <v>49482.528497138599</v>
      </c>
      <c r="AF105" s="149"/>
      <c r="AG105" s="149">
        <f t="shared" si="52"/>
        <v>8812.3113103412379</v>
      </c>
      <c r="AH105" s="149">
        <f t="shared" si="53"/>
        <v>226319.11492377595</v>
      </c>
      <c r="AI105" s="149">
        <f t="shared" si="54"/>
        <v>0</v>
      </c>
      <c r="AJ105" s="119">
        <f t="shared" si="60"/>
        <v>369332.35459470685</v>
      </c>
      <c r="AK105" s="27">
        <f t="shared" si="55"/>
        <v>-235131.42623411719</v>
      </c>
      <c r="AL105" s="27">
        <f t="shared" si="56"/>
        <v>134200.92836058966</v>
      </c>
      <c r="AM105" s="244"/>
      <c r="AN105" s="27">
        <f>SUMIFS('Rate Design (Consol)'!K:K,'Rate Design (Consol)'!A:A,K105,'Rate Design (Consol)'!D:D,G105)</f>
        <v>750</v>
      </c>
      <c r="AO105" s="23">
        <f>SUMIFS('Rate Design (Consol)'!L:L,'Rate Design (Consol)'!A:A,K105,'Rate Design (Consol)'!D:D,G105)</f>
        <v>0.52</v>
      </c>
      <c r="AP105" s="24">
        <f t="shared" si="46"/>
        <v>9000</v>
      </c>
      <c r="AQ105" s="24">
        <f t="shared" si="47"/>
        <v>112039.16580384951</v>
      </c>
      <c r="AR105" s="25">
        <f t="shared" si="48"/>
        <v>121039.16580384951</v>
      </c>
      <c r="AS105" s="149"/>
      <c r="AT105" s="53"/>
      <c r="AU105" s="53"/>
      <c r="AV105" s="272"/>
      <c r="AX105" s="53"/>
      <c r="AY105" s="53"/>
    </row>
    <row r="106" spans="1:51" x14ac:dyDescent="0.25">
      <c r="A106" s="23" t="s">
        <v>164</v>
      </c>
      <c r="B106" s="23" t="s">
        <v>49</v>
      </c>
      <c r="C106" s="23" t="s">
        <v>166</v>
      </c>
      <c r="D106" s="23" t="s">
        <v>87</v>
      </c>
      <c r="E106" s="90" t="str">
        <f>INDEX('Rate Design (Consol)'!$B$48:$B$66,MATCH('G2-8 Summary'!F106,'Rate Design (Consol)'!$C$48:$C$66,0))</f>
        <v>GS-1</v>
      </c>
      <c r="F106" s="23" t="s">
        <v>11</v>
      </c>
      <c r="G106" s="90" t="str">
        <f>INDEX('Rate Design (Consol)'!$D$48:$D$66,MATCH('G2-8 Summary'!H106,'Rate Design (Consol)'!$E$48:$E$66,0))</f>
        <v>GS-1</v>
      </c>
      <c r="H106" s="23" t="str">
        <f t="shared" si="41"/>
        <v>General Service - 1</v>
      </c>
      <c r="I106" s="23" t="str">
        <f t="shared" si="40"/>
        <v>FN_GS-2_General Service - 1</v>
      </c>
      <c r="J106" s="61" t="str">
        <f t="shared" si="49"/>
        <v>FPUC-FPUC - General Service - 2-GS-1</v>
      </c>
      <c r="K106" s="62" t="s">
        <v>257</v>
      </c>
      <c r="L106" s="146">
        <v>0.34876260311640694</v>
      </c>
      <c r="M106" s="146">
        <v>4.8063308641303017E-2</v>
      </c>
      <c r="N106" s="90" t="str">
        <f>VLOOKUP(E106,'Rate Design (Consol)'!D:F,3,FALSE)</f>
        <v>&lt; = 1000</v>
      </c>
      <c r="O106" s="237">
        <f t="shared" si="42"/>
        <v>402</v>
      </c>
      <c r="P106" s="171">
        <f t="shared" si="50"/>
        <v>790</v>
      </c>
      <c r="Q106" s="148">
        <f>ROUND(R106/12,0)*12</f>
        <v>9480</v>
      </c>
      <c r="R106" s="148">
        <v>9485.857361296079</v>
      </c>
      <c r="S106" s="151">
        <v>33</v>
      </c>
      <c r="T106" s="25"/>
      <c r="U106" s="148">
        <v>317924.43640170305</v>
      </c>
      <c r="V106" s="238">
        <v>0.39135999999999999</v>
      </c>
      <c r="W106" s="25"/>
      <c r="X106" s="131">
        <f>VLOOKUP(CONCATENATE(C106,B106),'G2-7 Summary'!S:W,2,FALSE)</f>
        <v>0.22965999999999995</v>
      </c>
      <c r="Y106" s="243">
        <f>VLOOKUP(CONCATENATE(C106,B106),'G2-7 Summary'!S:W,3,FALSE)</f>
        <v>4.0899999999999992E-2</v>
      </c>
      <c r="Z106" s="131">
        <f>VLOOKUP(CONCATENATE(C106,B106),'G2-7 Summary'!S:W,4,FALSE)</f>
        <v>1.0503999999999998</v>
      </c>
      <c r="AA106" s="131">
        <f>VLOOKUP(CONCATENATE(C106,B106),'G2-7 Summary'!S:W,5,FALSE)</f>
        <v>0</v>
      </c>
      <c r="AB106" s="25"/>
      <c r="AC106" s="149">
        <f t="shared" si="62"/>
        <v>312840</v>
      </c>
      <c r="AD106" s="149">
        <f t="shared" si="61"/>
        <v>124422.9074301705</v>
      </c>
      <c r="AE106" s="149">
        <f t="shared" si="51"/>
        <v>73014.52606401511</v>
      </c>
      <c r="AF106" s="149"/>
      <c r="AG106" s="149">
        <f t="shared" si="52"/>
        <v>13003.109448829651</v>
      </c>
      <c r="AH106" s="149">
        <f t="shared" si="53"/>
        <v>333947.82799634879</v>
      </c>
      <c r="AI106" s="149">
        <f t="shared" si="54"/>
        <v>0</v>
      </c>
      <c r="AJ106" s="119">
        <f t="shared" si="60"/>
        <v>857228.37093936407</v>
      </c>
      <c r="AK106" s="27">
        <f t="shared" si="55"/>
        <v>-346950.93744517845</v>
      </c>
      <c r="AL106" s="27">
        <f t="shared" si="56"/>
        <v>510277.43349418562</v>
      </c>
      <c r="AM106" s="244"/>
      <c r="AN106" s="27">
        <f>SUMIFS('Rate Design (Consol)'!K:K,'Rate Design (Consol)'!A:A,K106,'Rate Design (Consol)'!D:D,G106)</f>
        <v>40</v>
      </c>
      <c r="AO106" s="23">
        <f>SUMIFS('Rate Design (Consol)'!L:L,'Rate Design (Consol)'!A:A,K106,'Rate Design (Consol)'!D:D,G106)</f>
        <v>0.70123999999999997</v>
      </c>
      <c r="AP106" s="24">
        <f t="shared" si="46"/>
        <v>379200</v>
      </c>
      <c r="AQ106" s="24">
        <f t="shared" si="47"/>
        <v>222941.33178233024</v>
      </c>
      <c r="AR106" s="25">
        <f t="shared" si="48"/>
        <v>602141.33178233029</v>
      </c>
      <c r="AS106" s="149"/>
      <c r="AT106" s="53"/>
      <c r="AU106" s="53"/>
      <c r="AV106" s="272"/>
      <c r="AX106" s="53"/>
      <c r="AY106" s="53"/>
    </row>
    <row r="107" spans="1:51" x14ac:dyDescent="0.25">
      <c r="A107" s="23" t="s">
        <v>164</v>
      </c>
      <c r="B107" s="23" t="s">
        <v>47</v>
      </c>
      <c r="C107" s="23" t="s">
        <v>166</v>
      </c>
      <c r="D107" s="23" t="s">
        <v>88</v>
      </c>
      <c r="E107" s="90" t="str">
        <f>INDEX('Rate Design (Consol)'!$B$48:$B$66,MATCH('G2-8 Summary'!F107,'Rate Design (Consol)'!$C$48:$C$66,0))</f>
        <v>GS-2</v>
      </c>
      <c r="F107" s="23" t="s">
        <v>12</v>
      </c>
      <c r="G107" s="90" t="str">
        <f>INDEX('Rate Design (Consol)'!$D$48:$D$66,MATCH('G2-8 Summary'!H107,'Rate Design (Consol)'!$E$48:$E$66,0))</f>
        <v>GS-2</v>
      </c>
      <c r="H107" s="23" t="str">
        <f t="shared" si="41"/>
        <v>General Service - 2</v>
      </c>
      <c r="I107" s="23" t="str">
        <f t="shared" ref="I107:I162" si="63">CONCATENATE(C107,"_",B107,"_",H107)</f>
        <v>FN_GS-1_General Service - 2</v>
      </c>
      <c r="J107" s="61" t="str">
        <f t="shared" si="49"/>
        <v>FPUC-FPUC - General Service-1-GS-2</v>
      </c>
      <c r="K107" s="62" t="s">
        <v>257</v>
      </c>
      <c r="L107" s="146">
        <v>0.15346534653465346</v>
      </c>
      <c r="M107" s="146">
        <v>0.3005223238703984</v>
      </c>
      <c r="N107" s="90" t="str">
        <f>VLOOKUP(E107,'Rate Design (Consol)'!D:F,3,FALSE)</f>
        <v>&gt; 1000 &lt; = 5,000</v>
      </c>
      <c r="O107" s="237">
        <f t="shared" si="42"/>
        <v>2353</v>
      </c>
      <c r="P107" s="171">
        <f t="shared" si="50"/>
        <v>127</v>
      </c>
      <c r="Q107" s="148">
        <f>ROUND(R107/12,0)*12+12</f>
        <v>1524</v>
      </c>
      <c r="R107" s="148">
        <v>1511.7640796317155</v>
      </c>
      <c r="S107" s="151">
        <v>20</v>
      </c>
      <c r="T107" s="25"/>
      <c r="U107" s="148">
        <v>298862.74213195464</v>
      </c>
      <c r="V107" s="238">
        <v>0.39135999999999999</v>
      </c>
      <c r="W107" s="25"/>
      <c r="X107" s="131">
        <f>VLOOKUP(CONCATENATE(C107,B107),'G2-7 Summary'!S:W,2,FALSE)</f>
        <v>0.22966</v>
      </c>
      <c r="Y107" s="243">
        <f>VLOOKUP(CONCATENATE(C107,B107),'G2-7 Summary'!S:W,3,FALSE)</f>
        <v>5.4979999999999994E-2</v>
      </c>
      <c r="Z107" s="131">
        <f>VLOOKUP(CONCATENATE(C107,B107),'G2-7 Summary'!S:W,4,FALSE)</f>
        <v>1.0504</v>
      </c>
      <c r="AA107" s="131">
        <f>VLOOKUP(CONCATENATE(C107,B107),'G2-7 Summary'!S:W,5,FALSE)</f>
        <v>0</v>
      </c>
      <c r="AB107" s="25"/>
      <c r="AC107" s="149">
        <f t="shared" si="62"/>
        <v>30480</v>
      </c>
      <c r="AD107" s="149">
        <f t="shared" si="61"/>
        <v>116962.92276076176</v>
      </c>
      <c r="AE107" s="149">
        <f t="shared" si="51"/>
        <v>68636.817358024709</v>
      </c>
      <c r="AF107" s="149"/>
      <c r="AG107" s="149">
        <f t="shared" si="52"/>
        <v>16431.473562414863</v>
      </c>
      <c r="AH107" s="149">
        <f t="shared" si="53"/>
        <v>313925.42433540517</v>
      </c>
      <c r="AI107" s="149">
        <f t="shared" si="54"/>
        <v>0</v>
      </c>
      <c r="AJ107" s="119">
        <f t="shared" si="60"/>
        <v>546436.63801660645</v>
      </c>
      <c r="AK107" s="27">
        <f t="shared" si="55"/>
        <v>-330356.89789782005</v>
      </c>
      <c r="AL107" s="27">
        <f t="shared" si="56"/>
        <v>216079.7401187864</v>
      </c>
      <c r="AM107" s="244"/>
      <c r="AN107" s="27">
        <f>SUMIFS('Rate Design (Consol)'!K:K,'Rate Design (Consol)'!A:A,K107,'Rate Design (Consol)'!D:D,G107)</f>
        <v>70</v>
      </c>
      <c r="AO107" s="23">
        <f>SUMIFS('Rate Design (Consol)'!L:L,'Rate Design (Consol)'!A:A,K107,'Rate Design (Consol)'!D:D,G107)</f>
        <v>0.69901999999999997</v>
      </c>
      <c r="AP107" s="24">
        <f t="shared" si="46"/>
        <v>106680</v>
      </c>
      <c r="AQ107" s="24">
        <f t="shared" si="47"/>
        <v>208911.03400507892</v>
      </c>
      <c r="AR107" s="25">
        <f t="shared" si="48"/>
        <v>315591.03400507895</v>
      </c>
      <c r="AS107" s="149"/>
      <c r="AT107" s="53"/>
      <c r="AU107" s="53"/>
      <c r="AV107" s="272"/>
      <c r="AX107" s="53"/>
      <c r="AY107" s="53"/>
    </row>
    <row r="108" spans="1:51" x14ac:dyDescent="0.25">
      <c r="A108" s="23" t="s">
        <v>164</v>
      </c>
      <c r="B108" s="23" t="s">
        <v>47</v>
      </c>
      <c r="C108" s="23" t="s">
        <v>166</v>
      </c>
      <c r="D108" s="23" t="s">
        <v>88</v>
      </c>
      <c r="E108" s="90" t="str">
        <f>INDEX('Rate Design (Consol)'!$B$48:$B$66,MATCH('G2-8 Summary'!F108,'Rate Design (Consol)'!$C$48:$C$66,0))</f>
        <v>GS-3</v>
      </c>
      <c r="F108" s="23" t="s">
        <v>13</v>
      </c>
      <c r="G108" s="90" t="str">
        <f>INDEX('Rate Design (Consol)'!$D$48:$D$66,MATCH('G2-8 Summary'!H108,'Rate Design (Consol)'!$E$48:$E$66,0))</f>
        <v>GS-3</v>
      </c>
      <c r="H108" s="23" t="str">
        <f t="shared" si="41"/>
        <v>General Service - 3</v>
      </c>
      <c r="I108" s="23" t="str">
        <f t="shared" si="63"/>
        <v>FN_GS-1_General Service - 3</v>
      </c>
      <c r="J108" s="61" t="str">
        <f t="shared" si="49"/>
        <v>FPUC-FPUC - General Service-1-GS-3</v>
      </c>
      <c r="K108" s="62" t="s">
        <v>257</v>
      </c>
      <c r="L108" s="146">
        <v>3.3415841584158418E-2</v>
      </c>
      <c r="M108" s="146">
        <v>0.19319489760314953</v>
      </c>
      <c r="N108" s="90" t="str">
        <f>VLOOKUP(E108,'Rate Design (Consol)'!D:F,3,FALSE)</f>
        <v>&gt; 5,000 &lt; = 10,000</v>
      </c>
      <c r="O108" s="237">
        <f t="shared" si="42"/>
        <v>7116</v>
      </c>
      <c r="P108" s="171">
        <f t="shared" si="50"/>
        <v>27</v>
      </c>
      <c r="Q108" s="148">
        <f t="shared" ref="Q108:Q130" si="64">ROUND(R108/12,0)*12</f>
        <v>324</v>
      </c>
      <c r="R108" s="148">
        <v>329.17443669400257</v>
      </c>
      <c r="S108" s="151">
        <v>20</v>
      </c>
      <c r="T108" s="25"/>
      <c r="U108" s="148">
        <v>192128.0127212099</v>
      </c>
      <c r="V108" s="238">
        <v>0.39135999999999999</v>
      </c>
      <c r="W108" s="25"/>
      <c r="X108" s="131">
        <f>VLOOKUP(CONCATENATE(C108,B108),'G2-7 Summary'!S:W,2,FALSE)</f>
        <v>0.22966</v>
      </c>
      <c r="Y108" s="243">
        <f>VLOOKUP(CONCATENATE(C108,B108),'G2-7 Summary'!S:W,3,FALSE)</f>
        <v>5.4979999999999994E-2</v>
      </c>
      <c r="Z108" s="131">
        <f>VLOOKUP(CONCATENATE(C108,B108),'G2-7 Summary'!S:W,4,FALSE)</f>
        <v>1.0504</v>
      </c>
      <c r="AA108" s="131">
        <f>VLOOKUP(CONCATENATE(C108,B108),'G2-7 Summary'!S:W,5,FALSE)</f>
        <v>0</v>
      </c>
      <c r="AB108" s="25"/>
      <c r="AC108" s="149">
        <f t="shared" si="62"/>
        <v>6480</v>
      </c>
      <c r="AD108" s="149">
        <f t="shared" si="61"/>
        <v>75191.219058572708</v>
      </c>
      <c r="AE108" s="149">
        <f t="shared" si="51"/>
        <v>44124.119401553064</v>
      </c>
      <c r="AF108" s="149"/>
      <c r="AG108" s="149">
        <f t="shared" si="52"/>
        <v>10563.198139412119</v>
      </c>
      <c r="AH108" s="149">
        <f t="shared" si="53"/>
        <v>201811.26456235888</v>
      </c>
      <c r="AI108" s="149">
        <f t="shared" si="54"/>
        <v>0</v>
      </c>
      <c r="AJ108" s="119">
        <f t="shared" si="60"/>
        <v>338169.80116189679</v>
      </c>
      <c r="AK108" s="27">
        <f t="shared" si="55"/>
        <v>-212374.462701771</v>
      </c>
      <c r="AL108" s="27">
        <f t="shared" si="56"/>
        <v>125795.33846012579</v>
      </c>
      <c r="AM108" s="244"/>
      <c r="AN108" s="27">
        <f>SUMIFS('Rate Design (Consol)'!K:K,'Rate Design (Consol)'!A:A,K108,'Rate Design (Consol)'!D:D,G108)</f>
        <v>150</v>
      </c>
      <c r="AO108" s="23">
        <f>SUMIFS('Rate Design (Consol)'!L:L,'Rate Design (Consol)'!A:A,K108,'Rate Design (Consol)'!D:D,G108)</f>
        <v>0.62475000000000003</v>
      </c>
      <c r="AP108" s="24">
        <f t="shared" si="46"/>
        <v>48600</v>
      </c>
      <c r="AQ108" s="24">
        <f t="shared" si="47"/>
        <v>120031.97594757589</v>
      </c>
      <c r="AR108" s="25">
        <f t="shared" si="48"/>
        <v>168631.97594757588</v>
      </c>
      <c r="AS108" s="149"/>
      <c r="AT108" s="53"/>
      <c r="AU108" s="53"/>
      <c r="AV108" s="272"/>
      <c r="AX108" s="53"/>
      <c r="AY108" s="53"/>
    </row>
    <row r="109" spans="1:51" x14ac:dyDescent="0.25">
      <c r="A109" s="23" t="s">
        <v>164</v>
      </c>
      <c r="B109" s="23" t="s">
        <v>47</v>
      </c>
      <c r="C109" s="23" t="s">
        <v>166</v>
      </c>
      <c r="D109" s="23" t="s">
        <v>88</v>
      </c>
      <c r="E109" s="90" t="str">
        <f>INDEX('Rate Design (Consol)'!$B$48:$B$66,MATCH('G2-8 Summary'!F109,'Rate Design (Consol)'!$C$48:$C$66,0))</f>
        <v>GS-4</v>
      </c>
      <c r="F109" s="23" t="s">
        <v>14</v>
      </c>
      <c r="G109" s="90" t="str">
        <f>INDEX('Rate Design (Consol)'!$D$48:$D$66,MATCH('G2-8 Summary'!H109,'Rate Design (Consol)'!$E$48:$E$66,0))</f>
        <v>GS-4</v>
      </c>
      <c r="H109" s="23" t="str">
        <f t="shared" si="41"/>
        <v>General Service - 4</v>
      </c>
      <c r="I109" s="23" t="str">
        <f t="shared" si="63"/>
        <v>FN_GS-1_General Service - 4</v>
      </c>
      <c r="J109" s="61" t="str">
        <f t="shared" si="49"/>
        <v>FPUC-FPUC - General Service-1-GS-4</v>
      </c>
      <c r="K109" s="62" t="s">
        <v>257</v>
      </c>
      <c r="L109" s="146">
        <v>1.608910891089109E-2</v>
      </c>
      <c r="M109" s="146">
        <v>0.22762909975913728</v>
      </c>
      <c r="N109" s="90" t="str">
        <f>VLOOKUP(E109,'Rate Design (Consol)'!D:F,3,FALSE)</f>
        <v>&gt; 10,000 &lt; = 50,000</v>
      </c>
      <c r="O109" s="237">
        <f t="shared" si="42"/>
        <v>17413</v>
      </c>
      <c r="P109" s="171">
        <f t="shared" si="50"/>
        <v>13</v>
      </c>
      <c r="Q109" s="148">
        <f t="shared" si="64"/>
        <v>156</v>
      </c>
      <c r="R109" s="148">
        <v>158.49139544526051</v>
      </c>
      <c r="S109" s="151">
        <v>20</v>
      </c>
      <c r="T109" s="25"/>
      <c r="U109" s="148">
        <v>226372.05804511951</v>
      </c>
      <c r="V109" s="238">
        <v>0.39135999999999999</v>
      </c>
      <c r="W109" s="25"/>
      <c r="X109" s="131">
        <f>VLOOKUP(CONCATENATE(C109,B109),'G2-7 Summary'!S:W,2,FALSE)</f>
        <v>0.22966</v>
      </c>
      <c r="Y109" s="243">
        <f>VLOOKUP(CONCATENATE(C109,B109),'G2-7 Summary'!S:W,3,FALSE)</f>
        <v>5.4979999999999994E-2</v>
      </c>
      <c r="Z109" s="131">
        <f>VLOOKUP(CONCATENATE(C109,B109),'G2-7 Summary'!S:W,4,FALSE)</f>
        <v>1.0504</v>
      </c>
      <c r="AA109" s="243">
        <f>VLOOKUP(CONCATENATE(C109,B109),'G2-7 Summary'!S:W,5,FALSE)</f>
        <v>0</v>
      </c>
      <c r="AB109" s="25"/>
      <c r="AC109" s="149">
        <f t="shared" si="62"/>
        <v>3120</v>
      </c>
      <c r="AD109" s="149">
        <f t="shared" si="61"/>
        <v>88592.968636537975</v>
      </c>
      <c r="AE109" s="149">
        <f t="shared" si="51"/>
        <v>51988.606850642151</v>
      </c>
      <c r="AF109" s="149"/>
      <c r="AG109" s="149">
        <f t="shared" si="52"/>
        <v>12445.935751320669</v>
      </c>
      <c r="AH109" s="149">
        <f t="shared" si="53"/>
        <v>237781.20977059353</v>
      </c>
      <c r="AI109" s="149">
        <f t="shared" si="54"/>
        <v>0</v>
      </c>
      <c r="AJ109" s="119">
        <f t="shared" si="60"/>
        <v>393928.72100909433</v>
      </c>
      <c r="AK109" s="27">
        <f t="shared" si="55"/>
        <v>-250227.14552191421</v>
      </c>
      <c r="AL109" s="27">
        <f t="shared" si="56"/>
        <v>143701.57548718012</v>
      </c>
      <c r="AM109" s="244"/>
      <c r="AN109" s="27">
        <f>SUMIFS('Rate Design (Consol)'!K:K,'Rate Design (Consol)'!A:A,K109,'Rate Design (Consol)'!D:D,G109)</f>
        <v>275</v>
      </c>
      <c r="AO109" s="23">
        <f>SUMIFS('Rate Design (Consol)'!L:L,'Rate Design (Consol)'!A:A,K109,'Rate Design (Consol)'!D:D,G109)</f>
        <v>0.59182999999999997</v>
      </c>
      <c r="AP109" s="24">
        <f t="shared" si="46"/>
        <v>42900</v>
      </c>
      <c r="AQ109" s="24">
        <f t="shared" si="47"/>
        <v>133973.77511284308</v>
      </c>
      <c r="AR109" s="25">
        <f t="shared" si="48"/>
        <v>176873.77511284308</v>
      </c>
      <c r="AS109" s="149"/>
      <c r="AT109" s="53"/>
      <c r="AU109" s="53"/>
      <c r="AV109" s="272"/>
      <c r="AW109" s="199"/>
      <c r="AX109" s="53"/>
      <c r="AY109" s="53"/>
    </row>
    <row r="110" spans="1:51" x14ac:dyDescent="0.25">
      <c r="A110" s="23" t="s">
        <v>164</v>
      </c>
      <c r="B110" s="23" t="s">
        <v>47</v>
      </c>
      <c r="C110" s="23" t="s">
        <v>166</v>
      </c>
      <c r="D110" s="23" t="s">
        <v>88</v>
      </c>
      <c r="E110" s="90" t="str">
        <f>INDEX('Rate Design (Consol)'!$B$48:$B$66,MATCH('G2-8 Summary'!F110,'Rate Design (Consol)'!$C$48:$C$66,0))</f>
        <v>GS-5</v>
      </c>
      <c r="F110" s="23" t="s">
        <v>15</v>
      </c>
      <c r="G110" s="90" t="str">
        <f>INDEX('Rate Design (Consol)'!$D$48:$D$66,MATCH('G2-8 Summary'!H110,'Rate Design (Consol)'!$E$48:$E$66,0))</f>
        <v>GS-5</v>
      </c>
      <c r="H110" s="23" t="str">
        <f t="shared" si="41"/>
        <v>General Service - 5</v>
      </c>
      <c r="I110" s="23" t="str">
        <f t="shared" si="63"/>
        <v>FN_GS-1_General Service - 5</v>
      </c>
      <c r="J110" s="61" t="str">
        <f t="shared" si="49"/>
        <v>FPUC-FPUC - General Service-1-GS-5</v>
      </c>
      <c r="K110" s="62" t="s">
        <v>257</v>
      </c>
      <c r="L110" s="146">
        <v>1.2376237623762376E-3</v>
      </c>
      <c r="M110" s="146">
        <v>0.12950279688619498</v>
      </c>
      <c r="N110" s="90" t="str">
        <f>VLOOKUP(E110,'Rate Design (Consol)'!D:F,3,FALSE)</f>
        <v>&gt; 50,000 &lt; = 250,000</v>
      </c>
      <c r="O110" s="237">
        <f t="shared" si="42"/>
        <v>128788</v>
      </c>
      <c r="P110" s="171">
        <f t="shared" si="50"/>
        <v>1</v>
      </c>
      <c r="Q110" s="148">
        <f t="shared" si="64"/>
        <v>12</v>
      </c>
      <c r="R110" s="148">
        <v>12.191645803481578</v>
      </c>
      <c r="S110" s="151">
        <v>20</v>
      </c>
      <c r="T110" s="25"/>
      <c r="U110" s="148">
        <v>128787.64044117028</v>
      </c>
      <c r="V110" s="238">
        <v>0.39135999999999999</v>
      </c>
      <c r="W110" s="25"/>
      <c r="X110" s="131">
        <f>VLOOKUP(CONCATENATE(C110,B110),'G2-7 Summary'!S:W,2,FALSE)</f>
        <v>0.22966</v>
      </c>
      <c r="Y110" s="243">
        <f>VLOOKUP(CONCATENATE(C110,B110),'G2-7 Summary'!S:W,3,FALSE)</f>
        <v>5.4979999999999994E-2</v>
      </c>
      <c r="Z110" s="131">
        <f>VLOOKUP(CONCATENATE(C110,B110),'G2-7 Summary'!S:W,4,FALSE)</f>
        <v>1.0504</v>
      </c>
      <c r="AA110" s="243">
        <f>VLOOKUP(CONCATENATE(C110,B110),'G2-7 Summary'!S:W,5,FALSE)</f>
        <v>0</v>
      </c>
      <c r="AB110" s="25"/>
      <c r="AC110" s="149">
        <f t="shared" si="62"/>
        <v>240</v>
      </c>
      <c r="AD110" s="149">
        <f t="shared" si="61"/>
        <v>50402.330963056396</v>
      </c>
      <c r="AE110" s="149">
        <f t="shared" si="51"/>
        <v>29577.369503719168</v>
      </c>
      <c r="AF110" s="149"/>
      <c r="AG110" s="149">
        <f t="shared" si="52"/>
        <v>7080.7444714555413</v>
      </c>
      <c r="AH110" s="149">
        <f t="shared" si="53"/>
        <v>135278.53751940528</v>
      </c>
      <c r="AI110" s="149">
        <f t="shared" si="54"/>
        <v>0</v>
      </c>
      <c r="AJ110" s="119">
        <f t="shared" si="60"/>
        <v>222578.98245763639</v>
      </c>
      <c r="AK110" s="27">
        <f t="shared" si="55"/>
        <v>-142359.28199086082</v>
      </c>
      <c r="AL110" s="27">
        <f t="shared" si="56"/>
        <v>80219.700466775568</v>
      </c>
      <c r="AM110" s="244"/>
      <c r="AN110" s="27">
        <f>SUMIFS('Rate Design (Consol)'!K:K,'Rate Design (Consol)'!A:A,K110,'Rate Design (Consol)'!D:D,G110)</f>
        <v>750</v>
      </c>
      <c r="AO110" s="23">
        <f>SUMIFS('Rate Design (Consol)'!L:L,'Rate Design (Consol)'!A:A,K110,'Rate Design (Consol)'!D:D,G110)</f>
        <v>0.52</v>
      </c>
      <c r="AP110" s="24">
        <f t="shared" si="46"/>
        <v>9000</v>
      </c>
      <c r="AQ110" s="24">
        <f t="shared" si="47"/>
        <v>66969.573029408552</v>
      </c>
      <c r="AR110" s="25">
        <f t="shared" si="48"/>
        <v>75969.573029408552</v>
      </c>
      <c r="AS110" s="149"/>
      <c r="AT110" s="53"/>
      <c r="AU110" s="53"/>
      <c r="AV110" s="272"/>
      <c r="AW110" s="199"/>
      <c r="AX110" s="53"/>
      <c r="AY110" s="53"/>
    </row>
    <row r="111" spans="1:51" x14ac:dyDescent="0.25">
      <c r="A111" s="23" t="s">
        <v>164</v>
      </c>
      <c r="B111" s="23" t="s">
        <v>47</v>
      </c>
      <c r="C111" s="23" t="s">
        <v>166</v>
      </c>
      <c r="D111" s="23" t="s">
        <v>88</v>
      </c>
      <c r="E111" s="90" t="str">
        <f>INDEX('Rate Design (Consol)'!$B$48:$B$66,MATCH('G2-8 Summary'!F111,'Rate Design (Consol)'!$C$48:$C$66,0))</f>
        <v>GS-1</v>
      </c>
      <c r="F111" s="23" t="s">
        <v>11</v>
      </c>
      <c r="G111" s="90" t="str">
        <f>INDEX('Rate Design (Consol)'!$D$48:$D$66,MATCH('G2-8 Summary'!H111,'Rate Design (Consol)'!$E$48:$E$66,0))</f>
        <v>GS-1</v>
      </c>
      <c r="H111" s="23" t="str">
        <f t="shared" si="41"/>
        <v>General Service - 1</v>
      </c>
      <c r="I111" s="23" t="str">
        <f t="shared" si="63"/>
        <v>FN_GS-1_General Service - 1</v>
      </c>
      <c r="J111" s="61" t="str">
        <f t="shared" si="49"/>
        <v>FPUC-FPUC - General Service-1-GS-1</v>
      </c>
      <c r="K111" s="62" t="s">
        <v>257</v>
      </c>
      <c r="L111" s="146">
        <v>0.79579207920792083</v>
      </c>
      <c r="M111" s="146">
        <v>0.14915088188111975</v>
      </c>
      <c r="N111" s="90" t="str">
        <f>VLOOKUP(E111,'Rate Design (Consol)'!D:F,3,FALSE)</f>
        <v>&lt; = 1000</v>
      </c>
      <c r="O111" s="237">
        <f t="shared" si="42"/>
        <v>227</v>
      </c>
      <c r="P111" s="171">
        <f t="shared" si="50"/>
        <v>653</v>
      </c>
      <c r="Q111" s="148">
        <f t="shared" si="64"/>
        <v>7836</v>
      </c>
      <c r="R111" s="148">
        <v>7839.228251638654</v>
      </c>
      <c r="S111" s="151">
        <v>20</v>
      </c>
      <c r="T111" s="25"/>
      <c r="U111" s="148">
        <v>148327.22233844487</v>
      </c>
      <c r="V111" s="238">
        <v>0.39135999999999999</v>
      </c>
      <c r="W111" s="25"/>
      <c r="X111" s="131">
        <f>VLOOKUP(CONCATENATE(C111,B111),'G2-7 Summary'!S:W,2,FALSE)</f>
        <v>0.22966</v>
      </c>
      <c r="Y111" s="243">
        <f>VLOOKUP(CONCATENATE(C111,B111),'G2-7 Summary'!S:W,3,FALSE)</f>
        <v>5.4979999999999994E-2</v>
      </c>
      <c r="Z111" s="131">
        <f>VLOOKUP(CONCATENATE(C111,B111),'G2-7 Summary'!S:W,4,FALSE)</f>
        <v>1.0504</v>
      </c>
      <c r="AA111" s="243">
        <f>VLOOKUP(CONCATENATE(C111,B111),'G2-7 Summary'!S:W,5,FALSE)</f>
        <v>0</v>
      </c>
      <c r="AB111" s="25"/>
      <c r="AC111" s="149">
        <f t="shared" si="62"/>
        <v>156720</v>
      </c>
      <c r="AD111" s="149">
        <f t="shared" si="61"/>
        <v>58049.341734373782</v>
      </c>
      <c r="AE111" s="149">
        <f t="shared" si="51"/>
        <v>34064.82988224725</v>
      </c>
      <c r="AF111" s="149"/>
      <c r="AG111" s="149">
        <f t="shared" si="52"/>
        <v>8155.0306841676984</v>
      </c>
      <c r="AH111" s="149">
        <f t="shared" si="53"/>
        <v>155802.9143443025</v>
      </c>
      <c r="AI111" s="149">
        <f t="shared" si="54"/>
        <v>0</v>
      </c>
      <c r="AJ111" s="119">
        <f t="shared" si="60"/>
        <v>412792.11664509121</v>
      </c>
      <c r="AK111" s="27">
        <f t="shared" si="55"/>
        <v>-163957.94502847019</v>
      </c>
      <c r="AL111" s="27">
        <f t="shared" si="56"/>
        <v>248834.17161662102</v>
      </c>
      <c r="AM111" s="244"/>
      <c r="AN111" s="27">
        <f>SUMIFS('Rate Design (Consol)'!K:K,'Rate Design (Consol)'!A:A,K111,'Rate Design (Consol)'!D:D,G111)</f>
        <v>40</v>
      </c>
      <c r="AO111" s="23">
        <f>SUMIFS('Rate Design (Consol)'!L:L,'Rate Design (Consol)'!A:A,K111,'Rate Design (Consol)'!D:D,G111)</f>
        <v>0.70123999999999997</v>
      </c>
      <c r="AP111" s="24">
        <f t="shared" si="46"/>
        <v>313440</v>
      </c>
      <c r="AQ111" s="24">
        <f t="shared" si="47"/>
        <v>104012.98139261108</v>
      </c>
      <c r="AR111" s="25">
        <f t="shared" si="48"/>
        <v>417452.98139261105</v>
      </c>
      <c r="AS111" s="149"/>
      <c r="AT111" s="53"/>
      <c r="AU111" s="53"/>
      <c r="AV111" s="272"/>
      <c r="AW111" s="199"/>
      <c r="AX111" s="53"/>
      <c r="AY111" s="53"/>
    </row>
    <row r="112" spans="1:51" x14ac:dyDescent="0.25">
      <c r="A112" s="23" t="s">
        <v>164</v>
      </c>
      <c r="B112" s="23" t="s">
        <v>160</v>
      </c>
      <c r="C112" s="23" t="s">
        <v>166</v>
      </c>
      <c r="D112" s="23" t="s">
        <v>93</v>
      </c>
      <c r="E112" s="90" t="str">
        <f>INDEX('Rate Design (Consol)'!$B$48:$B$66,MATCH('G2-8 Summary'!F112,'Rate Design (Consol)'!$C$48:$C$66,0))</f>
        <v>GS-2</v>
      </c>
      <c r="F112" s="23" t="s">
        <v>12</v>
      </c>
      <c r="G112" s="90" t="str">
        <f>INDEX('Rate Design (Consol)'!$D$48:$D$66,MATCH('G2-8 Summary'!H112,'Rate Design (Consol)'!$E$48:$E$66,0))</f>
        <v>GS-2</v>
      </c>
      <c r="H112" s="23" t="str">
        <f t="shared" si="41"/>
        <v>General Service - 2</v>
      </c>
      <c r="I112" s="23" t="str">
        <f t="shared" si="63"/>
        <v>FN_GSTS1_General Service - 2</v>
      </c>
      <c r="J112" s="61" t="str">
        <f t="shared" si="49"/>
        <v>FPUC-FPUC - General Transportation Service -1-GS-2</v>
      </c>
      <c r="K112" s="62" t="s">
        <v>257</v>
      </c>
      <c r="L112" s="146">
        <v>0.39759036144578314</v>
      </c>
      <c r="M112" s="146">
        <v>0.29767138653865138</v>
      </c>
      <c r="N112" s="90" t="str">
        <f>VLOOKUP(E112,'Rate Design (Consol)'!D:F,3,FALSE)</f>
        <v>&gt; 1000 &lt; = 5,000</v>
      </c>
      <c r="O112" s="237">
        <f t="shared" si="42"/>
        <v>2619</v>
      </c>
      <c r="P112" s="171">
        <f t="shared" si="50"/>
        <v>81</v>
      </c>
      <c r="Q112" s="148">
        <f t="shared" si="64"/>
        <v>972</v>
      </c>
      <c r="R112" s="148">
        <v>973.20635471049115</v>
      </c>
      <c r="S112" s="151">
        <v>20</v>
      </c>
      <c r="T112" s="25"/>
      <c r="U112" s="148">
        <v>212157.34560759278</v>
      </c>
      <c r="V112" s="238">
        <v>0.39135999999999999</v>
      </c>
      <c r="W112" s="25"/>
      <c r="X112" s="131">
        <f>VLOOKUP(CONCATENATE(C112,B112),'G2-7 Summary'!S:W,2,FALSE)</f>
        <v>0.22965999999999998</v>
      </c>
      <c r="Y112" s="243">
        <f>VLOOKUP(CONCATENATE(C112,B112),'G2-7 Summary'!S:W,3,FALSE)</f>
        <v>5.4980000000000015E-2</v>
      </c>
      <c r="Z112" s="131">
        <f>VLOOKUP(CONCATENATE(C112,B112),'G2-7 Summary'!S:W,4,FALSE)</f>
        <v>0</v>
      </c>
      <c r="AA112" s="243">
        <f>VLOOKUP(CONCATENATE(C112,B112),'G2-7 Summary'!S:W,5,FALSE)</f>
        <v>0.17310000000000003</v>
      </c>
      <c r="AB112" s="25"/>
      <c r="AC112" s="149">
        <f t="shared" si="62"/>
        <v>19440</v>
      </c>
      <c r="AD112" s="149">
        <f t="shared" si="61"/>
        <v>83029.898776987509</v>
      </c>
      <c r="AE112" s="149">
        <f t="shared" si="51"/>
        <v>48724.055992239752</v>
      </c>
      <c r="AF112" s="149"/>
      <c r="AG112" s="149">
        <f t="shared" si="52"/>
        <v>11664.410861505454</v>
      </c>
      <c r="AH112" s="149">
        <f t="shared" si="53"/>
        <v>0</v>
      </c>
      <c r="AI112" s="149">
        <f t="shared" si="54"/>
        <v>36724.436524674318</v>
      </c>
      <c r="AJ112" s="119">
        <f t="shared" si="60"/>
        <v>199582.80215540703</v>
      </c>
      <c r="AK112" s="27">
        <f t="shared" si="55"/>
        <v>-48388.847386179768</v>
      </c>
      <c r="AL112" s="27">
        <f t="shared" si="56"/>
        <v>151193.95476922725</v>
      </c>
      <c r="AM112" s="244"/>
      <c r="AN112" s="27">
        <f>SUMIFS('Rate Design (Consol)'!K:K,'Rate Design (Consol)'!A:A,K112,'Rate Design (Consol)'!D:D,G112)</f>
        <v>70</v>
      </c>
      <c r="AO112" s="23">
        <f>SUMIFS('Rate Design (Consol)'!L:L,'Rate Design (Consol)'!A:A,K112,'Rate Design (Consol)'!D:D,G112)</f>
        <v>0.69901999999999997</v>
      </c>
      <c r="AP112" s="24">
        <f t="shared" si="46"/>
        <v>68040</v>
      </c>
      <c r="AQ112" s="24">
        <f t="shared" si="47"/>
        <v>148302.22772661949</v>
      </c>
      <c r="AR112" s="25">
        <f t="shared" si="48"/>
        <v>216342.22772661949</v>
      </c>
      <c r="AS112" s="149"/>
      <c r="AT112" s="53"/>
      <c r="AU112" s="53"/>
      <c r="AV112" s="272"/>
      <c r="AW112" s="199"/>
      <c r="AX112" s="53"/>
      <c r="AY112" s="53"/>
    </row>
    <row r="113" spans="1:51" x14ac:dyDescent="0.25">
      <c r="A113" s="23" t="s">
        <v>164</v>
      </c>
      <c r="B113" s="23" t="s">
        <v>160</v>
      </c>
      <c r="C113" s="23" t="s">
        <v>166</v>
      </c>
      <c r="D113" s="23" t="s">
        <v>93</v>
      </c>
      <c r="E113" s="90" t="str">
        <f>INDEX('Rate Design (Consol)'!$B$48:$B$66,MATCH('G2-8 Summary'!F113,'Rate Design (Consol)'!$C$48:$C$66,0))</f>
        <v>GS-3</v>
      </c>
      <c r="F113" s="23" t="s">
        <v>13</v>
      </c>
      <c r="G113" s="90" t="str">
        <f>INDEX('Rate Design (Consol)'!$D$48:$D$66,MATCH('G2-8 Summary'!H113,'Rate Design (Consol)'!$E$48:$E$66,0))</f>
        <v>GS-3</v>
      </c>
      <c r="H113" s="23" t="str">
        <f t="shared" si="41"/>
        <v>General Service - 3</v>
      </c>
      <c r="I113" s="23" t="str">
        <f t="shared" si="63"/>
        <v>FN_GSTS1_General Service - 3</v>
      </c>
      <c r="J113" s="61" t="str">
        <f t="shared" si="49"/>
        <v>FPUC-FPUC - General Transportation Service -1-GS-3</v>
      </c>
      <c r="K113" s="62" t="s">
        <v>257</v>
      </c>
      <c r="L113" s="146">
        <v>0.21686746987951808</v>
      </c>
      <c r="M113" s="146">
        <v>0.37618226540085808</v>
      </c>
      <c r="N113" s="90" t="str">
        <f>VLOOKUP(E113,'Rate Design (Consol)'!D:F,3,FALSE)</f>
        <v>&gt; 5,000 &lt; = 10,000</v>
      </c>
      <c r="O113" s="237">
        <f t="shared" si="42"/>
        <v>6093</v>
      </c>
      <c r="P113" s="171">
        <f t="shared" si="50"/>
        <v>44</v>
      </c>
      <c r="Q113" s="148">
        <f t="shared" si="64"/>
        <v>528</v>
      </c>
      <c r="R113" s="148">
        <v>530.83982984208615</v>
      </c>
      <c r="S113" s="151">
        <v>20</v>
      </c>
      <c r="T113" s="25"/>
      <c r="U113" s="148">
        <v>268113.88162003964</v>
      </c>
      <c r="V113" s="238">
        <v>0.39135999999999999</v>
      </c>
      <c r="W113" s="25"/>
      <c r="X113" s="131">
        <f>VLOOKUP(CONCATENATE(C113,B113),'G2-7 Summary'!S:W,2,FALSE)</f>
        <v>0.22965999999999998</v>
      </c>
      <c r="Y113" s="243">
        <f>VLOOKUP(CONCATENATE(C113,B113),'G2-7 Summary'!S:W,3,FALSE)</f>
        <v>5.4980000000000015E-2</v>
      </c>
      <c r="Z113" s="131">
        <f>VLOOKUP(CONCATENATE(C113,B113),'G2-7 Summary'!S:W,4,FALSE)</f>
        <v>0</v>
      </c>
      <c r="AA113" s="243">
        <f>VLOOKUP(CONCATENATE(C113,B113),'G2-7 Summary'!S:W,5,FALSE)</f>
        <v>0.17310000000000003</v>
      </c>
      <c r="AB113" s="25"/>
      <c r="AC113" s="149">
        <f t="shared" si="62"/>
        <v>10560</v>
      </c>
      <c r="AD113" s="26">
        <f t="shared" si="61"/>
        <v>104929.04871081871</v>
      </c>
      <c r="AE113" s="26">
        <f t="shared" si="51"/>
        <v>61575.034052858296</v>
      </c>
      <c r="AF113" s="26"/>
      <c r="AG113" s="26">
        <f t="shared" si="52"/>
        <v>14740.901211469783</v>
      </c>
      <c r="AH113" s="26">
        <f t="shared" si="53"/>
        <v>0</v>
      </c>
      <c r="AI113" s="26">
        <f t="shared" si="54"/>
        <v>46410.512908428871</v>
      </c>
      <c r="AJ113" s="29">
        <f t="shared" si="60"/>
        <v>238215.49688357566</v>
      </c>
      <c r="AK113" s="27">
        <f t="shared" si="55"/>
        <v>-61151.414119898654</v>
      </c>
      <c r="AL113" s="27">
        <f t="shared" si="56"/>
        <v>177064.082763677</v>
      </c>
      <c r="AM113" s="244"/>
      <c r="AN113" s="27">
        <f>SUMIFS('Rate Design (Consol)'!K:K,'Rate Design (Consol)'!A:A,K113,'Rate Design (Consol)'!D:D,G113)</f>
        <v>150</v>
      </c>
      <c r="AO113" s="23">
        <f>SUMIFS('Rate Design (Consol)'!L:L,'Rate Design (Consol)'!A:A,K113,'Rate Design (Consol)'!D:D,G113)</f>
        <v>0.62475000000000003</v>
      </c>
      <c r="AP113" s="24">
        <f t="shared" si="46"/>
        <v>79200</v>
      </c>
      <c r="AQ113" s="24">
        <f t="shared" si="47"/>
        <v>167504.14754211978</v>
      </c>
      <c r="AR113" s="25">
        <f t="shared" si="48"/>
        <v>246704.14754211978</v>
      </c>
      <c r="AT113" s="53"/>
      <c r="AU113" s="53"/>
      <c r="AV113" s="271"/>
      <c r="AW113" s="199"/>
      <c r="AX113" s="53"/>
      <c r="AY113" s="53"/>
    </row>
    <row r="114" spans="1:51" x14ac:dyDescent="0.25">
      <c r="A114" s="23" t="s">
        <v>164</v>
      </c>
      <c r="B114" s="23" t="s">
        <v>160</v>
      </c>
      <c r="C114" s="23" t="s">
        <v>166</v>
      </c>
      <c r="D114" s="23" t="s">
        <v>93</v>
      </c>
      <c r="E114" s="90" t="str">
        <f>INDEX('Rate Design (Consol)'!$B$48:$B$66,MATCH('G2-8 Summary'!F114,'Rate Design (Consol)'!$C$48:$C$66,0))</f>
        <v>GS-4</v>
      </c>
      <c r="F114" s="23" t="s">
        <v>14</v>
      </c>
      <c r="G114" s="90" t="str">
        <f>INDEX('Rate Design (Consol)'!$D$48:$D$66,MATCH('G2-8 Summary'!H114,'Rate Design (Consol)'!$E$48:$E$66,0))</f>
        <v>GS-4</v>
      </c>
      <c r="H114" s="23" t="str">
        <f t="shared" si="41"/>
        <v>General Service - 4</v>
      </c>
      <c r="I114" s="23" t="str">
        <f t="shared" si="63"/>
        <v>FN_GSTS1_General Service - 4</v>
      </c>
      <c r="J114" s="61" t="str">
        <f t="shared" si="49"/>
        <v>FPUC-FPUC - General Transportation Service -1-GS-4</v>
      </c>
      <c r="K114" s="62" t="s">
        <v>257</v>
      </c>
      <c r="L114" s="146">
        <v>7.2289156626506021E-2</v>
      </c>
      <c r="M114" s="146">
        <v>0.30431163439853282</v>
      </c>
      <c r="N114" s="90" t="str">
        <f>VLOOKUP(E114,'Rate Design (Consol)'!D:F,3,FALSE)</f>
        <v>&gt; 10,000 &lt; = 50,000</v>
      </c>
      <c r="O114" s="237">
        <f t="shared" si="42"/>
        <v>14459</v>
      </c>
      <c r="P114" s="171">
        <f t="shared" si="50"/>
        <v>15</v>
      </c>
      <c r="Q114" s="148">
        <f t="shared" si="64"/>
        <v>180</v>
      </c>
      <c r="R114" s="148">
        <v>176.94660994736202</v>
      </c>
      <c r="S114" s="151">
        <v>20</v>
      </c>
      <c r="T114" s="25"/>
      <c r="U114" s="148">
        <v>216890.00525792173</v>
      </c>
      <c r="V114" s="238">
        <v>0.39135999999999999</v>
      </c>
      <c r="W114" s="25"/>
      <c r="X114" s="131">
        <f>VLOOKUP(CONCATENATE(C114,B114),'G2-7 Summary'!S:W,2,FALSE)</f>
        <v>0.22965999999999998</v>
      </c>
      <c r="Y114" s="243">
        <f>VLOOKUP(CONCATENATE(C114,B114),'G2-7 Summary'!S:W,3,FALSE)</f>
        <v>5.4980000000000015E-2</v>
      </c>
      <c r="Z114" s="131">
        <f>VLOOKUP(CONCATENATE(C114,B114),'G2-7 Summary'!S:W,4,FALSE)</f>
        <v>0</v>
      </c>
      <c r="AA114" s="243">
        <f>VLOOKUP(CONCATENATE(C114,B114),'G2-7 Summary'!S:W,5,FALSE)</f>
        <v>0.17310000000000003</v>
      </c>
      <c r="AB114" s="25"/>
      <c r="AC114" s="149">
        <f t="shared" si="62"/>
        <v>3600</v>
      </c>
      <c r="AD114" s="149">
        <f t="shared" si="61"/>
        <v>84882.072457740243</v>
      </c>
      <c r="AE114" s="149">
        <f t="shared" si="51"/>
        <v>49810.958607534296</v>
      </c>
      <c r="AF114" s="149"/>
      <c r="AG114" s="149">
        <f t="shared" si="52"/>
        <v>11924.61248908054</v>
      </c>
      <c r="AH114" s="149">
        <f t="shared" si="53"/>
        <v>0</v>
      </c>
      <c r="AI114" s="149">
        <f t="shared" si="54"/>
        <v>37543.659910146256</v>
      </c>
      <c r="AJ114" s="119">
        <f t="shared" si="60"/>
        <v>187761.30346450137</v>
      </c>
      <c r="AK114" s="27">
        <f t="shared" si="55"/>
        <v>-49468.2723992268</v>
      </c>
      <c r="AL114" s="27">
        <f t="shared" si="56"/>
        <v>138293.03106527455</v>
      </c>
      <c r="AM114" s="244"/>
      <c r="AN114" s="27">
        <f>SUMIFS('Rate Design (Consol)'!K:K,'Rate Design (Consol)'!A:A,K114,'Rate Design (Consol)'!D:D,G114)</f>
        <v>275</v>
      </c>
      <c r="AO114" s="23">
        <f>SUMIFS('Rate Design (Consol)'!L:L,'Rate Design (Consol)'!A:A,K114,'Rate Design (Consol)'!D:D,G114)</f>
        <v>0.59182999999999997</v>
      </c>
      <c r="AP114" s="24">
        <f t="shared" si="46"/>
        <v>49500</v>
      </c>
      <c r="AQ114" s="24">
        <f t="shared" si="47"/>
        <v>128362.0118117958</v>
      </c>
      <c r="AR114" s="25">
        <f t="shared" si="48"/>
        <v>177862.01181179582</v>
      </c>
      <c r="AS114" s="149"/>
      <c r="AT114" s="53"/>
      <c r="AU114" s="53"/>
      <c r="AV114" s="272"/>
      <c r="AW114" s="199"/>
      <c r="AX114" s="53"/>
      <c r="AY114" s="53"/>
    </row>
    <row r="115" spans="1:51" x14ac:dyDescent="0.25">
      <c r="A115" s="23" t="s">
        <v>164</v>
      </c>
      <c r="B115" s="23" t="s">
        <v>160</v>
      </c>
      <c r="C115" s="23" t="s">
        <v>166</v>
      </c>
      <c r="D115" s="23" t="s">
        <v>93</v>
      </c>
      <c r="E115" s="90" t="str">
        <f>INDEX('Rate Design (Consol)'!$B$48:$B$66,MATCH('G2-8 Summary'!F115,'Rate Design (Consol)'!$C$48:$C$66,0))</f>
        <v>GS-1</v>
      </c>
      <c r="F115" s="23" t="s">
        <v>11</v>
      </c>
      <c r="G115" s="90" t="str">
        <f>INDEX('Rate Design (Consol)'!$D$48:$D$66,MATCH('G2-8 Summary'!H115,'Rate Design (Consol)'!$E$48:$E$66,0))</f>
        <v>GS-1</v>
      </c>
      <c r="H115" s="23" t="str">
        <f t="shared" si="41"/>
        <v>General Service - 1</v>
      </c>
      <c r="I115" s="23" t="str">
        <f t="shared" si="63"/>
        <v>FN_GSTS1_General Service - 1</v>
      </c>
      <c r="J115" s="61" t="str">
        <f t="shared" si="49"/>
        <v>FPUC-FPUC - General Transportation Service -1-GS-1</v>
      </c>
      <c r="K115" s="62" t="s">
        <v>257</v>
      </c>
      <c r="L115" s="146">
        <v>0.31325301204819278</v>
      </c>
      <c r="M115" s="146">
        <v>2.1834713661957689E-2</v>
      </c>
      <c r="N115" s="90" t="str">
        <f>VLOOKUP(E115,'Rate Design (Consol)'!D:F,3,FALSE)</f>
        <v>&lt; = 1000</v>
      </c>
      <c r="O115" s="237">
        <f t="shared" si="42"/>
        <v>243</v>
      </c>
      <c r="P115" s="171">
        <f t="shared" si="50"/>
        <v>64</v>
      </c>
      <c r="Q115" s="148">
        <f t="shared" si="64"/>
        <v>768</v>
      </c>
      <c r="R115" s="148">
        <v>766.76864310523547</v>
      </c>
      <c r="S115" s="151">
        <v>20</v>
      </c>
      <c r="T115" s="25"/>
      <c r="U115" s="148">
        <v>15562.110105672815</v>
      </c>
      <c r="V115" s="238">
        <v>0.39135999999999999</v>
      </c>
      <c r="W115" s="25"/>
      <c r="X115" s="131">
        <f>VLOOKUP(CONCATENATE(C115,B115),'G2-7 Summary'!S:W,2,FALSE)</f>
        <v>0.22965999999999998</v>
      </c>
      <c r="Y115" s="243">
        <f>VLOOKUP(CONCATENATE(C115,B115),'G2-7 Summary'!S:W,3,FALSE)</f>
        <v>5.4980000000000015E-2</v>
      </c>
      <c r="Z115" s="131">
        <f>VLOOKUP(CONCATENATE(C115,B115),'G2-7 Summary'!S:W,4,FALSE)</f>
        <v>0</v>
      </c>
      <c r="AA115" s="243">
        <f>VLOOKUP(CONCATENATE(C115,B115),'G2-7 Summary'!S:W,5,FALSE)</f>
        <v>0.17310000000000003</v>
      </c>
      <c r="AB115" s="25"/>
      <c r="AC115" s="149">
        <f t="shared" si="62"/>
        <v>15360</v>
      </c>
      <c r="AD115" s="149">
        <f t="shared" si="61"/>
        <v>6090.3874109561129</v>
      </c>
      <c r="AE115" s="149">
        <f t="shared" si="51"/>
        <v>3573.9942068688183</v>
      </c>
      <c r="AF115" s="149"/>
      <c r="AG115" s="149">
        <f t="shared" si="52"/>
        <v>855.60481360989161</v>
      </c>
      <c r="AH115" s="149">
        <f t="shared" si="53"/>
        <v>0</v>
      </c>
      <c r="AI115" s="149">
        <f t="shared" si="54"/>
        <v>2693.8012592919649</v>
      </c>
      <c r="AJ115" s="119">
        <f t="shared" si="60"/>
        <v>28573.787690726789</v>
      </c>
      <c r="AK115" s="27">
        <f t="shared" si="55"/>
        <v>-3549.4060729018565</v>
      </c>
      <c r="AL115" s="27">
        <f t="shared" si="56"/>
        <v>25024.381617824933</v>
      </c>
      <c r="AM115" s="244"/>
      <c r="AN115" s="27">
        <f>SUMIFS('Rate Design (Consol)'!K:K,'Rate Design (Consol)'!A:A,K115,'Rate Design (Consol)'!D:D,G115)</f>
        <v>40</v>
      </c>
      <c r="AO115" s="23">
        <f>SUMIFS('Rate Design (Consol)'!L:L,'Rate Design (Consol)'!A:A,K115,'Rate Design (Consol)'!D:D,G115)</f>
        <v>0.70123999999999997</v>
      </c>
      <c r="AP115" s="24">
        <f t="shared" si="46"/>
        <v>30720</v>
      </c>
      <c r="AQ115" s="24">
        <f t="shared" si="47"/>
        <v>10912.774090502004</v>
      </c>
      <c r="AR115" s="25">
        <f t="shared" si="48"/>
        <v>41632.774090502004</v>
      </c>
      <c r="AS115" s="149"/>
      <c r="AT115" s="53"/>
      <c r="AU115" s="53"/>
      <c r="AV115" s="272"/>
      <c r="AW115" s="199"/>
      <c r="AX115" s="53"/>
      <c r="AY115" s="53"/>
    </row>
    <row r="116" spans="1:51" x14ac:dyDescent="0.25">
      <c r="A116" s="23" t="s">
        <v>164</v>
      </c>
      <c r="B116" s="23" t="s">
        <v>168</v>
      </c>
      <c r="C116" s="23" t="s">
        <v>166</v>
      </c>
      <c r="D116" s="23" t="s">
        <v>94</v>
      </c>
      <c r="E116" s="90" t="str">
        <f>INDEX('Rate Design (Consol)'!$B$48:$B$66,MATCH('G2-8 Summary'!F116,'Rate Design (Consol)'!$C$48:$C$66,0))</f>
        <v>GS-2</v>
      </c>
      <c r="F116" s="23" t="s">
        <v>12</v>
      </c>
      <c r="G116" s="90" t="str">
        <f>INDEX('Rate Design (Consol)'!$D$48:$D$66,MATCH('G2-8 Summary'!H116,'Rate Design (Consol)'!$E$48:$E$66,0))</f>
        <v>GS-2</v>
      </c>
      <c r="H116" s="23" t="str">
        <f t="shared" si="41"/>
        <v>General Service - 2</v>
      </c>
      <c r="I116" s="23" t="str">
        <f t="shared" si="63"/>
        <v>FN_GSTS2_General Service - 2</v>
      </c>
      <c r="J116" s="61" t="str">
        <f t="shared" si="49"/>
        <v>FPUC-FPUC - General Transportation Service-2-GS-2</v>
      </c>
      <c r="K116" s="62" t="s">
        <v>257</v>
      </c>
      <c r="L116" s="146">
        <v>0.49165120593692024</v>
      </c>
      <c r="M116" s="146">
        <v>0.28159682811461562</v>
      </c>
      <c r="N116" s="90" t="str">
        <f>VLOOKUP(E116,'Rate Design (Consol)'!D:F,3,FALSE)</f>
        <v>&gt; 1000 &lt; = 5,000</v>
      </c>
      <c r="O116" s="237">
        <f t="shared" si="42"/>
        <v>3744</v>
      </c>
      <c r="P116" s="171">
        <f t="shared" si="50"/>
        <v>429</v>
      </c>
      <c r="Q116" s="148">
        <f t="shared" si="64"/>
        <v>5148</v>
      </c>
      <c r="R116" s="148">
        <v>5143.8318482531158</v>
      </c>
      <c r="S116" s="151">
        <v>33</v>
      </c>
      <c r="T116" s="25"/>
      <c r="U116" s="148">
        <v>1606073.8995207043</v>
      </c>
      <c r="V116" s="238">
        <v>0.39135999999999999</v>
      </c>
      <c r="W116" s="25"/>
      <c r="X116" s="131">
        <f>VLOOKUP(CONCATENATE(C116,B116),'G2-7 Summary'!S:W,2,FALSE)</f>
        <v>0.22966</v>
      </c>
      <c r="Y116" s="243">
        <f>VLOOKUP(CONCATENATE(C116,B116),'G2-7 Summary'!S:W,3,FALSE)</f>
        <v>4.0900000000000006E-2</v>
      </c>
      <c r="Z116" s="131">
        <f>VLOOKUP(CONCATENATE(C116,B116),'G2-7 Summary'!S:W,4,FALSE)</f>
        <v>0</v>
      </c>
      <c r="AA116" s="243">
        <f>VLOOKUP(CONCATENATE(C116,B116),'G2-7 Summary'!S:W,5,FALSE)</f>
        <v>0.16700000000000001</v>
      </c>
      <c r="AB116" s="25"/>
      <c r="AC116" s="149">
        <f t="shared" si="62"/>
        <v>169884</v>
      </c>
      <c r="AD116" s="149">
        <f t="shared" si="61"/>
        <v>628553.08131642279</v>
      </c>
      <c r="AE116" s="149">
        <f t="shared" si="51"/>
        <v>368850.93176392495</v>
      </c>
      <c r="AF116" s="149"/>
      <c r="AG116" s="149">
        <f t="shared" si="52"/>
        <v>65688.422490396813</v>
      </c>
      <c r="AH116" s="149">
        <f t="shared" si="53"/>
        <v>0</v>
      </c>
      <c r="AI116" s="149">
        <f t="shared" si="54"/>
        <v>268214.34121995763</v>
      </c>
      <c r="AJ116" s="119">
        <f t="shared" si="60"/>
        <v>1501190.7767907022</v>
      </c>
      <c r="AK116" s="27">
        <f t="shared" si="55"/>
        <v>-333902.76371035445</v>
      </c>
      <c r="AL116" s="27">
        <f t="shared" si="56"/>
        <v>1167288.0130803478</v>
      </c>
      <c r="AM116" s="244"/>
      <c r="AN116" s="27">
        <f>SUMIFS('Rate Design (Consol)'!K:K,'Rate Design (Consol)'!A:A,K116,'Rate Design (Consol)'!D:D,G116)</f>
        <v>70</v>
      </c>
      <c r="AO116" s="23">
        <f>SUMIFS('Rate Design (Consol)'!L:L,'Rate Design (Consol)'!A:A,K116,'Rate Design (Consol)'!D:D,G116)</f>
        <v>0.69901999999999997</v>
      </c>
      <c r="AP116" s="24">
        <f t="shared" si="46"/>
        <v>360360</v>
      </c>
      <c r="AQ116" s="24">
        <f t="shared" si="47"/>
        <v>1122677.7772429627</v>
      </c>
      <c r="AR116" s="25">
        <f t="shared" si="48"/>
        <v>1483037.7772429627</v>
      </c>
      <c r="AS116" s="149"/>
      <c r="AT116" s="53"/>
      <c r="AU116" s="53"/>
      <c r="AV116" s="272"/>
      <c r="AW116" s="199"/>
      <c r="AX116" s="53"/>
      <c r="AY116" s="53"/>
    </row>
    <row r="117" spans="1:51" x14ac:dyDescent="0.25">
      <c r="A117" s="23" t="s">
        <v>164</v>
      </c>
      <c r="B117" s="23" t="s">
        <v>168</v>
      </c>
      <c r="C117" s="23" t="s">
        <v>166</v>
      </c>
      <c r="D117" s="23" t="s">
        <v>94</v>
      </c>
      <c r="E117" s="90" t="str">
        <f>INDEX('Rate Design (Consol)'!$B$48:$B$66,MATCH('G2-8 Summary'!F117,'Rate Design (Consol)'!$C$48:$C$66,0))</f>
        <v>GS-3</v>
      </c>
      <c r="F117" s="23" t="s">
        <v>13</v>
      </c>
      <c r="G117" s="90" t="str">
        <f>INDEX('Rate Design (Consol)'!$D$48:$D$66,MATCH('G2-8 Summary'!H117,'Rate Design (Consol)'!$E$48:$E$66,0))</f>
        <v>GS-3</v>
      </c>
      <c r="H117" s="23" t="str">
        <f t="shared" si="41"/>
        <v>General Service - 3</v>
      </c>
      <c r="I117" s="23" t="str">
        <f t="shared" si="63"/>
        <v>FN_GSTS2_General Service - 3</v>
      </c>
      <c r="J117" s="61" t="str">
        <f t="shared" si="49"/>
        <v>FPUC-FPUC - General Transportation Service-2-GS-3</v>
      </c>
      <c r="K117" s="62" t="s">
        <v>257</v>
      </c>
      <c r="L117" s="146">
        <v>0.31632653061224492</v>
      </c>
      <c r="M117" s="146">
        <v>0.38922324944673242</v>
      </c>
      <c r="N117" s="90" t="str">
        <f>VLOOKUP(E117,'Rate Design (Consol)'!D:F,3,FALSE)</f>
        <v>&gt; 5,000 &lt; = 10,000</v>
      </c>
      <c r="O117" s="237">
        <f t="shared" si="42"/>
        <v>8043</v>
      </c>
      <c r="P117" s="171">
        <f t="shared" si="50"/>
        <v>276</v>
      </c>
      <c r="Q117" s="148">
        <f t="shared" si="64"/>
        <v>3312</v>
      </c>
      <c r="R117" s="148">
        <v>3309.5220004798352</v>
      </c>
      <c r="S117" s="151">
        <v>33</v>
      </c>
      <c r="T117" s="25"/>
      <c r="U117" s="148">
        <v>2219915.9919819706</v>
      </c>
      <c r="V117" s="238">
        <v>0.39135999999999999</v>
      </c>
      <c r="W117" s="25"/>
      <c r="X117" s="131">
        <f>VLOOKUP(CONCATENATE(C117,B117),'G2-7 Summary'!S:W,2,FALSE)</f>
        <v>0.22966</v>
      </c>
      <c r="Y117" s="243">
        <f>VLOOKUP(CONCATENATE(C117,B117),'G2-7 Summary'!S:W,3,FALSE)</f>
        <v>4.0900000000000006E-2</v>
      </c>
      <c r="Z117" s="131">
        <f>VLOOKUP(CONCATENATE(C117,B117),'G2-7 Summary'!S:W,4,FALSE)</f>
        <v>0</v>
      </c>
      <c r="AA117" s="243">
        <f>VLOOKUP(CONCATENATE(C117,B117),'G2-7 Summary'!S:W,5,FALSE)</f>
        <v>0.16700000000000001</v>
      </c>
      <c r="AB117" s="25"/>
      <c r="AC117" s="149">
        <f t="shared" si="62"/>
        <v>109296</v>
      </c>
      <c r="AD117" s="149">
        <f t="shared" si="61"/>
        <v>868786.32262206404</v>
      </c>
      <c r="AE117" s="149">
        <f t="shared" si="51"/>
        <v>509825.90671857935</v>
      </c>
      <c r="AF117" s="149"/>
      <c r="AG117" s="149">
        <f t="shared" si="52"/>
        <v>90794.564072062611</v>
      </c>
      <c r="AH117" s="149">
        <f t="shared" si="53"/>
        <v>0</v>
      </c>
      <c r="AI117" s="149">
        <f t="shared" si="54"/>
        <v>370725.97066098911</v>
      </c>
      <c r="AJ117" s="119">
        <f t="shared" si="60"/>
        <v>1949428.7640736951</v>
      </c>
      <c r="AK117" s="27">
        <f t="shared" si="55"/>
        <v>-461520.53473305173</v>
      </c>
      <c r="AL117" s="27">
        <f t="shared" si="56"/>
        <v>1487908.2293406434</v>
      </c>
      <c r="AM117" s="244"/>
      <c r="AN117" s="27">
        <f>SUMIFS('Rate Design (Consol)'!K:K,'Rate Design (Consol)'!A:A,K117,'Rate Design (Consol)'!D:D,G117)</f>
        <v>150</v>
      </c>
      <c r="AO117" s="23">
        <f>SUMIFS('Rate Design (Consol)'!L:L,'Rate Design (Consol)'!A:A,K117,'Rate Design (Consol)'!D:D,G117)</f>
        <v>0.62475000000000003</v>
      </c>
      <c r="AP117" s="24">
        <f t="shared" si="46"/>
        <v>496800</v>
      </c>
      <c r="AQ117" s="24">
        <f t="shared" si="47"/>
        <v>1386892.5159907362</v>
      </c>
      <c r="AR117" s="25">
        <f t="shared" si="48"/>
        <v>1883692.5159907362</v>
      </c>
      <c r="AS117" s="149"/>
      <c r="AT117" s="53"/>
      <c r="AU117" s="53"/>
      <c r="AV117" s="272"/>
      <c r="AW117" s="199"/>
      <c r="AX117" s="53"/>
      <c r="AY117" s="53"/>
    </row>
    <row r="118" spans="1:51" x14ac:dyDescent="0.25">
      <c r="A118" s="23" t="s">
        <v>164</v>
      </c>
      <c r="B118" s="23" t="s">
        <v>168</v>
      </c>
      <c r="C118" s="23" t="s">
        <v>166</v>
      </c>
      <c r="D118" s="23" t="s">
        <v>94</v>
      </c>
      <c r="E118" s="90" t="str">
        <f>INDEX('Rate Design (Consol)'!$B$48:$B$66,MATCH('G2-8 Summary'!F118,'Rate Design (Consol)'!$C$48:$C$66,0))</f>
        <v>GS-4</v>
      </c>
      <c r="F118" s="23" t="s">
        <v>14</v>
      </c>
      <c r="G118" s="90" t="str">
        <f>INDEX('Rate Design (Consol)'!$D$48:$D$66,MATCH('G2-8 Summary'!H118,'Rate Design (Consol)'!$E$48:$E$66,0))</f>
        <v>GS-4</v>
      </c>
      <c r="H118" s="23" t="str">
        <f t="shared" si="41"/>
        <v>General Service - 4</v>
      </c>
      <c r="I118" s="23" t="str">
        <f t="shared" si="63"/>
        <v>FN_GSTS2_General Service - 4</v>
      </c>
      <c r="J118" s="61" t="str">
        <f t="shared" si="49"/>
        <v>FPUC-FPUC - General Transportation Service-2-GS-4</v>
      </c>
      <c r="K118" s="62" t="s">
        <v>257</v>
      </c>
      <c r="L118" s="146">
        <v>0.11410018552875696</v>
      </c>
      <c r="M118" s="146">
        <v>0.30122237672157315</v>
      </c>
      <c r="N118" s="90" t="str">
        <f>VLOOKUP(E118,'Rate Design (Consol)'!D:F,3,FALSE)</f>
        <v>&gt; 10,000 &lt; = 50,000</v>
      </c>
      <c r="O118" s="237">
        <f t="shared" si="42"/>
        <v>17354</v>
      </c>
      <c r="P118" s="171">
        <f t="shared" si="50"/>
        <v>99</v>
      </c>
      <c r="Q118" s="148">
        <f t="shared" si="64"/>
        <v>1188</v>
      </c>
      <c r="R118" s="148">
        <v>1193.7572025191193</v>
      </c>
      <c r="S118" s="151">
        <v>33</v>
      </c>
      <c r="T118" s="25"/>
      <c r="U118" s="148">
        <v>1718007.2674937984</v>
      </c>
      <c r="V118" s="238">
        <v>0.39135999999999999</v>
      </c>
      <c r="W118" s="25"/>
      <c r="X118" s="131">
        <f>VLOOKUP(CONCATENATE(C118,B118),'G2-7 Summary'!S:W,2,FALSE)</f>
        <v>0.22966</v>
      </c>
      <c r="Y118" s="243">
        <f>VLOOKUP(CONCATENATE(C118,B118),'G2-7 Summary'!S:W,3,FALSE)</f>
        <v>4.0900000000000006E-2</v>
      </c>
      <c r="Z118" s="131">
        <f>VLOOKUP(CONCATENATE(C118,B118),'G2-7 Summary'!S:W,4,FALSE)</f>
        <v>0</v>
      </c>
      <c r="AA118" s="243">
        <f>VLOOKUP(CONCATENATE(C118,B118),'G2-7 Summary'!S:W,5,FALSE)</f>
        <v>0.16700000000000001</v>
      </c>
      <c r="AB118" s="25"/>
      <c r="AC118" s="149">
        <f t="shared" si="62"/>
        <v>39204</v>
      </c>
      <c r="AD118" s="149">
        <f t="shared" si="61"/>
        <v>672359.32420637296</v>
      </c>
      <c r="AE118" s="149">
        <f t="shared" si="51"/>
        <v>394557.54905262572</v>
      </c>
      <c r="AF118" s="149"/>
      <c r="AG118" s="149">
        <f t="shared" si="52"/>
        <v>70266.497240496363</v>
      </c>
      <c r="AH118" s="149">
        <f t="shared" si="53"/>
        <v>0</v>
      </c>
      <c r="AI118" s="149">
        <f t="shared" si="54"/>
        <v>286907.21367146436</v>
      </c>
      <c r="AJ118" s="119">
        <f t="shared" si="60"/>
        <v>1463294.5841709594</v>
      </c>
      <c r="AK118" s="27">
        <f t="shared" si="55"/>
        <v>-357173.71091196069</v>
      </c>
      <c r="AL118" s="27">
        <f t="shared" si="56"/>
        <v>1106120.8732589986</v>
      </c>
      <c r="AM118" s="244"/>
      <c r="AN118" s="27">
        <f>SUMIFS('Rate Design (Consol)'!K:K,'Rate Design (Consol)'!A:A,K118,'Rate Design (Consol)'!D:D,G118)</f>
        <v>275</v>
      </c>
      <c r="AO118" s="23">
        <f>SUMIFS('Rate Design (Consol)'!L:L,'Rate Design (Consol)'!A:A,K118,'Rate Design (Consol)'!D:D,G118)</f>
        <v>0.59182999999999997</v>
      </c>
      <c r="AP118" s="24">
        <f t="shared" si="46"/>
        <v>326700</v>
      </c>
      <c r="AQ118" s="24">
        <f t="shared" si="47"/>
        <v>1016768.2411208546</v>
      </c>
      <c r="AR118" s="25">
        <f t="shared" si="48"/>
        <v>1343468.2411208546</v>
      </c>
      <c r="AS118" s="149"/>
      <c r="AT118" s="53"/>
      <c r="AU118" s="53"/>
      <c r="AV118" s="272"/>
      <c r="AW118" s="199"/>
      <c r="AX118" s="53"/>
      <c r="AY118" s="53"/>
    </row>
    <row r="119" spans="1:51" x14ac:dyDescent="0.25">
      <c r="A119" s="23" t="s">
        <v>164</v>
      </c>
      <c r="B119" s="23" t="s">
        <v>168</v>
      </c>
      <c r="C119" s="23" t="s">
        <v>166</v>
      </c>
      <c r="D119" s="23" t="s">
        <v>94</v>
      </c>
      <c r="E119" s="90" t="str">
        <f>INDEX('Rate Design (Consol)'!$B$48:$B$66,MATCH('G2-8 Summary'!F119,'Rate Design (Consol)'!$C$48:$C$66,0))</f>
        <v>GS-5</v>
      </c>
      <c r="F119" s="23" t="s">
        <v>15</v>
      </c>
      <c r="G119" s="90" t="str">
        <f>INDEX('Rate Design (Consol)'!$D$48:$D$66,MATCH('G2-8 Summary'!H119,'Rate Design (Consol)'!$E$48:$E$66,0))</f>
        <v>GS-5</v>
      </c>
      <c r="H119" s="23" t="str">
        <f t="shared" si="41"/>
        <v>General Service - 5</v>
      </c>
      <c r="I119" s="23" t="str">
        <f t="shared" si="63"/>
        <v>FN_GSTS2_General Service - 5</v>
      </c>
      <c r="J119" s="61" t="str">
        <f t="shared" si="49"/>
        <v>FPUC-FPUC - General Transportation Service-2-GS-5</v>
      </c>
      <c r="K119" s="62" t="s">
        <v>257</v>
      </c>
      <c r="L119" s="146">
        <v>1.8552875695732839E-3</v>
      </c>
      <c r="M119" s="146">
        <v>2.1845988522955564E-2</v>
      </c>
      <c r="N119" s="90" t="str">
        <f>VLOOKUP(E119,'Rate Design (Consol)'!D:F,3,FALSE)</f>
        <v>&gt; 50,000 &lt; = 250,000</v>
      </c>
      <c r="O119" s="237">
        <f t="shared" si="42"/>
        <v>62299</v>
      </c>
      <c r="P119" s="171">
        <f t="shared" si="50"/>
        <v>2</v>
      </c>
      <c r="Q119" s="148">
        <f t="shared" si="64"/>
        <v>24</v>
      </c>
      <c r="R119" s="148">
        <v>19.410686219823081</v>
      </c>
      <c r="S119" s="151">
        <v>33</v>
      </c>
      <c r="T119" s="25"/>
      <c r="U119" s="148">
        <v>124597.53971968382</v>
      </c>
      <c r="V119" s="238">
        <v>0.39135999999999999</v>
      </c>
      <c r="W119" s="25"/>
      <c r="X119" s="131">
        <f>VLOOKUP(CONCATENATE(C119,B119),'G2-7 Summary'!S:W,2,FALSE)</f>
        <v>0.22966</v>
      </c>
      <c r="Y119" s="243">
        <f>VLOOKUP(CONCATENATE(C119,B119),'G2-7 Summary'!S:W,3,FALSE)</f>
        <v>4.0900000000000006E-2</v>
      </c>
      <c r="Z119" s="131">
        <f>VLOOKUP(CONCATENATE(C119,B119),'G2-7 Summary'!S:W,4,FALSE)</f>
        <v>0</v>
      </c>
      <c r="AA119" s="131">
        <f>VLOOKUP(CONCATENATE(C119,B119),'G2-7 Summary'!S:W,5,FALSE)</f>
        <v>0.16700000000000001</v>
      </c>
      <c r="AB119" s="25"/>
      <c r="AC119" s="149">
        <f t="shared" si="62"/>
        <v>792</v>
      </c>
      <c r="AD119" s="149">
        <f t="shared" si="61"/>
        <v>48762.493144695458</v>
      </c>
      <c r="AE119" s="149">
        <f t="shared" si="51"/>
        <v>28615.070972022586</v>
      </c>
      <c r="AF119" s="149"/>
      <c r="AG119" s="149">
        <f t="shared" si="52"/>
        <v>5096.0393745350684</v>
      </c>
      <c r="AH119" s="149">
        <f t="shared" si="53"/>
        <v>0</v>
      </c>
      <c r="AI119" s="149">
        <f t="shared" si="54"/>
        <v>20807.789133187198</v>
      </c>
      <c r="AJ119" s="119">
        <f t="shared" si="60"/>
        <v>104073.39262444031</v>
      </c>
      <c r="AK119" s="27">
        <f t="shared" si="55"/>
        <v>-25903.828507722268</v>
      </c>
      <c r="AL119" s="27">
        <f t="shared" si="56"/>
        <v>78169.564116718044</v>
      </c>
      <c r="AM119" s="244"/>
      <c r="AN119" s="27">
        <f>SUMIFS('Rate Design (Consol)'!K:K,'Rate Design (Consol)'!A:A,K119,'Rate Design (Consol)'!D:D,G119)</f>
        <v>750</v>
      </c>
      <c r="AO119" s="23">
        <f>SUMIFS('Rate Design (Consol)'!L:L,'Rate Design (Consol)'!A:A,K119,'Rate Design (Consol)'!D:D,G119)</f>
        <v>0.52</v>
      </c>
      <c r="AP119" s="24">
        <f t="shared" si="46"/>
        <v>18000</v>
      </c>
      <c r="AQ119" s="24">
        <f t="shared" si="47"/>
        <v>64790.720654235585</v>
      </c>
      <c r="AR119" s="25">
        <f t="shared" si="48"/>
        <v>82790.720654235585</v>
      </c>
      <c r="AS119" s="149"/>
      <c r="AT119" s="53"/>
      <c r="AU119" s="53"/>
      <c r="AV119" s="272"/>
      <c r="AW119" s="199"/>
      <c r="AX119" s="53"/>
      <c r="AY119" s="53"/>
    </row>
    <row r="120" spans="1:51" x14ac:dyDescent="0.25">
      <c r="A120" s="23" t="s">
        <v>164</v>
      </c>
      <c r="B120" s="23" t="s">
        <v>168</v>
      </c>
      <c r="C120" s="23" t="s">
        <v>166</v>
      </c>
      <c r="D120" s="23" t="s">
        <v>94</v>
      </c>
      <c r="E120" s="90" t="str">
        <f>INDEX('Rate Design (Consol)'!$B$48:$B$66,MATCH('G2-8 Summary'!F120,'Rate Design (Consol)'!$C$48:$C$66,0))</f>
        <v>GS-1</v>
      </c>
      <c r="F120" s="23" t="s">
        <v>11</v>
      </c>
      <c r="G120" s="90" t="str">
        <f>INDEX('Rate Design (Consol)'!$D$48:$D$66,MATCH('G2-8 Summary'!H120,'Rate Design (Consol)'!$E$48:$E$66,0))</f>
        <v>GS-1</v>
      </c>
      <c r="H120" s="23" t="str">
        <f t="shared" si="41"/>
        <v>General Service - 1</v>
      </c>
      <c r="I120" s="23" t="str">
        <f t="shared" si="63"/>
        <v>FN_GSTS2_General Service - 1</v>
      </c>
      <c r="J120" s="61" t="str">
        <f t="shared" si="49"/>
        <v>FPUC-FPUC - General Transportation Service-2-GS-1</v>
      </c>
      <c r="K120" s="62" t="s">
        <v>257</v>
      </c>
      <c r="L120" s="146">
        <v>7.6066790352504632E-2</v>
      </c>
      <c r="M120" s="146">
        <v>6.1115571941232315E-3</v>
      </c>
      <c r="N120" s="90" t="str">
        <f>VLOOKUP(E120,'Rate Design (Consol)'!D:F,3,FALSE)</f>
        <v>&lt; = 1000</v>
      </c>
      <c r="O120" s="237">
        <f t="shared" si="42"/>
        <v>528</v>
      </c>
      <c r="P120" s="171">
        <f t="shared" ref="P120" si="65">ROUND(Q120/12,0)</f>
        <v>66</v>
      </c>
      <c r="Q120" s="148">
        <f t="shared" si="64"/>
        <v>792</v>
      </c>
      <c r="R120" s="148">
        <v>795.83813501274619</v>
      </c>
      <c r="S120" s="151">
        <v>33</v>
      </c>
      <c r="T120" s="25"/>
      <c r="U120" s="148">
        <v>34856.971083900702</v>
      </c>
      <c r="V120" s="238">
        <v>0.39135999999999999</v>
      </c>
      <c r="W120" s="25"/>
      <c r="X120" s="131">
        <f>VLOOKUP(CONCATENATE(C120,B120),'G2-7 Summary'!S:W,2,FALSE)</f>
        <v>0.22966</v>
      </c>
      <c r="Y120" s="243">
        <f>VLOOKUP(CONCATENATE(C120,B120),'G2-7 Summary'!S:W,3,FALSE)</f>
        <v>4.0900000000000006E-2</v>
      </c>
      <c r="Z120" s="131">
        <f>VLOOKUP(CONCATENATE(C120,B120),'G2-7 Summary'!S:W,4,FALSE)</f>
        <v>0</v>
      </c>
      <c r="AA120" s="131">
        <f>VLOOKUP(CONCATENATE(C120,B120),'G2-7 Summary'!S:W,5,FALSE)</f>
        <v>0.16700000000000001</v>
      </c>
      <c r="AB120" s="25"/>
      <c r="AC120" s="149">
        <f t="shared" si="62"/>
        <v>26136</v>
      </c>
      <c r="AD120" s="149">
        <f t="shared" ref="AD120" si="66">U120*V120</f>
        <v>13641.624203395379</v>
      </c>
      <c r="AE120" s="149">
        <f t="shared" ref="AE120" si="67">X120*$U120</f>
        <v>8005.251979128635</v>
      </c>
      <c r="AF120" s="149"/>
      <c r="AG120" s="149">
        <f t="shared" ref="AG120" si="68">Y120*$U120</f>
        <v>1425.6501173315389</v>
      </c>
      <c r="AH120" s="149">
        <f t="shared" ref="AH120" si="69">Z120*$U120</f>
        <v>0</v>
      </c>
      <c r="AI120" s="149">
        <f t="shared" ref="AI120" si="70">AA120*$U120</f>
        <v>5821.114171011418</v>
      </c>
      <c r="AJ120" s="119">
        <f t="shared" ref="AJ120" si="71">SUM(AC120:AI120)</f>
        <v>55029.640470866965</v>
      </c>
      <c r="AK120" s="27">
        <f t="shared" ref="AK120" si="72">-SUM(AG120:AI120)</f>
        <v>-7246.7642883429571</v>
      </c>
      <c r="AL120" s="27">
        <f t="shared" ref="AL120" si="73">AK120+AJ120</f>
        <v>47782.876182524007</v>
      </c>
      <c r="AM120" s="244"/>
      <c r="AN120" s="27">
        <f>SUMIFS('Rate Design (Consol)'!K:K,'Rate Design (Consol)'!A:A,K120,'Rate Design (Consol)'!D:D,G120)</f>
        <v>40</v>
      </c>
      <c r="AO120" s="23">
        <f>SUMIFS('Rate Design (Consol)'!L:L,'Rate Design (Consol)'!A:A,K120,'Rate Design (Consol)'!D:D,G120)</f>
        <v>0.70123999999999997</v>
      </c>
      <c r="AP120" s="24">
        <f t="shared" si="46"/>
        <v>31680</v>
      </c>
      <c r="AQ120" s="24">
        <f t="shared" si="47"/>
        <v>24443.102402874527</v>
      </c>
      <c r="AR120" s="25">
        <f t="shared" si="48"/>
        <v>56123.102402874531</v>
      </c>
      <c r="AS120" s="149"/>
      <c r="AT120" s="53"/>
      <c r="AU120" s="53"/>
      <c r="AV120" s="272"/>
      <c r="AW120" s="199"/>
      <c r="AX120" s="53"/>
      <c r="AY120" s="53"/>
    </row>
    <row r="121" spans="1:51" x14ac:dyDescent="0.25">
      <c r="A121" s="23" t="s">
        <v>164</v>
      </c>
      <c r="B121" s="23" t="s">
        <v>169</v>
      </c>
      <c r="C121" s="23" t="s">
        <v>166</v>
      </c>
      <c r="D121" s="23" t="s">
        <v>117</v>
      </c>
      <c r="E121" s="90" t="str">
        <f>INDEX('Rate Design (Consol)'!$B$48:$B$66,MATCH('G2-8 Summary'!F121,'Rate Design (Consol)'!$C$48:$C$66,0))</f>
        <v>COM - INT</v>
      </c>
      <c r="F121" s="23" t="s">
        <v>18</v>
      </c>
      <c r="G121" s="90" t="str">
        <f>INDEX('Rate Design (Consol)'!$D$48:$D$66,MATCH('G2-8 Summary'!H121,'Rate Design (Consol)'!$E$48:$E$66,0))</f>
        <v>COM - INT</v>
      </c>
      <c r="H121" s="23" t="str">
        <f t="shared" si="41"/>
        <v>Commercial - Interruptible</v>
      </c>
      <c r="I121" s="23" t="str">
        <f t="shared" si="63"/>
        <v>FN_ITS_Commercial - Interruptible</v>
      </c>
      <c r="J121" s="61" t="str">
        <f t="shared" si="49"/>
        <v>FPUC-FPUC - Interruptible Transportation Service (ITS)-COM - INT</v>
      </c>
      <c r="K121" s="62" t="s">
        <v>257</v>
      </c>
      <c r="L121" s="146">
        <v>0.94444444444444442</v>
      </c>
      <c r="M121" s="146">
        <v>0.99546794353605772</v>
      </c>
      <c r="N121" s="90" t="str">
        <f>VLOOKUP(E121,'Rate Design (Consol)'!D:F,3,FALSE)</f>
        <v>&gt; 100,000</v>
      </c>
      <c r="O121" s="237">
        <f t="shared" si="42"/>
        <v>558968</v>
      </c>
      <c r="P121" s="171">
        <f t="shared" si="50"/>
        <v>17</v>
      </c>
      <c r="Q121" s="148">
        <f t="shared" si="64"/>
        <v>204</v>
      </c>
      <c r="R121" s="148">
        <v>204</v>
      </c>
      <c r="S121" s="151">
        <v>280</v>
      </c>
      <c r="T121" s="25"/>
      <c r="U121" s="148">
        <v>9502458.6362488344</v>
      </c>
      <c r="V121" s="238">
        <v>0.23080000000000001</v>
      </c>
      <c r="W121" s="25"/>
      <c r="X121" s="131">
        <f>VLOOKUP(CONCATENATE(C121,B121),'G2-7 Summary'!S:W,2,FALSE)</f>
        <v>9.536E-2</v>
      </c>
      <c r="Y121" s="243">
        <f>VLOOKUP(CONCATENATE(C121,B121),'G2-7 Summary'!S:W,3,FALSE)</f>
        <v>0</v>
      </c>
      <c r="Z121" s="131">
        <f>VLOOKUP(CONCATENATE(C121,B121),'G2-7 Summary'!S:W,4,FALSE)</f>
        <v>0</v>
      </c>
      <c r="AA121" s="131">
        <f>VLOOKUP(CONCATENATE(C121,B121),'G2-7 Summary'!S:W,5,FALSE)</f>
        <v>0</v>
      </c>
      <c r="AB121" s="25"/>
      <c r="AC121" s="149">
        <f t="shared" si="62"/>
        <v>57120</v>
      </c>
      <c r="AD121" s="149">
        <f t="shared" si="61"/>
        <v>2193167.4532462312</v>
      </c>
      <c r="AE121" s="149">
        <f t="shared" si="51"/>
        <v>906154.4555526888</v>
      </c>
      <c r="AF121" s="149"/>
      <c r="AG121" s="149">
        <f t="shared" si="52"/>
        <v>0</v>
      </c>
      <c r="AH121" s="149">
        <f t="shared" si="53"/>
        <v>0</v>
      </c>
      <c r="AI121" s="149">
        <f t="shared" si="54"/>
        <v>0</v>
      </c>
      <c r="AJ121" s="119">
        <f t="shared" si="60"/>
        <v>3156441.90879892</v>
      </c>
      <c r="AK121" s="27">
        <f t="shared" si="55"/>
        <v>0</v>
      </c>
      <c r="AL121" s="27">
        <f t="shared" si="56"/>
        <v>3156441.90879892</v>
      </c>
      <c r="AM121" s="244"/>
      <c r="AN121" s="27">
        <f>SUMIFS('Rate Design (Consol)'!K:K,'Rate Design (Consol)'!A:A,K121,'Rate Design (Consol)'!D:D,G121)</f>
        <v>750</v>
      </c>
      <c r="AO121" s="23">
        <f>SUMIFS('Rate Design (Consol)'!L:L,'Rate Design (Consol)'!A:A,K121,'Rate Design (Consol)'!D:D,G121)</f>
        <v>0.36749999999999999</v>
      </c>
      <c r="AP121" s="24">
        <f t="shared" si="46"/>
        <v>153000</v>
      </c>
      <c r="AQ121" s="24">
        <f t="shared" si="47"/>
        <v>3492153.5488214465</v>
      </c>
      <c r="AR121" s="25">
        <f t="shared" si="48"/>
        <v>3645153.5488214465</v>
      </c>
      <c r="AS121" s="149"/>
      <c r="AT121" s="53"/>
      <c r="AU121" s="53"/>
      <c r="AV121" s="272"/>
      <c r="AW121" s="199"/>
      <c r="AX121" s="53"/>
      <c r="AY121" s="53"/>
    </row>
    <row r="122" spans="1:51" x14ac:dyDescent="0.25">
      <c r="A122" s="23" t="s">
        <v>164</v>
      </c>
      <c r="B122" s="23" t="s">
        <v>169</v>
      </c>
      <c r="C122" s="23" t="s">
        <v>166</v>
      </c>
      <c r="D122" s="23" t="s">
        <v>117</v>
      </c>
      <c r="E122" s="90" t="str">
        <f>INDEX('Rate Design (Consol)'!$B$48:$B$66,MATCH('G2-8 Summary'!F122,'Rate Design (Consol)'!$C$48:$C$66,0))</f>
        <v>GS-4</v>
      </c>
      <c r="F122" s="23" t="s">
        <v>14</v>
      </c>
      <c r="G122" s="90" t="str">
        <f>INDEX('Rate Design (Consol)'!$D$48:$D$66,MATCH('G2-8 Summary'!H122,'Rate Design (Consol)'!$E$48:$E$66,0))</f>
        <v>GS-4</v>
      </c>
      <c r="H122" s="23" t="str">
        <f t="shared" si="41"/>
        <v>General Service - 4</v>
      </c>
      <c r="I122" s="23" t="str">
        <f t="shared" si="63"/>
        <v>FN_ITS_General Service - 4</v>
      </c>
      <c r="J122" s="61" t="str">
        <f t="shared" si="49"/>
        <v>FPUC-FPUC - Interruptible Transportation Service (ITS)-GS-4</v>
      </c>
      <c r="K122" s="62" t="s">
        <v>257</v>
      </c>
      <c r="L122" s="146">
        <v>5.5555555555555552E-2</v>
      </c>
      <c r="M122" s="146">
        <v>4.5320564639422739E-3</v>
      </c>
      <c r="N122" s="90" t="str">
        <f>VLOOKUP(E122,'Rate Design (Consol)'!D:F,3,FALSE)</f>
        <v>&gt; 10,000 &lt; = 50,000</v>
      </c>
      <c r="O122" s="237">
        <f t="shared" si="42"/>
        <v>43262</v>
      </c>
      <c r="P122" s="171">
        <f t="shared" si="50"/>
        <v>1</v>
      </c>
      <c r="Q122" s="148">
        <f t="shared" si="64"/>
        <v>12</v>
      </c>
      <c r="R122" s="148">
        <v>12</v>
      </c>
      <c r="S122" s="151">
        <v>280</v>
      </c>
      <c r="T122" s="25"/>
      <c r="U122" s="148">
        <v>43261.743751164497</v>
      </c>
      <c r="V122" s="238">
        <v>0.23080000000000001</v>
      </c>
      <c r="W122" s="25"/>
      <c r="X122" s="131">
        <f>VLOOKUP(CONCATENATE(C122,B122),'G2-7 Summary'!S:W,2,FALSE)</f>
        <v>9.536E-2</v>
      </c>
      <c r="Y122" s="243">
        <f>VLOOKUP(CONCATENATE(C122,B122),'G2-7 Summary'!S:W,3,FALSE)</f>
        <v>0</v>
      </c>
      <c r="Z122" s="131">
        <f>VLOOKUP(CONCATENATE(C122,B122),'G2-7 Summary'!S:W,4,FALSE)</f>
        <v>0</v>
      </c>
      <c r="AA122" s="131">
        <f>VLOOKUP(CONCATENATE(C122,B122),'G2-7 Summary'!S:W,5,FALSE)</f>
        <v>0</v>
      </c>
      <c r="AB122" s="25"/>
      <c r="AC122" s="149">
        <f t="shared" si="62"/>
        <v>3360</v>
      </c>
      <c r="AD122" s="149">
        <f t="shared" si="61"/>
        <v>9984.8104577687664</v>
      </c>
      <c r="AE122" s="149">
        <f t="shared" si="51"/>
        <v>4125.439884111046</v>
      </c>
      <c r="AF122" s="149"/>
      <c r="AG122" s="149">
        <f t="shared" si="52"/>
        <v>0</v>
      </c>
      <c r="AH122" s="149">
        <f t="shared" si="53"/>
        <v>0</v>
      </c>
      <c r="AI122" s="149">
        <f t="shared" si="54"/>
        <v>0</v>
      </c>
      <c r="AJ122" s="119">
        <f t="shared" si="60"/>
        <v>17470.250341879811</v>
      </c>
      <c r="AK122" s="27">
        <f t="shared" si="55"/>
        <v>0</v>
      </c>
      <c r="AL122" s="27">
        <f t="shared" si="56"/>
        <v>17470.250341879811</v>
      </c>
      <c r="AM122" s="244"/>
      <c r="AN122" s="27">
        <f>SUMIFS('Rate Design (Consol)'!K:K,'Rate Design (Consol)'!A:A,K122,'Rate Design (Consol)'!D:D,G122)</f>
        <v>275</v>
      </c>
      <c r="AO122" s="23">
        <f>SUMIFS('Rate Design (Consol)'!L:L,'Rate Design (Consol)'!A:A,K122,'Rate Design (Consol)'!D:D,G122)</f>
        <v>0.59182999999999997</v>
      </c>
      <c r="AP122" s="24">
        <f t="shared" si="46"/>
        <v>3300</v>
      </c>
      <c r="AQ122" s="24">
        <f t="shared" si="47"/>
        <v>25603.597804251684</v>
      </c>
      <c r="AR122" s="25">
        <f t="shared" si="48"/>
        <v>28903.597804251684</v>
      </c>
      <c r="AS122" s="149"/>
      <c r="AT122" s="53"/>
      <c r="AU122" s="53"/>
      <c r="AV122" s="272"/>
      <c r="AW122" s="199"/>
      <c r="AX122" s="53"/>
      <c r="AY122" s="53"/>
    </row>
    <row r="123" spans="1:51" x14ac:dyDescent="0.25">
      <c r="A123" s="23" t="s">
        <v>164</v>
      </c>
      <c r="B123" s="23" t="s">
        <v>161</v>
      </c>
      <c r="C123" s="23" t="s">
        <v>166</v>
      </c>
      <c r="D123" s="23" t="s">
        <v>91</v>
      </c>
      <c r="E123" s="90" t="str">
        <f>INDEX('Rate Design (Consol)'!$B$48:$B$66,MATCH('G2-8 Summary'!F123,'Rate Design (Consol)'!$C$48:$C$66,0))</f>
        <v>GS-2</v>
      </c>
      <c r="F123" s="23" t="s">
        <v>12</v>
      </c>
      <c r="G123" s="90" t="str">
        <f>INDEX('Rate Design (Consol)'!$D$48:$D$66,MATCH('G2-8 Summary'!H123,'Rate Design (Consol)'!$E$48:$E$66,0))</f>
        <v>GS-2</v>
      </c>
      <c r="H123" s="23" t="str">
        <f t="shared" si="41"/>
        <v>General Service - 2</v>
      </c>
      <c r="I123" s="23" t="str">
        <f t="shared" si="63"/>
        <v>FN_LVS_General Service - 2</v>
      </c>
      <c r="J123" s="61" t="str">
        <f t="shared" si="49"/>
        <v>FPUC-FPUC - Large Volume Service-GS-2</v>
      </c>
      <c r="K123" s="62" t="s">
        <v>257</v>
      </c>
      <c r="L123" s="146">
        <v>0.19610778443113772</v>
      </c>
      <c r="M123" s="146">
        <v>5.4753406258169407E-2</v>
      </c>
      <c r="N123" s="90" t="str">
        <f>VLOOKUP(E123,'Rate Design (Consol)'!D:F,3,FALSE)</f>
        <v>&gt; 1000 &lt; = 5,000</v>
      </c>
      <c r="O123" s="237">
        <f t="shared" si="42"/>
        <v>3359</v>
      </c>
      <c r="P123" s="171">
        <f t="shared" si="50"/>
        <v>132</v>
      </c>
      <c r="Q123" s="148">
        <f t="shared" si="64"/>
        <v>1584</v>
      </c>
      <c r="R123" s="148">
        <v>1584.1399411328046</v>
      </c>
      <c r="S123" s="151">
        <v>90</v>
      </c>
      <c r="T123" s="25"/>
      <c r="U123" s="148">
        <v>443383.17890960799</v>
      </c>
      <c r="V123" s="238">
        <v>0.35365999999999997</v>
      </c>
      <c r="W123" s="25"/>
      <c r="X123" s="131">
        <f>VLOOKUP(CONCATENATE(C123,B123),'G2-7 Summary'!S:W,2,FALSE)</f>
        <v>0.16008</v>
      </c>
      <c r="Y123" s="243">
        <f>VLOOKUP(CONCATENATE(C123,B123),'G2-7 Summary'!S:W,3,FALSE)</f>
        <v>3.4070000000000003E-2</v>
      </c>
      <c r="Z123" s="131">
        <f>VLOOKUP(CONCATENATE(C123,B123),'G2-7 Summary'!S:W,4,FALSE)</f>
        <v>1.0504</v>
      </c>
      <c r="AA123" s="131">
        <f>VLOOKUP(CONCATENATE(C123,B123),'G2-7 Summary'!S:W,5,FALSE)</f>
        <v>0</v>
      </c>
      <c r="AB123" s="25"/>
      <c r="AC123" s="149">
        <f t="shared" si="62"/>
        <v>142560</v>
      </c>
      <c r="AD123" s="149">
        <f t="shared" si="61"/>
        <v>156806.89505317196</v>
      </c>
      <c r="AE123" s="149">
        <f t="shared" si="51"/>
        <v>70976.779279850045</v>
      </c>
      <c r="AF123" s="149"/>
      <c r="AG123" s="149">
        <f t="shared" si="52"/>
        <v>15106.064905450345</v>
      </c>
      <c r="AH123" s="149">
        <f t="shared" si="53"/>
        <v>465729.69112665224</v>
      </c>
      <c r="AI123" s="149">
        <f t="shared" si="54"/>
        <v>0</v>
      </c>
      <c r="AJ123" s="119">
        <f t="shared" si="60"/>
        <v>851179.43036512448</v>
      </c>
      <c r="AK123" s="27">
        <f t="shared" si="55"/>
        <v>-480835.75603210257</v>
      </c>
      <c r="AL123" s="27">
        <f t="shared" si="56"/>
        <v>370343.67433302192</v>
      </c>
      <c r="AM123" s="244"/>
      <c r="AN123" s="27">
        <f>SUMIFS('Rate Design (Consol)'!K:K,'Rate Design (Consol)'!A:A,K123,'Rate Design (Consol)'!D:D,G123)</f>
        <v>70</v>
      </c>
      <c r="AO123" s="23">
        <f>SUMIFS('Rate Design (Consol)'!L:L,'Rate Design (Consol)'!A:A,K123,'Rate Design (Consol)'!D:D,G123)</f>
        <v>0.69901999999999997</v>
      </c>
      <c r="AP123" s="24">
        <f t="shared" si="46"/>
        <v>110880</v>
      </c>
      <c r="AQ123" s="24">
        <f t="shared" si="47"/>
        <v>309933.70972139417</v>
      </c>
      <c r="AR123" s="25">
        <f t="shared" si="48"/>
        <v>420813.70972139417</v>
      </c>
      <c r="AS123" s="149"/>
      <c r="AT123" s="53"/>
      <c r="AU123" s="53"/>
      <c r="AV123" s="272"/>
      <c r="AW123" s="199"/>
      <c r="AX123" s="53"/>
      <c r="AY123" s="53"/>
    </row>
    <row r="124" spans="1:51" x14ac:dyDescent="0.25">
      <c r="A124" s="23" t="s">
        <v>164</v>
      </c>
      <c r="B124" s="23" t="s">
        <v>161</v>
      </c>
      <c r="C124" s="23" t="s">
        <v>166</v>
      </c>
      <c r="D124" s="23" t="s">
        <v>91</v>
      </c>
      <c r="E124" s="90" t="str">
        <f>INDEX('Rate Design (Consol)'!$B$48:$B$66,MATCH('G2-8 Summary'!F124,'Rate Design (Consol)'!$C$48:$C$66,0))</f>
        <v>GS-3</v>
      </c>
      <c r="F124" s="23" t="s">
        <v>13</v>
      </c>
      <c r="G124" s="90" t="str">
        <f>INDEX('Rate Design (Consol)'!$D$48:$D$66,MATCH('G2-8 Summary'!H124,'Rate Design (Consol)'!$E$48:$E$66,0))</f>
        <v>GS-3</v>
      </c>
      <c r="H124" s="23" t="str">
        <f t="shared" si="41"/>
        <v>General Service - 3</v>
      </c>
      <c r="I124" s="23" t="str">
        <f t="shared" si="63"/>
        <v>FN_LVS_General Service - 3</v>
      </c>
      <c r="J124" s="61" t="str">
        <f t="shared" si="49"/>
        <v>FPUC-FPUC - Large Volume Service-GS-3</v>
      </c>
      <c r="K124" s="62" t="s">
        <v>257</v>
      </c>
      <c r="L124" s="146">
        <v>0.32634730538922158</v>
      </c>
      <c r="M124" s="146">
        <v>0.20840831757756517</v>
      </c>
      <c r="N124" s="90" t="str">
        <f>VLOOKUP(E124,'Rate Design (Consol)'!D:F,3,FALSE)</f>
        <v>&gt; 5,000 &lt; = 10,000</v>
      </c>
      <c r="O124" s="237">
        <f t="shared" si="42"/>
        <v>7671</v>
      </c>
      <c r="P124" s="171">
        <f t="shared" si="50"/>
        <v>220</v>
      </c>
      <c r="Q124" s="148">
        <f t="shared" si="64"/>
        <v>2640</v>
      </c>
      <c r="R124" s="148">
        <v>2636.2023447858887</v>
      </c>
      <c r="S124" s="151">
        <v>90</v>
      </c>
      <c r="T124" s="25"/>
      <c r="U124" s="148">
        <v>1687652.8543821301</v>
      </c>
      <c r="V124" s="238">
        <v>0.35365999999999997</v>
      </c>
      <c r="W124" s="25"/>
      <c r="X124" s="131">
        <f>VLOOKUP(CONCATENATE(C124,B124),'G2-7 Summary'!S:W,2,FALSE)</f>
        <v>0.16008</v>
      </c>
      <c r="Y124" s="243">
        <f>VLOOKUP(CONCATENATE(C124,B124),'G2-7 Summary'!S:W,3,FALSE)</f>
        <v>3.4070000000000003E-2</v>
      </c>
      <c r="Z124" s="131">
        <f>VLOOKUP(CONCATENATE(C124,B124),'G2-7 Summary'!S:W,4,FALSE)</f>
        <v>1.0504</v>
      </c>
      <c r="AA124" s="131">
        <f>VLOOKUP(CONCATENATE(C124,B124),'G2-7 Summary'!S:W,5,FALSE)</f>
        <v>0</v>
      </c>
      <c r="AB124" s="25"/>
      <c r="AC124" s="149">
        <f t="shared" si="62"/>
        <v>237600</v>
      </c>
      <c r="AD124" s="149">
        <f t="shared" si="61"/>
        <v>596855.30848078406</v>
      </c>
      <c r="AE124" s="149">
        <f t="shared" si="51"/>
        <v>270159.46892949136</v>
      </c>
      <c r="AF124" s="149"/>
      <c r="AG124" s="149">
        <f t="shared" si="52"/>
        <v>57498.332748799177</v>
      </c>
      <c r="AH124" s="149">
        <f t="shared" si="53"/>
        <v>1772710.5582429895</v>
      </c>
      <c r="AI124" s="149">
        <f t="shared" si="54"/>
        <v>0</v>
      </c>
      <c r="AJ124" s="119">
        <f t="shared" si="60"/>
        <v>2934823.6684020637</v>
      </c>
      <c r="AK124" s="27">
        <f t="shared" si="55"/>
        <v>-1830208.8909917886</v>
      </c>
      <c r="AL124" s="27">
        <f t="shared" si="56"/>
        <v>1104614.7774102751</v>
      </c>
      <c r="AM124" s="244"/>
      <c r="AN124" s="27">
        <f>SUMIFS('Rate Design (Consol)'!K:K,'Rate Design (Consol)'!A:A,K124,'Rate Design (Consol)'!D:D,G124)</f>
        <v>150</v>
      </c>
      <c r="AO124" s="23">
        <f>SUMIFS('Rate Design (Consol)'!L:L,'Rate Design (Consol)'!A:A,K124,'Rate Design (Consol)'!D:D,G124)</f>
        <v>0.62475000000000003</v>
      </c>
      <c r="AP124" s="24">
        <f t="shared" si="46"/>
        <v>396000</v>
      </c>
      <c r="AQ124" s="24">
        <f t="shared" si="47"/>
        <v>1054361.1207752358</v>
      </c>
      <c r="AR124" s="25">
        <f t="shared" si="48"/>
        <v>1450361.1207752358</v>
      </c>
      <c r="AS124" s="149"/>
      <c r="AT124" s="53"/>
      <c r="AU124" s="53"/>
      <c r="AV124" s="272"/>
      <c r="AW124" s="199"/>
      <c r="AX124" s="53"/>
      <c r="AY124" s="53"/>
    </row>
    <row r="125" spans="1:51" x14ac:dyDescent="0.25">
      <c r="A125" s="23" t="s">
        <v>164</v>
      </c>
      <c r="B125" s="23" t="s">
        <v>161</v>
      </c>
      <c r="C125" s="23" t="s">
        <v>166</v>
      </c>
      <c r="D125" s="23" t="s">
        <v>91</v>
      </c>
      <c r="E125" s="90" t="str">
        <f>INDEX('Rate Design (Consol)'!$B$48:$B$66,MATCH('G2-8 Summary'!F125,'Rate Design (Consol)'!$C$48:$C$66,0))</f>
        <v>GS-4</v>
      </c>
      <c r="F125" s="23" t="s">
        <v>14</v>
      </c>
      <c r="G125" s="90" t="str">
        <f>INDEX('Rate Design (Consol)'!$D$48:$D$66,MATCH('G2-8 Summary'!H125,'Rate Design (Consol)'!$E$48:$E$66,0))</f>
        <v>GS-4</v>
      </c>
      <c r="H125" s="23" t="str">
        <f t="shared" si="41"/>
        <v>General Service - 4</v>
      </c>
      <c r="I125" s="23" t="str">
        <f t="shared" si="63"/>
        <v>FN_LVS_General Service - 4</v>
      </c>
      <c r="J125" s="61" t="str">
        <f t="shared" si="49"/>
        <v>FPUC-FPUC - Large Volume Service-GS-4</v>
      </c>
      <c r="K125" s="62" t="s">
        <v>257</v>
      </c>
      <c r="L125" s="146">
        <v>0.36976047904191617</v>
      </c>
      <c r="M125" s="146">
        <v>0.5537972046091636</v>
      </c>
      <c r="N125" s="90" t="str">
        <f>VLOOKUP(E125,'Rate Design (Consol)'!D:F,3,FALSE)</f>
        <v>&gt; 10,000 &lt; = 50,000</v>
      </c>
      <c r="O125" s="237">
        <f t="shared" si="42"/>
        <v>18010</v>
      </c>
      <c r="P125" s="171">
        <f t="shared" si="50"/>
        <v>249</v>
      </c>
      <c r="Q125" s="148">
        <f t="shared" si="64"/>
        <v>2988</v>
      </c>
      <c r="R125" s="148">
        <v>2986.8898126702502</v>
      </c>
      <c r="S125" s="151">
        <v>90</v>
      </c>
      <c r="T125" s="25"/>
      <c r="U125" s="148">
        <v>4484549.5802232297</v>
      </c>
      <c r="V125" s="238">
        <v>0.35365999999999997</v>
      </c>
      <c r="W125" s="25"/>
      <c r="X125" s="131">
        <f>VLOOKUP(CONCATENATE(C125,B125),'G2-7 Summary'!S:W,2,FALSE)</f>
        <v>0.16008</v>
      </c>
      <c r="Y125" s="243">
        <f>VLOOKUP(CONCATENATE(C125,B125),'G2-7 Summary'!S:W,3,FALSE)</f>
        <v>3.4070000000000003E-2</v>
      </c>
      <c r="Z125" s="131">
        <f>VLOOKUP(CONCATENATE(C125,B125),'G2-7 Summary'!S:W,4,FALSE)</f>
        <v>1.0504</v>
      </c>
      <c r="AA125" s="131">
        <f>VLOOKUP(CONCATENATE(C125,B125),'G2-7 Summary'!S:W,5,FALSE)</f>
        <v>0</v>
      </c>
      <c r="AB125" s="25"/>
      <c r="AC125" s="149">
        <f t="shared" si="62"/>
        <v>268920</v>
      </c>
      <c r="AD125" s="149">
        <f t="shared" si="61"/>
        <v>1586005.8045417473</v>
      </c>
      <c r="AE125" s="149">
        <f t="shared" si="51"/>
        <v>717886.69680213463</v>
      </c>
      <c r="AF125" s="149"/>
      <c r="AG125" s="149">
        <f t="shared" si="52"/>
        <v>152788.60419820546</v>
      </c>
      <c r="AH125" s="149">
        <f t="shared" si="53"/>
        <v>4710570.8790664803</v>
      </c>
      <c r="AI125" s="149">
        <f t="shared" si="54"/>
        <v>0</v>
      </c>
      <c r="AJ125" s="119">
        <f t="shared" si="60"/>
        <v>7436171.9846085673</v>
      </c>
      <c r="AK125" s="27">
        <f t="shared" si="55"/>
        <v>-4863359.4832646856</v>
      </c>
      <c r="AL125" s="27">
        <f t="shared" si="56"/>
        <v>2572812.5013438817</v>
      </c>
      <c r="AM125" s="244"/>
      <c r="AN125" s="27">
        <f>SUMIFS('Rate Design (Consol)'!K:K,'Rate Design (Consol)'!A:A,K125,'Rate Design (Consol)'!D:D,G125)</f>
        <v>275</v>
      </c>
      <c r="AO125" s="23">
        <f>SUMIFS('Rate Design (Consol)'!L:L,'Rate Design (Consol)'!A:A,K125,'Rate Design (Consol)'!D:D,G125)</f>
        <v>0.59182999999999997</v>
      </c>
      <c r="AP125" s="24">
        <f t="shared" si="46"/>
        <v>821700</v>
      </c>
      <c r="AQ125" s="24">
        <f t="shared" si="47"/>
        <v>2654090.978063514</v>
      </c>
      <c r="AR125" s="25">
        <f t="shared" si="48"/>
        <v>3475790.978063514</v>
      </c>
      <c r="AS125" s="149"/>
      <c r="AT125" s="53"/>
      <c r="AU125" s="53"/>
      <c r="AV125" s="272"/>
      <c r="AW125" s="199"/>
      <c r="AX125" s="53"/>
      <c r="AY125" s="53"/>
    </row>
    <row r="126" spans="1:51" x14ac:dyDescent="0.25">
      <c r="A126" s="23" t="s">
        <v>164</v>
      </c>
      <c r="B126" s="23" t="s">
        <v>161</v>
      </c>
      <c r="C126" s="23" t="s">
        <v>166</v>
      </c>
      <c r="D126" s="23" t="s">
        <v>91</v>
      </c>
      <c r="E126" s="90" t="str">
        <f>INDEX('Rate Design (Consol)'!$B$48:$B$66,MATCH('G2-8 Summary'!F126,'Rate Design (Consol)'!$C$48:$C$66,0))</f>
        <v>GS-5</v>
      </c>
      <c r="F126" s="23" t="s">
        <v>15</v>
      </c>
      <c r="G126" s="90" t="str">
        <f>INDEX('Rate Design (Consol)'!$D$48:$D$66,MATCH('G2-8 Summary'!H126,'Rate Design (Consol)'!$E$48:$E$66,0))</f>
        <v>GS-5</v>
      </c>
      <c r="H126" s="23" t="str">
        <f t="shared" si="41"/>
        <v>General Service - 5</v>
      </c>
      <c r="I126" s="23" t="str">
        <f t="shared" si="63"/>
        <v>FN_LVS_General Service - 5</v>
      </c>
      <c r="J126" s="61" t="str">
        <f t="shared" si="49"/>
        <v>FPUC-FPUC - Large Volume Service-GS-5</v>
      </c>
      <c r="K126" s="62" t="s">
        <v>257</v>
      </c>
      <c r="L126" s="146">
        <v>1.0479041916167664E-2</v>
      </c>
      <c r="M126" s="146">
        <v>9.905702635863968E-2</v>
      </c>
      <c r="N126" s="90" t="str">
        <f>VLOOKUP(E126,'Rate Design (Consol)'!D:F,3,FALSE)</f>
        <v>&gt; 50,000 &lt; = 250,000</v>
      </c>
      <c r="O126" s="237">
        <f t="shared" si="42"/>
        <v>114592</v>
      </c>
      <c r="P126" s="171">
        <f t="shared" si="50"/>
        <v>7</v>
      </c>
      <c r="Q126" s="148">
        <f t="shared" si="64"/>
        <v>84</v>
      </c>
      <c r="R126" s="148">
        <v>84.648699144501009</v>
      </c>
      <c r="S126" s="151">
        <v>90</v>
      </c>
      <c r="T126" s="25"/>
      <c r="U126" s="148">
        <v>802145.87989534321</v>
      </c>
      <c r="V126" s="238">
        <v>0.35365999999999997</v>
      </c>
      <c r="W126" s="25"/>
      <c r="X126" s="131">
        <f>VLOOKUP(CONCATENATE(C126,B126),'G2-7 Summary'!S:W,2,FALSE)</f>
        <v>0.16008</v>
      </c>
      <c r="Y126" s="243">
        <f>VLOOKUP(CONCATENATE(C126,B126),'G2-7 Summary'!S:W,3,FALSE)</f>
        <v>3.4070000000000003E-2</v>
      </c>
      <c r="Z126" s="131">
        <f>VLOOKUP(CONCATENATE(C126,B126),'G2-7 Summary'!S:W,4,FALSE)</f>
        <v>1.0504</v>
      </c>
      <c r="AA126" s="131">
        <f>VLOOKUP(CONCATENATE(C126,B126),'G2-7 Summary'!S:W,5,FALSE)</f>
        <v>0</v>
      </c>
      <c r="AB126" s="25"/>
      <c r="AC126" s="149">
        <f t="shared" si="62"/>
        <v>7560</v>
      </c>
      <c r="AD126" s="149">
        <f t="shared" si="61"/>
        <v>283686.91188378708</v>
      </c>
      <c r="AE126" s="149">
        <f t="shared" si="51"/>
        <v>128407.51245364654</v>
      </c>
      <c r="AF126" s="149"/>
      <c r="AG126" s="149">
        <f t="shared" si="52"/>
        <v>27329.110128034346</v>
      </c>
      <c r="AH126" s="149">
        <f t="shared" si="53"/>
        <v>842574.03224206856</v>
      </c>
      <c r="AI126" s="149">
        <f t="shared" si="54"/>
        <v>0</v>
      </c>
      <c r="AJ126" s="119">
        <f t="shared" si="60"/>
        <v>1289557.5667075366</v>
      </c>
      <c r="AK126" s="27">
        <f t="shared" si="55"/>
        <v>-869903.14237010293</v>
      </c>
      <c r="AL126" s="27">
        <f t="shared" si="56"/>
        <v>419654.42433743365</v>
      </c>
      <c r="AM126" s="244"/>
      <c r="AN126" s="27">
        <f>SUMIFS('Rate Design (Consol)'!K:K,'Rate Design (Consol)'!A:A,K126,'Rate Design (Consol)'!D:D,G126)</f>
        <v>750</v>
      </c>
      <c r="AO126" s="23">
        <f>SUMIFS('Rate Design (Consol)'!L:L,'Rate Design (Consol)'!A:A,K126,'Rate Design (Consol)'!D:D,G126)</f>
        <v>0.52</v>
      </c>
      <c r="AP126" s="24">
        <f t="shared" si="46"/>
        <v>63000</v>
      </c>
      <c r="AQ126" s="24">
        <f t="shared" si="47"/>
        <v>417115.8575455785</v>
      </c>
      <c r="AR126" s="25">
        <f t="shared" si="48"/>
        <v>480115.8575455785</v>
      </c>
      <c r="AS126" s="149"/>
      <c r="AT126" s="53"/>
      <c r="AU126" s="53"/>
      <c r="AV126" s="272"/>
      <c r="AW126" s="199"/>
      <c r="AX126" s="53"/>
      <c r="AY126" s="53"/>
    </row>
    <row r="127" spans="1:51" x14ac:dyDescent="0.25">
      <c r="A127" s="23" t="s">
        <v>164</v>
      </c>
      <c r="B127" s="23" t="s">
        <v>161</v>
      </c>
      <c r="C127" s="23" t="s">
        <v>166</v>
      </c>
      <c r="D127" s="23" t="s">
        <v>91</v>
      </c>
      <c r="E127" s="90" t="str">
        <f>INDEX('Rate Design (Consol)'!$B$48:$B$66,MATCH('G2-8 Summary'!F127,'Rate Design (Consol)'!$C$48:$C$66,0))</f>
        <v>GS-6</v>
      </c>
      <c r="F127" s="23" t="s">
        <v>16</v>
      </c>
      <c r="G127" s="90" t="str">
        <f>INDEX('Rate Design (Consol)'!$D$48:$D$66,MATCH('G2-8 Summary'!H127,'Rate Design (Consol)'!$E$48:$E$66,0))</f>
        <v>GS-6</v>
      </c>
      <c r="H127" s="23" t="str">
        <f t="shared" si="41"/>
        <v>General Service - 6</v>
      </c>
      <c r="I127" s="23" t="str">
        <f t="shared" si="63"/>
        <v>FN_LVS_General Service - 6</v>
      </c>
      <c r="J127" s="61" t="str">
        <f t="shared" si="49"/>
        <v>FPUC-FPUC - Large Volume Service-GS-6</v>
      </c>
      <c r="K127" s="62" t="s">
        <v>257</v>
      </c>
      <c r="L127" s="146">
        <v>2.9940119760479044E-3</v>
      </c>
      <c r="M127" s="146">
        <v>8.089147275506324E-2</v>
      </c>
      <c r="N127" s="90" t="str">
        <f>VLOOKUP(E127,'Rate Design (Consol)'!D:F,3,FALSE)</f>
        <v>&gt; 250,000 &lt; = 500,000</v>
      </c>
      <c r="O127" s="237">
        <f t="shared" si="42"/>
        <v>327522</v>
      </c>
      <c r="P127" s="171">
        <f t="shared" si="50"/>
        <v>2</v>
      </c>
      <c r="Q127" s="148">
        <f t="shared" si="64"/>
        <v>24</v>
      </c>
      <c r="R127" s="148">
        <v>24.185342612714578</v>
      </c>
      <c r="S127" s="151">
        <v>90</v>
      </c>
      <c r="T127" s="25"/>
      <c r="U127" s="148">
        <v>655044.51298805838</v>
      </c>
      <c r="V127" s="238">
        <v>0.35365999999999997</v>
      </c>
      <c r="W127" s="25"/>
      <c r="X127" s="131">
        <f>VLOOKUP(CONCATENATE(C127,B127),'G2-7 Summary'!S:W,2,FALSE)</f>
        <v>0.16008</v>
      </c>
      <c r="Y127" s="243">
        <f>VLOOKUP(CONCATENATE(C127,B127),'G2-7 Summary'!S:W,3,FALSE)</f>
        <v>3.4070000000000003E-2</v>
      </c>
      <c r="Z127" s="131">
        <f>VLOOKUP(CONCATENATE(C127,B127),'G2-7 Summary'!S:W,4,FALSE)</f>
        <v>1.0504</v>
      </c>
      <c r="AA127" s="243">
        <f>VLOOKUP(CONCATENATE(C127,B127),'G2-7 Summary'!S:W,5,FALSE)</f>
        <v>0</v>
      </c>
      <c r="AB127" s="25"/>
      <c r="AC127" s="149">
        <f t="shared" si="62"/>
        <v>2160</v>
      </c>
      <c r="AD127" s="149">
        <f t="shared" si="61"/>
        <v>231663.04246335672</v>
      </c>
      <c r="AE127" s="149">
        <f t="shared" si="51"/>
        <v>104859.52563912839</v>
      </c>
      <c r="AF127" s="149"/>
      <c r="AG127" s="149">
        <f t="shared" si="52"/>
        <v>22317.366557503152</v>
      </c>
      <c r="AH127" s="149">
        <f t="shared" si="53"/>
        <v>688058.75644265651</v>
      </c>
      <c r="AI127" s="149">
        <f t="shared" si="54"/>
        <v>0</v>
      </c>
      <c r="AJ127" s="119">
        <f t="shared" si="60"/>
        <v>1049058.6911026449</v>
      </c>
      <c r="AK127" s="27">
        <f t="shared" si="55"/>
        <v>-710376.12300015963</v>
      </c>
      <c r="AL127" s="27">
        <f t="shared" si="56"/>
        <v>338682.56810248527</v>
      </c>
      <c r="AM127" s="244"/>
      <c r="AN127" s="27">
        <f>SUMIFS('Rate Design (Consol)'!K:K,'Rate Design (Consol)'!A:A,K127,'Rate Design (Consol)'!D:D,G127)</f>
        <v>2500</v>
      </c>
      <c r="AO127" s="23">
        <f>SUMIFS('Rate Design (Consol)'!L:L,'Rate Design (Consol)'!A:A,K127,'Rate Design (Consol)'!D:D,G127)</f>
        <v>0.49419000000000002</v>
      </c>
      <c r="AP127" s="24">
        <f t="shared" si="46"/>
        <v>60000</v>
      </c>
      <c r="AQ127" s="24">
        <f t="shared" si="47"/>
        <v>323716.44787356857</v>
      </c>
      <c r="AR127" s="25">
        <f t="shared" si="48"/>
        <v>383716.44787356857</v>
      </c>
      <c r="AS127" s="149"/>
      <c r="AT127" s="53"/>
      <c r="AU127" s="53"/>
      <c r="AV127" s="272"/>
      <c r="AW127" s="199"/>
      <c r="AX127" s="53"/>
      <c r="AY127" s="53"/>
    </row>
    <row r="128" spans="1:51" x14ac:dyDescent="0.25">
      <c r="A128" s="23" t="s">
        <v>164</v>
      </c>
      <c r="B128" s="23" t="s">
        <v>161</v>
      </c>
      <c r="C128" s="23" t="s">
        <v>166</v>
      </c>
      <c r="D128" s="23" t="s">
        <v>91</v>
      </c>
      <c r="E128" s="90" t="str">
        <f>INDEX('Rate Design (Consol)'!$B$48:$B$66,MATCH('G2-8 Summary'!F128,'Rate Design (Consol)'!$C$48:$C$66,0))</f>
        <v>GS-1</v>
      </c>
      <c r="F128" s="23" t="s">
        <v>11</v>
      </c>
      <c r="G128" s="90" t="str">
        <f>INDEX('Rate Design (Consol)'!$D$48:$D$66,MATCH('G2-8 Summary'!H128,'Rate Design (Consol)'!$E$48:$E$66,0))</f>
        <v>GS-1</v>
      </c>
      <c r="H128" s="23" t="str">
        <f t="shared" si="41"/>
        <v>General Service - 1</v>
      </c>
      <c r="I128" s="23" t="str">
        <f t="shared" si="63"/>
        <v>FN_LVS_General Service - 1</v>
      </c>
      <c r="J128" s="61" t="str">
        <f t="shared" si="49"/>
        <v>FPUC-FPUC - Large Volume Service-GS-1</v>
      </c>
      <c r="K128" s="62" t="s">
        <v>257</v>
      </c>
      <c r="L128" s="146">
        <v>9.4311377245508976E-2</v>
      </c>
      <c r="M128" s="146">
        <v>3.0925724413989062E-3</v>
      </c>
      <c r="N128" s="90" t="str">
        <f>VLOOKUP(E128,'Rate Design (Consol)'!D:F,3,FALSE)</f>
        <v>&lt; = 1000</v>
      </c>
      <c r="O128" s="237">
        <f t="shared" si="42"/>
        <v>398</v>
      </c>
      <c r="P128" s="171">
        <f t="shared" si="50"/>
        <v>63</v>
      </c>
      <c r="Q128" s="148">
        <f t="shared" si="64"/>
        <v>756</v>
      </c>
      <c r="R128" s="148">
        <v>761.83829230050912</v>
      </c>
      <c r="S128" s="151">
        <v>90</v>
      </c>
      <c r="T128" s="25"/>
      <c r="U128" s="148">
        <v>25043.092179696258</v>
      </c>
      <c r="V128" s="238">
        <v>0.35365999999999997</v>
      </c>
      <c r="W128" s="25"/>
      <c r="X128" s="131">
        <f>VLOOKUP(CONCATENATE(C128,B128),'G2-7 Summary'!S:W,2,FALSE)</f>
        <v>0.16008</v>
      </c>
      <c r="Y128" s="243">
        <f>VLOOKUP(CONCATENATE(C128,B128),'G2-7 Summary'!S:W,3,FALSE)</f>
        <v>3.4070000000000003E-2</v>
      </c>
      <c r="Z128" s="131">
        <f>VLOOKUP(CONCATENATE(C128,B128),'G2-7 Summary'!S:W,4,FALSE)</f>
        <v>1.0504</v>
      </c>
      <c r="AA128" s="243">
        <f>VLOOKUP(CONCATENATE(C128,B128),'G2-7 Summary'!S:W,5,FALSE)</f>
        <v>0</v>
      </c>
      <c r="AB128" s="25"/>
      <c r="AC128" s="149">
        <f t="shared" si="62"/>
        <v>68040</v>
      </c>
      <c r="AD128" s="149">
        <f t="shared" si="61"/>
        <v>8856.7399802713771</v>
      </c>
      <c r="AE128" s="149">
        <f t="shared" si="51"/>
        <v>4008.8981961257768</v>
      </c>
      <c r="AF128" s="149"/>
      <c r="AG128" s="149">
        <f t="shared" si="52"/>
        <v>853.21815056225159</v>
      </c>
      <c r="AH128" s="149">
        <f t="shared" si="53"/>
        <v>26305.264025552948</v>
      </c>
      <c r="AI128" s="149">
        <f t="shared" si="54"/>
        <v>0</v>
      </c>
      <c r="AJ128" s="119">
        <f t="shared" si="60"/>
        <v>108064.12035251237</v>
      </c>
      <c r="AK128" s="27">
        <f t="shared" si="55"/>
        <v>-27158.482176115198</v>
      </c>
      <c r="AL128" s="27">
        <f t="shared" si="56"/>
        <v>80905.638176397173</v>
      </c>
      <c r="AM128" s="244"/>
      <c r="AN128" s="27">
        <f>SUMIFS('Rate Design (Consol)'!K:K,'Rate Design (Consol)'!A:A,K128,'Rate Design (Consol)'!D:D,G128)</f>
        <v>40</v>
      </c>
      <c r="AO128" s="23">
        <f>SUMIFS('Rate Design (Consol)'!L:L,'Rate Design (Consol)'!A:A,K128,'Rate Design (Consol)'!D:D,G128)</f>
        <v>0.70123999999999997</v>
      </c>
      <c r="AP128" s="24">
        <f t="shared" si="46"/>
        <v>30240</v>
      </c>
      <c r="AQ128" s="24">
        <f t="shared" si="47"/>
        <v>17561.217960090202</v>
      </c>
      <c r="AR128" s="25">
        <f t="shared" si="48"/>
        <v>47801.217960090202</v>
      </c>
      <c r="AS128" s="149"/>
      <c r="AT128" s="53"/>
      <c r="AU128" s="53"/>
      <c r="AV128" s="272"/>
      <c r="AW128" s="199"/>
      <c r="AX128" s="53"/>
      <c r="AY128" s="53"/>
    </row>
    <row r="129" spans="1:51" x14ac:dyDescent="0.25">
      <c r="A129" s="23" t="s">
        <v>164</v>
      </c>
      <c r="B129" s="23" t="s">
        <v>162</v>
      </c>
      <c r="C129" s="23" t="s">
        <v>166</v>
      </c>
      <c r="D129" s="23" t="s">
        <v>96</v>
      </c>
      <c r="E129" s="90" t="str">
        <f>INDEX('Rate Design (Consol)'!$B$48:$B$66,MATCH('G2-8 Summary'!F129,'Rate Design (Consol)'!$C$48:$C$66,0))</f>
        <v>GS-2</v>
      </c>
      <c r="F129" s="23" t="s">
        <v>12</v>
      </c>
      <c r="G129" s="90" t="str">
        <f>INDEX('Rate Design (Consol)'!$D$48:$D$66,MATCH('G2-8 Summary'!H129,'Rate Design (Consol)'!$E$48:$E$66,0))</f>
        <v>GS-2</v>
      </c>
      <c r="H129" s="23" t="str">
        <f t="shared" si="41"/>
        <v>General Service - 2</v>
      </c>
      <c r="I129" s="23" t="str">
        <f t="shared" si="63"/>
        <v>FN_LVTS_General Service - 2</v>
      </c>
      <c r="J129" s="61" t="str">
        <f t="shared" si="49"/>
        <v>FPUC-FPUC - Large Volume Transportation Service-GS-2</v>
      </c>
      <c r="K129" s="62" t="s">
        <v>257</v>
      </c>
      <c r="L129" s="146">
        <v>9.4542659492697925E-2</v>
      </c>
      <c r="M129" s="146">
        <v>1.2932021748922466E-2</v>
      </c>
      <c r="N129" s="90" t="str">
        <f>VLOOKUP(E129,'Rate Design (Consol)'!D:F,3,FALSE)</f>
        <v>&gt; 1000 &lt; = 5,000</v>
      </c>
      <c r="O129" s="237">
        <f t="shared" si="42"/>
        <v>3378</v>
      </c>
      <c r="P129" s="171">
        <f t="shared" si="50"/>
        <v>123</v>
      </c>
      <c r="Q129" s="148">
        <f t="shared" si="64"/>
        <v>1476</v>
      </c>
      <c r="R129" s="148">
        <v>1475.8936324132667</v>
      </c>
      <c r="S129" s="151">
        <v>90</v>
      </c>
      <c r="T129" s="25"/>
      <c r="U129" s="148">
        <v>415456.79071100376</v>
      </c>
      <c r="V129" s="238">
        <v>0.35365999999999997</v>
      </c>
      <c r="W129" s="25"/>
      <c r="X129" s="131">
        <f>VLOOKUP(CONCATENATE(C129,B129),'G2-7 Summary'!S:W,2,FALSE)</f>
        <v>0.16008</v>
      </c>
      <c r="Y129" s="243">
        <f>VLOOKUP(CONCATENATE(C129,B129),'G2-7 Summary'!S:W,3,FALSE)</f>
        <v>3.407000000000001E-2</v>
      </c>
      <c r="Z129" s="131">
        <f>VLOOKUP(CONCATENATE(C129,B129),'G2-7 Summary'!S:W,4,FALSE)</f>
        <v>0</v>
      </c>
      <c r="AA129" s="243">
        <f>VLOOKUP(CONCATENATE(C129,B129),'G2-7 Summary'!S:W,5,FALSE)</f>
        <v>0.15740000000000004</v>
      </c>
      <c r="AB129" s="25"/>
      <c r="AC129" s="149">
        <f t="shared" si="62"/>
        <v>132840</v>
      </c>
      <c r="AD129" s="149">
        <f t="shared" si="61"/>
        <v>146930.44860285358</v>
      </c>
      <c r="AE129" s="149">
        <f t="shared" si="51"/>
        <v>66506.323057017478</v>
      </c>
      <c r="AF129" s="149"/>
      <c r="AG129" s="149">
        <f t="shared" si="52"/>
        <v>14154.612859523902</v>
      </c>
      <c r="AH129" s="149">
        <f t="shared" si="53"/>
        <v>0</v>
      </c>
      <c r="AI129" s="149">
        <f t="shared" si="54"/>
        <v>65392.898857912012</v>
      </c>
      <c r="AJ129" s="119">
        <f t="shared" si="60"/>
        <v>425824.28337730694</v>
      </c>
      <c r="AK129" s="27">
        <f t="shared" si="55"/>
        <v>-79547.511717435918</v>
      </c>
      <c r="AL129" s="27">
        <f t="shared" si="56"/>
        <v>346276.77165987104</v>
      </c>
      <c r="AM129" s="244"/>
      <c r="AN129" s="27">
        <f>SUMIFS('Rate Design (Consol)'!K:K,'Rate Design (Consol)'!A:A,K129,'Rate Design (Consol)'!D:D,G129)</f>
        <v>70</v>
      </c>
      <c r="AO129" s="23">
        <f>SUMIFS('Rate Design (Consol)'!L:L,'Rate Design (Consol)'!A:A,K129,'Rate Design (Consol)'!D:D,G129)</f>
        <v>0.69901999999999997</v>
      </c>
      <c r="AP129" s="24">
        <f t="shared" si="46"/>
        <v>103320</v>
      </c>
      <c r="AQ129" s="24">
        <f t="shared" si="47"/>
        <v>290412.60584280582</v>
      </c>
      <c r="AR129" s="25">
        <f t="shared" si="48"/>
        <v>393732.60584280582</v>
      </c>
      <c r="AS129" s="149"/>
      <c r="AT129" s="53"/>
      <c r="AU129" s="53"/>
      <c r="AV129" s="272"/>
      <c r="AW129" s="199"/>
      <c r="AX129" s="53"/>
      <c r="AY129" s="53"/>
    </row>
    <row r="130" spans="1:51" x14ac:dyDescent="0.25">
      <c r="A130" s="23" t="s">
        <v>164</v>
      </c>
      <c r="B130" s="23" t="s">
        <v>162</v>
      </c>
      <c r="C130" s="23" t="s">
        <v>166</v>
      </c>
      <c r="D130" s="23" t="s">
        <v>96</v>
      </c>
      <c r="E130" s="90" t="str">
        <f>INDEX('Rate Design (Consol)'!$B$48:$B$66,MATCH('G2-8 Summary'!F130,'Rate Design (Consol)'!$C$48:$C$66,0))</f>
        <v>GS-3</v>
      </c>
      <c r="F130" s="23" t="s">
        <v>13</v>
      </c>
      <c r="G130" s="90" t="str">
        <f>INDEX('Rate Design (Consol)'!$D$48:$D$66,MATCH('G2-8 Summary'!H130,'Rate Design (Consol)'!$E$48:$E$66,0))</f>
        <v>GS-3</v>
      </c>
      <c r="H130" s="23" t="str">
        <f t="shared" si="41"/>
        <v>General Service - 3</v>
      </c>
      <c r="I130" s="23" t="str">
        <f t="shared" si="63"/>
        <v>FN_LVTS_General Service - 3</v>
      </c>
      <c r="J130" s="61" t="str">
        <f t="shared" si="49"/>
        <v>FPUC-FPUC - Large Volume Transportation Service-GS-3</v>
      </c>
      <c r="K130" s="62" t="s">
        <v>257</v>
      </c>
      <c r="L130" s="146">
        <v>0.28977709454265949</v>
      </c>
      <c r="M130" s="146">
        <v>8.5196123007594313E-2</v>
      </c>
      <c r="N130" s="90" t="str">
        <f>VLOOKUP(E130,'Rate Design (Consol)'!D:F,3,FALSE)</f>
        <v>&gt; 5,000 &lt; = 10,000</v>
      </c>
      <c r="O130" s="237">
        <f t="shared" si="42"/>
        <v>7260</v>
      </c>
      <c r="P130" s="171">
        <f t="shared" si="50"/>
        <v>377</v>
      </c>
      <c r="Q130" s="148">
        <f t="shared" si="64"/>
        <v>4524</v>
      </c>
      <c r="R130" s="148">
        <v>4523.6739790227766</v>
      </c>
      <c r="S130" s="151">
        <v>90</v>
      </c>
      <c r="T130" s="25"/>
      <c r="U130" s="148">
        <v>2737028.1718482482</v>
      </c>
      <c r="V130" s="238">
        <v>0.35365999999999997</v>
      </c>
      <c r="W130" s="25"/>
      <c r="X130" s="131">
        <f>VLOOKUP(CONCATENATE(C130,B130),'G2-7 Summary'!S:W,2,FALSE)</f>
        <v>0.16008</v>
      </c>
      <c r="Y130" s="243">
        <f>VLOOKUP(CONCATENATE(C130,B130),'G2-7 Summary'!S:W,3,FALSE)</f>
        <v>3.407000000000001E-2</v>
      </c>
      <c r="Z130" s="131">
        <f>VLOOKUP(CONCATENATE(C130,B130),'G2-7 Summary'!S:W,4,FALSE)</f>
        <v>0</v>
      </c>
      <c r="AA130" s="243">
        <f>VLOOKUP(CONCATENATE(C130,B130),'G2-7 Summary'!S:W,5,FALSE)</f>
        <v>0.15740000000000004</v>
      </c>
      <c r="AB130" s="25"/>
      <c r="AC130" s="149">
        <f t="shared" si="62"/>
        <v>407160</v>
      </c>
      <c r="AD130" s="149">
        <f t="shared" si="61"/>
        <v>967977.38325585146</v>
      </c>
      <c r="AE130" s="149">
        <f t="shared" si="51"/>
        <v>438143.46974946756</v>
      </c>
      <c r="AF130" s="149"/>
      <c r="AG130" s="149">
        <f t="shared" si="52"/>
        <v>93250.549814869839</v>
      </c>
      <c r="AH130" s="149">
        <f t="shared" si="53"/>
        <v>0</v>
      </c>
      <c r="AI130" s="149">
        <f t="shared" si="54"/>
        <v>430808.23424891441</v>
      </c>
      <c r="AJ130" s="119">
        <f t="shared" si="60"/>
        <v>2337339.6370691033</v>
      </c>
      <c r="AK130" s="27">
        <f t="shared" si="55"/>
        <v>-524058.78406378423</v>
      </c>
      <c r="AL130" s="27">
        <f t="shared" si="56"/>
        <v>1813280.8530053191</v>
      </c>
      <c r="AM130" s="244"/>
      <c r="AN130" s="27">
        <f>SUMIFS('Rate Design (Consol)'!K:K,'Rate Design (Consol)'!A:A,K130,'Rate Design (Consol)'!D:D,G130)</f>
        <v>150</v>
      </c>
      <c r="AO130" s="23">
        <f>SUMIFS('Rate Design (Consol)'!L:L,'Rate Design (Consol)'!A:A,K130,'Rate Design (Consol)'!D:D,G130)</f>
        <v>0.62475000000000003</v>
      </c>
      <c r="AP130" s="24">
        <f t="shared" si="46"/>
        <v>678600</v>
      </c>
      <c r="AQ130" s="24">
        <f t="shared" si="47"/>
        <v>1709958.3503621931</v>
      </c>
      <c r="AR130" s="25">
        <f t="shared" si="48"/>
        <v>2388558.3503621928</v>
      </c>
      <c r="AS130" s="149"/>
      <c r="AT130" s="53"/>
      <c r="AU130" s="53"/>
      <c r="AV130" s="272"/>
      <c r="AW130" s="199"/>
      <c r="AX130" s="53"/>
      <c r="AY130" s="53"/>
    </row>
    <row r="131" spans="1:51" x14ac:dyDescent="0.25">
      <c r="A131" s="23" t="s">
        <v>164</v>
      </c>
      <c r="B131" s="23" t="s">
        <v>162</v>
      </c>
      <c r="C131" s="23" t="s">
        <v>166</v>
      </c>
      <c r="D131" s="23" t="s">
        <v>96</v>
      </c>
      <c r="E131" s="90" t="str">
        <f>INDEX('Rate Design (Consol)'!$B$48:$B$66,MATCH('G2-8 Summary'!F131,'Rate Design (Consol)'!$C$48:$C$66,0))</f>
        <v>GS-4</v>
      </c>
      <c r="F131" s="23" t="s">
        <v>14</v>
      </c>
      <c r="G131" s="90" t="str">
        <f>INDEX('Rate Design (Consol)'!$D$48:$D$66,MATCH('G2-8 Summary'!H131,'Rate Design (Consol)'!$E$48:$E$66,0))</f>
        <v>GS-4</v>
      </c>
      <c r="H131" s="23" t="str">
        <f t="shared" si="41"/>
        <v>General Service - 4</v>
      </c>
      <c r="I131" s="23" t="str">
        <f t="shared" si="63"/>
        <v>FN_LVTS_General Service - 4</v>
      </c>
      <c r="J131" s="61" t="str">
        <f t="shared" si="49"/>
        <v>FPUC-FPUC - Large Volume Transportation Service-GS-4</v>
      </c>
      <c r="K131" s="62" t="s">
        <v>257</v>
      </c>
      <c r="L131" s="146">
        <v>0.54265949269792468</v>
      </c>
      <c r="M131" s="146">
        <v>0.39683317210187879</v>
      </c>
      <c r="N131" s="90" t="str">
        <f>VLOOKUP(E131,'Rate Design (Consol)'!D:F,3,FALSE)</f>
        <v>&gt; 10,000 &lt; = 50,000</v>
      </c>
      <c r="O131" s="237">
        <f t="shared" si="42"/>
        <v>18058</v>
      </c>
      <c r="P131" s="171">
        <f t="shared" si="50"/>
        <v>706</v>
      </c>
      <c r="Q131" s="148">
        <f>ROUND(R131/12,0)*12</f>
        <v>8472</v>
      </c>
      <c r="R131" s="148">
        <v>8471.3894673476934</v>
      </c>
      <c r="S131" s="151">
        <v>90</v>
      </c>
      <c r="T131" s="25"/>
      <c r="U131" s="148">
        <v>12748744.112099193</v>
      </c>
      <c r="V131" s="238">
        <v>0.35365999999999997</v>
      </c>
      <c r="W131" s="25"/>
      <c r="X131" s="131">
        <f>VLOOKUP(CONCATENATE(C131,B131),'G2-7 Summary'!S:W,2,FALSE)</f>
        <v>0.16008</v>
      </c>
      <c r="Y131" s="243">
        <f>VLOOKUP(CONCATENATE(C131,B131),'G2-7 Summary'!S:W,3,FALSE)</f>
        <v>3.407000000000001E-2</v>
      </c>
      <c r="Z131" s="131">
        <f>VLOOKUP(CONCATENATE(C131,B131),'G2-7 Summary'!S:W,4,FALSE)</f>
        <v>0</v>
      </c>
      <c r="AA131" s="243">
        <f>VLOOKUP(CONCATENATE(C131,B131),'G2-7 Summary'!S:W,5,FALSE)</f>
        <v>0.15740000000000004</v>
      </c>
      <c r="AB131" s="25"/>
      <c r="AC131" s="149">
        <f t="shared" si="62"/>
        <v>762480</v>
      </c>
      <c r="AD131" s="149">
        <f t="shared" si="61"/>
        <v>4508720.842685</v>
      </c>
      <c r="AE131" s="149">
        <f t="shared" si="51"/>
        <v>2040818.9574648389</v>
      </c>
      <c r="AF131" s="149"/>
      <c r="AG131" s="149">
        <f t="shared" si="52"/>
        <v>434349.71189921966</v>
      </c>
      <c r="AH131" s="149">
        <f t="shared" si="53"/>
        <v>0</v>
      </c>
      <c r="AI131" s="149">
        <f t="shared" si="54"/>
        <v>2006652.3232444136</v>
      </c>
      <c r="AJ131" s="119">
        <f t="shared" si="60"/>
        <v>9753021.8352934737</v>
      </c>
      <c r="AK131" s="27">
        <f t="shared" si="55"/>
        <v>-2441002.0351436334</v>
      </c>
      <c r="AL131" s="27">
        <f t="shared" si="56"/>
        <v>7312019.8001498403</v>
      </c>
      <c r="AM131" s="244"/>
      <c r="AN131" s="27">
        <f>SUMIFS('Rate Design (Consol)'!K:K,'Rate Design (Consol)'!A:A,K131,'Rate Design (Consol)'!D:D,G131)</f>
        <v>275</v>
      </c>
      <c r="AO131" s="23">
        <f>SUMIFS('Rate Design (Consol)'!L:L,'Rate Design (Consol)'!A:A,K131,'Rate Design (Consol)'!D:D,G131)</f>
        <v>0.59182999999999997</v>
      </c>
      <c r="AP131" s="24">
        <f t="shared" si="46"/>
        <v>2329800</v>
      </c>
      <c r="AQ131" s="24">
        <f t="shared" si="47"/>
        <v>7545089.2278636647</v>
      </c>
      <c r="AR131" s="25">
        <f t="shared" si="48"/>
        <v>9874889.2278636657</v>
      </c>
      <c r="AS131" s="149"/>
      <c r="AT131" s="53"/>
      <c r="AU131" s="53"/>
      <c r="AV131" s="272"/>
      <c r="AW131" s="199"/>
      <c r="AX131" s="53"/>
      <c r="AY131" s="53"/>
    </row>
    <row r="132" spans="1:51" x14ac:dyDescent="0.25">
      <c r="A132" s="23" t="s">
        <v>164</v>
      </c>
      <c r="B132" s="23" t="s">
        <v>162</v>
      </c>
      <c r="C132" s="23" t="s">
        <v>166</v>
      </c>
      <c r="D132" s="23" t="s">
        <v>96</v>
      </c>
      <c r="E132" s="90" t="str">
        <f>INDEX('Rate Design (Consol)'!$B$48:$B$66,MATCH('G2-8 Summary'!F132,'Rate Design (Consol)'!$C$48:$C$66,0))</f>
        <v>GS-5</v>
      </c>
      <c r="F132" s="23" t="s">
        <v>15</v>
      </c>
      <c r="G132" s="90" t="str">
        <f>INDEX('Rate Design (Consol)'!$D$48:$D$66,MATCH('G2-8 Summary'!H132,'Rate Design (Consol)'!$E$48:$E$66,0))</f>
        <v>GS-5</v>
      </c>
      <c r="H132" s="23" t="str">
        <f t="shared" si="41"/>
        <v>General Service - 5</v>
      </c>
      <c r="I132" s="23" t="str">
        <f t="shared" si="63"/>
        <v>FN_LVTS_General Service - 5</v>
      </c>
      <c r="J132" s="61" t="str">
        <f t="shared" si="49"/>
        <v>FPUC-FPUC - Large Volume Transportation Service-GS-5</v>
      </c>
      <c r="K132" s="62" t="s">
        <v>257</v>
      </c>
      <c r="L132" s="146">
        <v>4.2275172943889314E-2</v>
      </c>
      <c r="M132" s="146">
        <v>0.17224433265757691</v>
      </c>
      <c r="N132" s="90" t="str">
        <f>VLOOKUP(E132,'Rate Design (Consol)'!D:F,3,FALSE)</f>
        <v>&gt; 50,000 &lt; = 250,000</v>
      </c>
      <c r="O132" s="237">
        <f t="shared" si="42"/>
        <v>100610</v>
      </c>
      <c r="P132" s="171">
        <f t="shared" si="50"/>
        <v>55</v>
      </c>
      <c r="Q132" s="148">
        <f>ROUND(R132/12,0)*12</f>
        <v>660</v>
      </c>
      <c r="R132" s="148">
        <v>659.95243725796468</v>
      </c>
      <c r="S132" s="151">
        <v>90</v>
      </c>
      <c r="T132" s="25"/>
      <c r="U132" s="148">
        <v>5533556.8601280795</v>
      </c>
      <c r="V132" s="238">
        <v>0.35365999999999997</v>
      </c>
      <c r="W132" s="25"/>
      <c r="X132" s="131">
        <f>VLOOKUP(CONCATENATE(C132,B132),'G2-7 Summary'!S:W,2,FALSE)</f>
        <v>0.16008</v>
      </c>
      <c r="Y132" s="243">
        <f>VLOOKUP(CONCATENATE(C132,B132),'G2-7 Summary'!S:W,3,FALSE)</f>
        <v>3.407000000000001E-2</v>
      </c>
      <c r="Z132" s="131">
        <f>VLOOKUP(CONCATENATE(C132,B132),'G2-7 Summary'!S:W,4,FALSE)</f>
        <v>0</v>
      </c>
      <c r="AA132" s="243">
        <f>VLOOKUP(CONCATENATE(C132,B132),'G2-7 Summary'!S:W,5,FALSE)</f>
        <v>0.15740000000000004</v>
      </c>
      <c r="AB132" s="25"/>
      <c r="AC132" s="149">
        <f t="shared" si="62"/>
        <v>59400</v>
      </c>
      <c r="AD132" s="149">
        <f t="shared" si="61"/>
        <v>1956997.7191528964</v>
      </c>
      <c r="AE132" s="149">
        <f t="shared" si="51"/>
        <v>885811.78216930293</v>
      </c>
      <c r="AF132" s="149"/>
      <c r="AG132" s="149">
        <f t="shared" si="52"/>
        <v>188528.28222456374</v>
      </c>
      <c r="AH132" s="149">
        <f t="shared" si="53"/>
        <v>0</v>
      </c>
      <c r="AI132" s="149">
        <f t="shared" si="54"/>
        <v>870981.84978415992</v>
      </c>
      <c r="AJ132" s="119">
        <f t="shared" ref="AJ132:AJ146" si="74">SUM(AC132:AI132)</f>
        <v>3961719.6333309235</v>
      </c>
      <c r="AK132" s="27">
        <f t="shared" si="55"/>
        <v>-1059510.1320087237</v>
      </c>
      <c r="AL132" s="27">
        <f t="shared" si="56"/>
        <v>2902209.5013221996</v>
      </c>
      <c r="AM132" s="244"/>
      <c r="AN132" s="27">
        <f>SUMIFS('Rate Design (Consol)'!K:K,'Rate Design (Consol)'!A:A,K132,'Rate Design (Consol)'!D:D,G132)</f>
        <v>750</v>
      </c>
      <c r="AO132" s="23">
        <f>SUMIFS('Rate Design (Consol)'!L:L,'Rate Design (Consol)'!A:A,K132,'Rate Design (Consol)'!D:D,G132)</f>
        <v>0.52</v>
      </c>
      <c r="AP132" s="24">
        <f t="shared" si="46"/>
        <v>495000</v>
      </c>
      <c r="AQ132" s="24">
        <f t="shared" si="47"/>
        <v>2877449.5672666016</v>
      </c>
      <c r="AR132" s="25">
        <f t="shared" si="48"/>
        <v>3372449.5672666016</v>
      </c>
      <c r="AS132" s="149"/>
      <c r="AT132" s="53"/>
      <c r="AU132" s="53"/>
      <c r="AV132" s="272"/>
      <c r="AW132" s="199"/>
      <c r="AX132" s="53"/>
      <c r="AY132" s="53"/>
    </row>
    <row r="133" spans="1:51" x14ac:dyDescent="0.25">
      <c r="A133" s="23" t="s">
        <v>164</v>
      </c>
      <c r="B133" s="23" t="s">
        <v>162</v>
      </c>
      <c r="C133" s="23" t="s">
        <v>166</v>
      </c>
      <c r="D133" s="23" t="s">
        <v>96</v>
      </c>
      <c r="E133" s="90" t="str">
        <f>INDEX('Rate Design (Consol)'!$B$48:$B$66,MATCH('G2-8 Summary'!F133,'Rate Design (Consol)'!$C$48:$C$66,0))</f>
        <v>GS-6</v>
      </c>
      <c r="F133" s="23" t="s">
        <v>16</v>
      </c>
      <c r="G133" s="90" t="str">
        <f>INDEX('Rate Design (Consol)'!$D$48:$D$66,MATCH('G2-8 Summary'!H133,'Rate Design (Consol)'!$E$48:$E$66,0))</f>
        <v>GS-6</v>
      </c>
      <c r="H133" s="23" t="str">
        <f t="shared" ref="H133:H162" si="75">F133</f>
        <v>General Service - 6</v>
      </c>
      <c r="I133" s="23" t="str">
        <f t="shared" si="63"/>
        <v>FN_LVTS_General Service - 6</v>
      </c>
      <c r="J133" s="61" t="str">
        <f t="shared" si="49"/>
        <v>FPUC-FPUC - Large Volume Transportation Service-GS-6</v>
      </c>
      <c r="K133" s="62" t="s">
        <v>257</v>
      </c>
      <c r="L133" s="146">
        <v>1.0760953112990008E-2</v>
      </c>
      <c r="M133" s="146">
        <v>0.14985803505225567</v>
      </c>
      <c r="N133" s="90" t="str">
        <f>VLOOKUP(E133,'Rate Design (Consol)'!D:F,3,FALSE)</f>
        <v>&gt; 250,000 &lt; = 500,000</v>
      </c>
      <c r="O133" s="237">
        <f t="shared" ref="O133:O162" si="76">ROUND(U133/P133,0)</f>
        <v>343884</v>
      </c>
      <c r="P133" s="171">
        <f t="shared" ref="P133:P149" si="77">ROUND(Q133/12,0)</f>
        <v>14</v>
      </c>
      <c r="Q133" s="148">
        <f>ROUND(R133/12,0)*12</f>
        <v>168</v>
      </c>
      <c r="R133" s="148">
        <v>167.98789312020921</v>
      </c>
      <c r="S133" s="151">
        <v>90</v>
      </c>
      <c r="T133" s="25"/>
      <c r="U133" s="148">
        <v>4814370.0585915651</v>
      </c>
      <c r="V133" s="238">
        <v>0.35365999999999997</v>
      </c>
      <c r="W133" s="25"/>
      <c r="X133" s="131">
        <f>VLOOKUP(CONCATENATE(C133,B133),'G2-7 Summary'!S:W,2,FALSE)</f>
        <v>0.16008</v>
      </c>
      <c r="Y133" s="243">
        <f>VLOOKUP(CONCATENATE(C133,B133),'G2-7 Summary'!S:W,3,FALSE)</f>
        <v>3.407000000000001E-2</v>
      </c>
      <c r="Z133" s="131">
        <f>VLOOKUP(CONCATENATE(C133,B133),'G2-7 Summary'!S:W,4,FALSE)</f>
        <v>0</v>
      </c>
      <c r="AA133" s="243">
        <f>VLOOKUP(CONCATENATE(C133,B133),'G2-7 Summary'!S:W,5,FALSE)</f>
        <v>0.15740000000000004</v>
      </c>
      <c r="AB133" s="25"/>
      <c r="AC133" s="149">
        <f t="shared" ref="AC133:AC162" si="78">S133*P133*12</f>
        <v>15120</v>
      </c>
      <c r="AD133" s="149">
        <f t="shared" ref="AD133:AD146" si="79">U133*V133</f>
        <v>1702650.1149214928</v>
      </c>
      <c r="AE133" s="149">
        <f t="shared" ref="AE133:AE146" si="80">X133*$U133</f>
        <v>770684.35897933773</v>
      </c>
      <c r="AF133" s="149"/>
      <c r="AG133" s="149">
        <f t="shared" ref="AG133:AG146" si="81">Y133*$U133</f>
        <v>164025.58789621468</v>
      </c>
      <c r="AH133" s="149">
        <f t="shared" ref="AH133:AH146" si="82">Z133*$U133</f>
        <v>0</v>
      </c>
      <c r="AI133" s="149">
        <f t="shared" ref="AI133:AI146" si="83">AA133*$U133</f>
        <v>757781.84722231259</v>
      </c>
      <c r="AJ133" s="119">
        <f t="shared" si="74"/>
        <v>3410261.9090193575</v>
      </c>
      <c r="AK133" s="27">
        <f t="shared" ref="AK133:AK146" si="84">-SUM(AG133:AI133)</f>
        <v>-921807.43511852727</v>
      </c>
      <c r="AL133" s="27">
        <f t="shared" ref="AL133:AL146" si="85">AK133+AJ133</f>
        <v>2488454.4739008304</v>
      </c>
      <c r="AM133" s="244"/>
      <c r="AN133" s="27">
        <f>SUMIFS('Rate Design (Consol)'!K:K,'Rate Design (Consol)'!A:A,K133,'Rate Design (Consol)'!D:D,G133)</f>
        <v>2500</v>
      </c>
      <c r="AO133" s="23">
        <f>SUMIFS('Rate Design (Consol)'!L:L,'Rate Design (Consol)'!A:A,K133,'Rate Design (Consol)'!D:D,G133)</f>
        <v>0.49419000000000002</v>
      </c>
      <c r="AP133" s="24">
        <f t="shared" ref="AP133:AP192" si="86">Q133*AN133</f>
        <v>420000</v>
      </c>
      <c r="AQ133" s="24">
        <f t="shared" ref="AQ133:AQ165" si="87">U133*AO133</f>
        <v>2379213.5392553657</v>
      </c>
      <c r="AR133" s="25">
        <f t="shared" ref="AR133:AR162" si="88">Q133*AN133+U133*AO133</f>
        <v>2799213.5392553657</v>
      </c>
      <c r="AS133" s="149"/>
      <c r="AT133" s="53"/>
      <c r="AU133" s="53"/>
      <c r="AV133" s="272"/>
      <c r="AW133" s="199"/>
      <c r="AX133" s="53"/>
      <c r="AY133" s="53"/>
    </row>
    <row r="134" spans="1:51" x14ac:dyDescent="0.25">
      <c r="A134" s="23" t="s">
        <v>164</v>
      </c>
      <c r="B134" s="23" t="s">
        <v>162</v>
      </c>
      <c r="C134" s="23" t="s">
        <v>166</v>
      </c>
      <c r="D134" s="23" t="s">
        <v>96</v>
      </c>
      <c r="E134" s="90" t="str">
        <f>INDEX('Rate Design (Consol)'!$B$48:$B$66,MATCH('G2-8 Summary'!F134,'Rate Design (Consol)'!$C$48:$C$66,0))</f>
        <v>GS-7</v>
      </c>
      <c r="F134" s="23" t="s">
        <v>17</v>
      </c>
      <c r="G134" s="90" t="str">
        <f>INDEX('Rate Design (Consol)'!$D$48:$D$66,MATCH('G2-8 Summary'!H134,'Rate Design (Consol)'!$E$48:$E$66,0))</f>
        <v>GS-7</v>
      </c>
      <c r="H134" s="23" t="str">
        <f t="shared" si="75"/>
        <v>General Service - 7</v>
      </c>
      <c r="I134" s="23" t="str">
        <f t="shared" si="63"/>
        <v>FN_LVTS_General Service - 7</v>
      </c>
      <c r="J134" s="61" t="str">
        <f t="shared" ref="J134:J162" si="89">CONCATENATE(A134,"-",D134,"-",G134)</f>
        <v>FPUC-FPUC - Large Volume Transportation Service-GS-7</v>
      </c>
      <c r="K134" s="62" t="s">
        <v>257</v>
      </c>
      <c r="L134" s="146">
        <v>2.3059185242121443E-3</v>
      </c>
      <c r="M134" s="146">
        <v>6.2383955931193176E-2</v>
      </c>
      <c r="N134" s="90" t="str">
        <f>VLOOKUP(E134,'Rate Design (Consol)'!D:F,3,FALSE)</f>
        <v>&gt; 500,000 &lt; = 1,000,000</v>
      </c>
      <c r="O134" s="237">
        <f t="shared" si="76"/>
        <v>668053</v>
      </c>
      <c r="P134" s="171">
        <f t="shared" si="77"/>
        <v>3</v>
      </c>
      <c r="Q134" s="148">
        <f>ROUND(R134/12,0)*12</f>
        <v>36</v>
      </c>
      <c r="R134" s="148">
        <v>35.997405668616253</v>
      </c>
      <c r="S134" s="151">
        <v>90</v>
      </c>
      <c r="T134" s="25"/>
      <c r="U134" s="148">
        <v>2004159.8000861509</v>
      </c>
      <c r="V134" s="238">
        <v>0.35365999999999997</v>
      </c>
      <c r="W134" s="25"/>
      <c r="X134" s="131">
        <f>VLOOKUP(CONCATENATE(C134,B134),'G2-7 Summary'!S:W,2,FALSE)</f>
        <v>0.16008</v>
      </c>
      <c r="Y134" s="243">
        <f>VLOOKUP(CONCATENATE(C134,B134),'G2-7 Summary'!S:W,3,FALSE)</f>
        <v>3.407000000000001E-2</v>
      </c>
      <c r="Z134" s="131">
        <f>VLOOKUP(CONCATENATE(C134,B134),'G2-7 Summary'!S:W,4,FALSE)</f>
        <v>0</v>
      </c>
      <c r="AA134" s="243">
        <f>VLOOKUP(CONCATENATE(C134,B134),'G2-7 Summary'!S:W,5,FALSE)</f>
        <v>0.15740000000000004</v>
      </c>
      <c r="AB134" s="25"/>
      <c r="AC134" s="149">
        <f t="shared" si="78"/>
        <v>3240</v>
      </c>
      <c r="AD134" s="149">
        <f t="shared" si="79"/>
        <v>708791.15489846806</v>
      </c>
      <c r="AE134" s="149">
        <f t="shared" si="80"/>
        <v>320825.90079779102</v>
      </c>
      <c r="AF134" s="149"/>
      <c r="AG134" s="149">
        <f t="shared" si="81"/>
        <v>68281.724388935181</v>
      </c>
      <c r="AH134" s="149">
        <f t="shared" si="82"/>
        <v>0</v>
      </c>
      <c r="AI134" s="149">
        <f t="shared" si="83"/>
        <v>315454.75253356021</v>
      </c>
      <c r="AJ134" s="119">
        <f t="shared" si="74"/>
        <v>1416593.5326187543</v>
      </c>
      <c r="AK134" s="27">
        <f t="shared" si="84"/>
        <v>-383736.47692249541</v>
      </c>
      <c r="AL134" s="27">
        <f t="shared" si="85"/>
        <v>1032857.0556962589</v>
      </c>
      <c r="AM134" s="244"/>
      <c r="AN134" s="27">
        <f>SUMIFS('Rate Design (Consol)'!K:K,'Rate Design (Consol)'!A:A,K134,'Rate Design (Consol)'!D:D,G134)</f>
        <v>4500</v>
      </c>
      <c r="AO134" s="23">
        <f>SUMIFS('Rate Design (Consol)'!L:L,'Rate Design (Consol)'!A:A,K134,'Rate Design (Consol)'!D:D,G134)</f>
        <v>0.38796999999999998</v>
      </c>
      <c r="AP134" s="24">
        <f t="shared" si="86"/>
        <v>162000</v>
      </c>
      <c r="AQ134" s="24">
        <f t="shared" si="87"/>
        <v>777553.87763942394</v>
      </c>
      <c r="AR134" s="25">
        <f t="shared" si="88"/>
        <v>939553.87763942394</v>
      </c>
      <c r="AS134" s="149"/>
      <c r="AT134" s="53"/>
      <c r="AU134" s="53"/>
      <c r="AV134" s="272"/>
      <c r="AW134" s="199"/>
      <c r="AX134" s="53"/>
      <c r="AY134" s="53"/>
    </row>
    <row r="135" spans="1:51" x14ac:dyDescent="0.25">
      <c r="A135" s="23" t="s">
        <v>164</v>
      </c>
      <c r="B135" s="23" t="s">
        <v>162</v>
      </c>
      <c r="C135" s="23" t="s">
        <v>166</v>
      </c>
      <c r="D135" s="23" t="s">
        <v>96</v>
      </c>
      <c r="E135" s="90" t="str">
        <f>INDEX('Rate Design (Consol)'!$B$48:$B$66,MATCH('G2-8 Summary'!F135,'Rate Design (Consol)'!$C$48:$C$66,0))</f>
        <v>GS-1</v>
      </c>
      <c r="F135" s="23" t="s">
        <v>11</v>
      </c>
      <c r="G135" s="90" t="str">
        <f>INDEX('Rate Design (Consol)'!$D$48:$D$66,MATCH('G2-8 Summary'!H135,'Rate Design (Consol)'!$E$48:$E$66,0))</f>
        <v>GS-1</v>
      </c>
      <c r="H135" s="23" t="str">
        <f t="shared" si="75"/>
        <v>General Service - 1</v>
      </c>
      <c r="I135" s="23" t="str">
        <f t="shared" si="63"/>
        <v>FN_LVTS_General Service - 1</v>
      </c>
      <c r="J135" s="61" t="str">
        <f t="shared" si="89"/>
        <v>FPUC-FPUC - Large Volume Transportation Service-GS-1</v>
      </c>
      <c r="K135" s="62" t="s">
        <v>257</v>
      </c>
      <c r="L135" s="146">
        <v>1.5372790161414296E-2</v>
      </c>
      <c r="M135" s="146">
        <v>2.9171436273178953E-4</v>
      </c>
      <c r="N135" s="90" t="str">
        <f>VLOOKUP(E135,'Rate Design (Consol)'!D:F,3,FALSE)</f>
        <v>&lt; = 1000</v>
      </c>
      <c r="O135" s="237">
        <f t="shared" si="76"/>
        <v>469</v>
      </c>
      <c r="P135" s="171">
        <f t="shared" si="77"/>
        <v>20</v>
      </c>
      <c r="Q135" s="148">
        <f>ROUND(R135/12,0)*12</f>
        <v>240</v>
      </c>
      <c r="R135" s="148">
        <v>239.98270445744171</v>
      </c>
      <c r="S135" s="151">
        <v>90</v>
      </c>
      <c r="T135" s="25"/>
      <c r="U135" s="148">
        <v>9371.6756202450106</v>
      </c>
      <c r="V135" s="238">
        <v>0.35365999999999997</v>
      </c>
      <c r="W135" s="25"/>
      <c r="X135" s="131">
        <f>VLOOKUP(CONCATENATE(C135,B135),'G2-7 Summary'!S:W,2,FALSE)</f>
        <v>0.16008</v>
      </c>
      <c r="Y135" s="243">
        <f>VLOOKUP(CONCATENATE(C135,B135),'G2-7 Summary'!S:W,3,FALSE)</f>
        <v>3.407000000000001E-2</v>
      </c>
      <c r="Z135" s="131">
        <f>VLOOKUP(CONCATENATE(C135,B135),'G2-7 Summary'!S:W,4,FALSE)</f>
        <v>0</v>
      </c>
      <c r="AA135" s="243">
        <f>VLOOKUP(CONCATENATE(C135,B135),'G2-7 Summary'!S:W,5,FALSE)</f>
        <v>0.15740000000000004</v>
      </c>
      <c r="AB135" s="25"/>
      <c r="AC135" s="149">
        <f t="shared" si="78"/>
        <v>21600</v>
      </c>
      <c r="AD135" s="149">
        <f t="shared" si="79"/>
        <v>3314.3867998558503</v>
      </c>
      <c r="AE135" s="149">
        <f t="shared" si="80"/>
        <v>1500.2178332888213</v>
      </c>
      <c r="AF135" s="149"/>
      <c r="AG135" s="149">
        <f t="shared" si="81"/>
        <v>319.29298838174759</v>
      </c>
      <c r="AH135" s="149">
        <f t="shared" si="82"/>
        <v>0</v>
      </c>
      <c r="AI135" s="149">
        <f t="shared" si="83"/>
        <v>1475.1017426265651</v>
      </c>
      <c r="AJ135" s="119">
        <f t="shared" si="74"/>
        <v>28208.999364152984</v>
      </c>
      <c r="AK135" s="27">
        <f t="shared" si="84"/>
        <v>-1794.3947310083126</v>
      </c>
      <c r="AL135" s="27">
        <f t="shared" si="85"/>
        <v>26414.604633144671</v>
      </c>
      <c r="AM135" s="244"/>
      <c r="AN135" s="27">
        <f>SUMIFS('Rate Design (Consol)'!K:K,'Rate Design (Consol)'!A:A,K135,'Rate Design (Consol)'!D:D,G135)</f>
        <v>40</v>
      </c>
      <c r="AO135" s="23">
        <f>SUMIFS('Rate Design (Consol)'!L:L,'Rate Design (Consol)'!A:A,K135,'Rate Design (Consol)'!D:D,G135)</f>
        <v>0.70123999999999997</v>
      </c>
      <c r="AP135" s="24">
        <f t="shared" si="86"/>
        <v>9600</v>
      </c>
      <c r="AQ135" s="24">
        <f t="shared" si="87"/>
        <v>6571.7938119406108</v>
      </c>
      <c r="AR135" s="25">
        <f t="shared" si="88"/>
        <v>16171.79381194061</v>
      </c>
      <c r="AS135" s="149"/>
      <c r="AT135" s="53"/>
      <c r="AU135" s="53"/>
      <c r="AV135" s="272"/>
      <c r="AW135" s="199"/>
      <c r="AX135" s="53"/>
      <c r="AY135" s="53"/>
    </row>
    <row r="136" spans="1:51" s="90" customFormat="1" x14ac:dyDescent="0.25">
      <c r="A136" s="90" t="s">
        <v>164</v>
      </c>
      <c r="B136" s="90" t="s">
        <v>162</v>
      </c>
      <c r="C136" s="90" t="s">
        <v>166</v>
      </c>
      <c r="D136" s="90" t="s">
        <v>96</v>
      </c>
      <c r="E136" s="90" t="str">
        <f>INDEX('Rate Design (Consol)'!$B$48:$B$66,MATCH('G2-8 Summary'!F136,'Rate Design (Consol)'!$C$48:$C$66,0))</f>
        <v>GS-8</v>
      </c>
      <c r="F136" s="90" t="s">
        <v>267</v>
      </c>
      <c r="G136" s="90" t="str">
        <f>INDEX('Rate Design (Consol)'!$D$48:$D$66,MATCH('G2-8 Summary'!H136,'Rate Design (Consol)'!$E$48:$E$66,0))</f>
        <v>GS-8-A</v>
      </c>
      <c r="H136" s="90" t="s">
        <v>272</v>
      </c>
      <c r="I136" s="23" t="str">
        <f t="shared" si="63"/>
        <v>FN_LVTS_General Service - 8 - A</v>
      </c>
      <c r="J136" s="61" t="str">
        <f t="shared" si="89"/>
        <v>FPUC-FPUC - Large Volume Transportation Service-GS-8-A</v>
      </c>
      <c r="K136" s="240" t="s">
        <v>257</v>
      </c>
      <c r="L136" s="146">
        <v>1.5372790161414297E-3</v>
      </c>
      <c r="M136" s="146">
        <v>6.736453714487517E-2</v>
      </c>
      <c r="N136" s="90" t="str">
        <f>VLOOKUP(G136,'Rate Design (Consol)'!D:F,3,FALSE)</f>
        <v>&gt; 1,000,000 &lt; = 1,500,000</v>
      </c>
      <c r="O136" s="237">
        <f t="shared" si="76"/>
        <v>1082083</v>
      </c>
      <c r="P136" s="171">
        <f t="shared" si="77"/>
        <v>2</v>
      </c>
      <c r="Q136" s="147">
        <f>ROUND(R136/12,0)*12+12</f>
        <v>24</v>
      </c>
      <c r="R136" s="147">
        <v>11.998270445744172</v>
      </c>
      <c r="S136" s="151">
        <v>90</v>
      </c>
      <c r="T136" s="25"/>
      <c r="U136" s="147">
        <v>2164166.9766194141</v>
      </c>
      <c r="V136" s="72">
        <v>0.35365999999999997</v>
      </c>
      <c r="W136" s="118"/>
      <c r="X136" s="131">
        <f>VLOOKUP(CONCATENATE(C136,B136),'G2-7 Summary'!S:W,2,FALSE)</f>
        <v>0.16008</v>
      </c>
      <c r="Y136" s="243">
        <f>VLOOKUP(CONCATENATE(C136,B136),'G2-7 Summary'!S:W,3,FALSE)</f>
        <v>3.407000000000001E-2</v>
      </c>
      <c r="Z136" s="131">
        <f>VLOOKUP(CONCATENATE(C136,B136),'G2-7 Summary'!S:W,4,FALSE)</f>
        <v>0</v>
      </c>
      <c r="AA136" s="243">
        <f>VLOOKUP(CONCATENATE(C136,B136),'G2-7 Summary'!S:W,5,FALSE)</f>
        <v>0.15740000000000004</v>
      </c>
      <c r="AB136" s="118"/>
      <c r="AC136" s="149">
        <f t="shared" si="78"/>
        <v>2160</v>
      </c>
      <c r="AD136" s="149">
        <f t="shared" si="79"/>
        <v>765379.29295122193</v>
      </c>
      <c r="AE136" s="149">
        <f t="shared" si="80"/>
        <v>346439.84961723583</v>
      </c>
      <c r="AF136" s="149"/>
      <c r="AG136" s="149">
        <f t="shared" si="81"/>
        <v>73733.168893423455</v>
      </c>
      <c r="AH136" s="149">
        <f t="shared" si="82"/>
        <v>0</v>
      </c>
      <c r="AI136" s="149">
        <f t="shared" si="83"/>
        <v>340639.88211989583</v>
      </c>
      <c r="AJ136" s="119">
        <f t="shared" si="74"/>
        <v>1528352.1935817772</v>
      </c>
      <c r="AK136" s="120">
        <f t="shared" si="84"/>
        <v>-414373.05101331929</v>
      </c>
      <c r="AL136" s="120">
        <f t="shared" si="85"/>
        <v>1113979.1425684579</v>
      </c>
      <c r="AM136" s="245"/>
      <c r="AN136" s="27">
        <f>SUMIFS('Rate Design (Consol)'!K:K,'Rate Design (Consol)'!A:A,K136,'Rate Design (Consol)'!D:D,G136)</f>
        <v>9500</v>
      </c>
      <c r="AO136" s="23">
        <f>SUMIFS('Rate Design (Consol)'!L:L,'Rate Design (Consol)'!A:A,K136,'Rate Design (Consol)'!D:D,G136)</f>
        <v>0.36796999999999996</v>
      </c>
      <c r="AP136" s="24">
        <f t="shared" si="86"/>
        <v>228000</v>
      </c>
      <c r="AQ136" s="24">
        <f t="shared" si="87"/>
        <v>796348.52238664567</v>
      </c>
      <c r="AR136" s="25">
        <f t="shared" si="88"/>
        <v>1024348.5223866457</v>
      </c>
      <c r="AS136" s="149"/>
      <c r="AT136" s="53"/>
      <c r="AU136" s="53"/>
      <c r="AV136" s="272"/>
      <c r="AW136" s="201"/>
      <c r="AX136" s="53"/>
      <c r="AY136" s="53"/>
    </row>
    <row r="137" spans="1:51" s="90" customFormat="1" x14ac:dyDescent="0.25">
      <c r="A137" s="90" t="s">
        <v>164</v>
      </c>
      <c r="B137" s="90" t="s">
        <v>162</v>
      </c>
      <c r="C137" s="90" t="s">
        <v>166</v>
      </c>
      <c r="D137" s="90" t="s">
        <v>96</v>
      </c>
      <c r="E137" s="90" t="str">
        <f>INDEX('Rate Design (Consol)'!$B$48:$B$66,MATCH('G2-8 Summary'!F137,'Rate Design (Consol)'!$C$48:$C$66,0))</f>
        <v>GS-8</v>
      </c>
      <c r="F137" s="90" t="s">
        <v>267</v>
      </c>
      <c r="G137" s="90" t="str">
        <f>INDEX('Rate Design (Consol)'!$D$48:$D$66,MATCH('G2-8 Summary'!H137,'Rate Design (Consol)'!$E$48:$E$66,0))</f>
        <v>GS-8-B</v>
      </c>
      <c r="H137" s="90" t="s">
        <v>273</v>
      </c>
      <c r="I137" s="90" t="str">
        <f t="shared" si="63"/>
        <v>FN_LVTS_General Service - 8 - B</v>
      </c>
      <c r="J137" s="174" t="str">
        <f t="shared" si="89"/>
        <v>FPUC-FPUC - Large Volume Transportation Service-GS-8-B</v>
      </c>
      <c r="K137" s="240" t="s">
        <v>257</v>
      </c>
      <c r="L137" s="246">
        <v>7.6863950807071484E-4</v>
      </c>
      <c r="M137" s="146">
        <v>5.2896107992971717E-2</v>
      </c>
      <c r="N137" s="90" t="str">
        <f>VLOOKUP(G137,'Rate Design (Consol)'!D:F,3,FALSE)</f>
        <v>&gt; 1,500,000 &lt; = 2,000,000</v>
      </c>
      <c r="O137" s="237">
        <f t="shared" si="76"/>
        <v>1699351</v>
      </c>
      <c r="P137" s="171">
        <v>1</v>
      </c>
      <c r="Q137" s="147">
        <v>12</v>
      </c>
      <c r="R137" s="147">
        <v>12</v>
      </c>
      <c r="S137" s="151">
        <v>90</v>
      </c>
      <c r="T137" s="118"/>
      <c r="U137" s="147">
        <v>1699351.2456545173</v>
      </c>
      <c r="V137" s="72">
        <v>0.35365999999999997</v>
      </c>
      <c r="W137" s="118"/>
      <c r="X137" s="131">
        <f>VLOOKUP(CONCATENATE(C137,B137),'G2-7 Summary'!S:W,2,FALSE)</f>
        <v>0.16008</v>
      </c>
      <c r="Y137" s="243">
        <f>VLOOKUP(CONCATENATE(C137,B137),'G2-7 Summary'!S:W,3,FALSE)</f>
        <v>3.407000000000001E-2</v>
      </c>
      <c r="Z137" s="131">
        <f>VLOOKUP(CONCATENATE(C137,B137),'G2-7 Summary'!S:W,4,FALSE)</f>
        <v>0</v>
      </c>
      <c r="AA137" s="243">
        <f>VLOOKUP(CONCATENATE(C137,B137),'G2-7 Summary'!S:W,5,FALSE)</f>
        <v>0.15740000000000004</v>
      </c>
      <c r="AB137" s="118"/>
      <c r="AC137" s="149">
        <f t="shared" ref="AC137" si="90">S137*P137*12</f>
        <v>1080</v>
      </c>
      <c r="AD137" s="149">
        <f t="shared" ref="AD137" si="91">U137*V137</f>
        <v>600992.56153817649</v>
      </c>
      <c r="AE137" s="149">
        <f t="shared" ref="AE137" si="92">X137*$U137</f>
        <v>272032.14740437514</v>
      </c>
      <c r="AF137" s="149"/>
      <c r="AG137" s="149">
        <f t="shared" ref="AG137" si="93">Y137*$U137</f>
        <v>57896.89693944942</v>
      </c>
      <c r="AH137" s="149">
        <f t="shared" ref="AH137" si="94">Z137*$U137</f>
        <v>0</v>
      </c>
      <c r="AI137" s="149">
        <f t="shared" ref="AI137" si="95">AA137*$U137</f>
        <v>267477.88606602111</v>
      </c>
      <c r="AJ137" s="119">
        <f t="shared" ref="AJ137" si="96">SUM(AC137:AI137)</f>
        <v>1199479.4919480223</v>
      </c>
      <c r="AK137" s="120">
        <f t="shared" ref="AK137" si="97">-SUM(AG137:AI137)</f>
        <v>-325374.78300547053</v>
      </c>
      <c r="AL137" s="120">
        <f t="shared" ref="AL137" si="98">AK137+AJ137</f>
        <v>874104.70894255175</v>
      </c>
      <c r="AM137" s="245"/>
      <c r="AN137" s="120">
        <f>SUMIFS('Rate Design (Consol)'!K:K,'Rate Design (Consol)'!A:A,K137,'Rate Design (Consol)'!D:D,G137)</f>
        <v>9500</v>
      </c>
      <c r="AO137" s="90">
        <f>SUMIFS('Rate Design (Consol)'!L:L,'Rate Design (Consol)'!A:A,K137,'Rate Design (Consol)'!D:D,G137)</f>
        <v>0.34796999999999995</v>
      </c>
      <c r="AP137" s="151">
        <f t="shared" si="86"/>
        <v>114000</v>
      </c>
      <c r="AQ137" s="151">
        <f t="shared" si="87"/>
        <v>591323.25295040233</v>
      </c>
      <c r="AR137" s="118">
        <f t="shared" si="88"/>
        <v>705323.25295040233</v>
      </c>
      <c r="AS137" s="149"/>
      <c r="AT137" s="206"/>
      <c r="AU137" s="206"/>
      <c r="AV137" s="272"/>
      <c r="AW137" s="201"/>
      <c r="AX137" s="206"/>
      <c r="AY137" s="206"/>
    </row>
    <row r="138" spans="1:51" x14ac:dyDescent="0.25">
      <c r="A138" s="23" t="s">
        <v>164</v>
      </c>
      <c r="B138" s="23" t="s">
        <v>163</v>
      </c>
      <c r="C138" s="23" t="s">
        <v>166</v>
      </c>
      <c r="D138" s="23" t="s">
        <v>72</v>
      </c>
      <c r="E138" s="90" t="str">
        <f>INDEX('Rate Design (Consol)'!$B$48:$B$66,MATCH('G2-8 Summary'!F138,'Rate Design (Consol)'!$C$48:$C$66,0))</f>
        <v>RES-1</v>
      </c>
      <c r="F138" s="23" t="s">
        <v>8</v>
      </c>
      <c r="G138" s="90" t="str">
        <f>INDEX('Rate Design (Consol)'!$D$48:$D$66,MATCH('G2-8 Summary'!H138,'Rate Design (Consol)'!$E$48:$E$66,0))</f>
        <v>RES-1</v>
      </c>
      <c r="H138" s="23" t="str">
        <f t="shared" si="75"/>
        <v>Residential - 1</v>
      </c>
      <c r="I138" s="23" t="str">
        <f t="shared" si="63"/>
        <v>FN_RS_Residential - 1</v>
      </c>
      <c r="J138" s="61" t="str">
        <f t="shared" si="89"/>
        <v>FPUC-FPUC - Residential Service-RES-1</v>
      </c>
      <c r="K138" s="62" t="s">
        <v>257</v>
      </c>
      <c r="L138" s="146">
        <v>0.32670879359413441</v>
      </c>
      <c r="M138" s="146">
        <v>6.7662786638576583E-2</v>
      </c>
      <c r="N138" s="90" t="str">
        <f>VLOOKUP(E138,'Rate Design (Consol)'!D:F,3,FALSE)</f>
        <v>&lt; = 100</v>
      </c>
      <c r="O138" s="237">
        <f t="shared" si="76"/>
        <v>52</v>
      </c>
      <c r="P138" s="171">
        <f t="shared" si="77"/>
        <v>21117</v>
      </c>
      <c r="Q138" s="148">
        <f>ROUND(R138/12,0)*12+12</f>
        <v>253404</v>
      </c>
      <c r="R138" s="148">
        <v>253392.53328868796</v>
      </c>
      <c r="S138" s="151">
        <v>11</v>
      </c>
      <c r="T138" s="25"/>
      <c r="U138" s="148">
        <v>1096367.7754913715</v>
      </c>
      <c r="V138" s="238">
        <v>0.49828</v>
      </c>
      <c r="W138" s="25"/>
      <c r="X138" s="131">
        <f>VLOOKUP(CONCATENATE(C138,B138),'G2-7 Summary'!S:W,2,FALSE)</f>
        <v>0.31642000000000003</v>
      </c>
      <c r="Y138" s="243">
        <f>VLOOKUP(CONCATENATE(C138,B138),'G2-7 Summary'!S:W,3,FALSE)</f>
        <v>8.6270000000000013E-2</v>
      </c>
      <c r="Z138" s="131">
        <f>VLOOKUP(CONCATENATE(C138,B138),'G2-7 Summary'!S:W,4,FALSE)</f>
        <v>1.0503999999999998</v>
      </c>
      <c r="AA138" s="243">
        <f>VLOOKUP(CONCATENATE(C138,B138),'G2-7 Summary'!S:W,5,FALSE)</f>
        <v>0</v>
      </c>
      <c r="AB138" s="25"/>
      <c r="AC138" s="149">
        <f t="shared" si="78"/>
        <v>2787444</v>
      </c>
      <c r="AD138" s="149">
        <f t="shared" si="79"/>
        <v>546298.13517184055</v>
      </c>
      <c r="AE138" s="149">
        <f t="shared" si="80"/>
        <v>346912.6915209798</v>
      </c>
      <c r="AF138" s="149"/>
      <c r="AG138" s="149">
        <f t="shared" si="81"/>
        <v>94583.647991640639</v>
      </c>
      <c r="AH138" s="149">
        <f t="shared" si="82"/>
        <v>1151624.7113761364</v>
      </c>
      <c r="AI138" s="149">
        <f t="shared" si="83"/>
        <v>0</v>
      </c>
      <c r="AJ138" s="119">
        <f t="shared" si="74"/>
        <v>4926863.1860605972</v>
      </c>
      <c r="AK138" s="27">
        <f t="shared" si="84"/>
        <v>-1246208.3593677771</v>
      </c>
      <c r="AL138" s="27">
        <f t="shared" si="85"/>
        <v>3680654.8266928201</v>
      </c>
      <c r="AM138" s="244"/>
      <c r="AN138" s="27">
        <f>SUMIFS('Rate Design (Consol)'!K:K,'Rate Design (Consol)'!A:A,K138,'Rate Design (Consol)'!D:D,G138)</f>
        <v>16.5</v>
      </c>
      <c r="AO138" s="23">
        <f>SUMIFS('Rate Design (Consol)'!L:L,'Rate Design (Consol)'!A:A,K138,'Rate Design (Consol)'!D:D,G138)</f>
        <v>0.65229000000000004</v>
      </c>
      <c r="AP138" s="24">
        <f t="shared" si="86"/>
        <v>4181166</v>
      </c>
      <c r="AQ138" s="24">
        <f t="shared" si="87"/>
        <v>715149.73627526674</v>
      </c>
      <c r="AR138" s="25">
        <f t="shared" si="88"/>
        <v>4896315.7362752669</v>
      </c>
      <c r="AS138" s="149"/>
      <c r="AT138" s="53"/>
      <c r="AU138" s="53"/>
      <c r="AV138" s="272"/>
      <c r="AW138" s="199"/>
      <c r="AX138" s="53"/>
      <c r="AY138" s="53"/>
    </row>
    <row r="139" spans="1:51" x14ac:dyDescent="0.25">
      <c r="A139" s="23" t="s">
        <v>164</v>
      </c>
      <c r="B139" s="23" t="s">
        <v>163</v>
      </c>
      <c r="C139" s="23" t="s">
        <v>166</v>
      </c>
      <c r="D139" s="23" t="s">
        <v>72</v>
      </c>
      <c r="E139" s="90" t="str">
        <f>INDEX('Rate Design (Consol)'!$B$48:$B$66,MATCH('G2-8 Summary'!F139,'Rate Design (Consol)'!$C$48:$C$66,0))</f>
        <v>RES-3</v>
      </c>
      <c r="F139" s="23" t="s">
        <v>266</v>
      </c>
      <c r="G139" s="90" t="str">
        <f>INDEX('Rate Design (Consol)'!$D$48:$D$66,MATCH('G2-8 Summary'!H139,'Rate Design (Consol)'!$E$48:$E$66,0))</f>
        <v>RES-3</v>
      </c>
      <c r="H139" s="23" t="str">
        <f t="shared" si="75"/>
        <v>Residential - 3</v>
      </c>
      <c r="I139" s="23" t="str">
        <f t="shared" si="63"/>
        <v>FN_RS_Residential - 3</v>
      </c>
      <c r="J139" s="61" t="str">
        <f t="shared" si="89"/>
        <v>FPUC-FPUC - Residential Service-RES-3</v>
      </c>
      <c r="K139" s="62" t="s">
        <v>257</v>
      </c>
      <c r="L139" s="146">
        <v>0.24235846477899442</v>
      </c>
      <c r="M139" s="146">
        <v>0.65973537078157474</v>
      </c>
      <c r="N139" s="90" t="str">
        <f>VLOOKUP(E139,'Rate Design (Consol)'!D:F,3,FALSE)</f>
        <v>&gt; 250</v>
      </c>
      <c r="O139" s="237">
        <f t="shared" si="76"/>
        <v>682</v>
      </c>
      <c r="P139" s="171">
        <f t="shared" si="77"/>
        <v>15664</v>
      </c>
      <c r="Q139" s="148">
        <f t="shared" ref="Q139:Q144" si="99">ROUND(R139/12,0)*12</f>
        <v>187968</v>
      </c>
      <c r="R139" s="148">
        <v>187971.14298244962</v>
      </c>
      <c r="S139" s="151">
        <v>11</v>
      </c>
      <c r="T139" s="25"/>
      <c r="U139" s="148">
        <v>10689961.747221153</v>
      </c>
      <c r="V139" s="238">
        <v>0.49828</v>
      </c>
      <c r="W139" s="25"/>
      <c r="X139" s="131">
        <f>VLOOKUP(CONCATENATE(C139,B139),'G2-7 Summary'!S:W,2,FALSE)</f>
        <v>0.31642000000000003</v>
      </c>
      <c r="Y139" s="243">
        <f>VLOOKUP(CONCATENATE(C139,B139),'G2-7 Summary'!S:W,3,FALSE)</f>
        <v>8.6270000000000013E-2</v>
      </c>
      <c r="Z139" s="131">
        <f>VLOOKUP(CONCATENATE(C139,B139),'G2-7 Summary'!S:W,4,FALSE)</f>
        <v>1.0503999999999998</v>
      </c>
      <c r="AA139" s="243">
        <f>VLOOKUP(CONCATENATE(C139,B139),'G2-7 Summary'!S:W,5,FALSE)</f>
        <v>0</v>
      </c>
      <c r="AB139" s="25"/>
      <c r="AC139" s="149">
        <f t="shared" si="78"/>
        <v>2067648</v>
      </c>
      <c r="AD139" s="149">
        <f t="shared" si="79"/>
        <v>5326594.1394053558</v>
      </c>
      <c r="AE139" s="149">
        <f t="shared" si="80"/>
        <v>3382517.6960557178</v>
      </c>
      <c r="AF139" s="149"/>
      <c r="AG139" s="149">
        <f t="shared" si="81"/>
        <v>922222.99993276899</v>
      </c>
      <c r="AH139" s="149">
        <f t="shared" si="82"/>
        <v>11228735.819281098</v>
      </c>
      <c r="AI139" s="149">
        <f t="shared" si="83"/>
        <v>0</v>
      </c>
      <c r="AJ139" s="119">
        <f t="shared" si="74"/>
        <v>22927718.65467494</v>
      </c>
      <c r="AK139" s="27">
        <f t="shared" si="84"/>
        <v>-12150958.819213867</v>
      </c>
      <c r="AL139" s="27">
        <f t="shared" si="85"/>
        <v>10776759.835461073</v>
      </c>
      <c r="AM139" s="244"/>
      <c r="AN139" s="27">
        <f>SUMIFS('Rate Design (Consol)'!K:K,'Rate Design (Consol)'!A:A,K139,'Rate Design (Consol)'!D:D,G139)</f>
        <v>26.5</v>
      </c>
      <c r="AO139" s="23">
        <f>SUMIFS('Rate Design (Consol)'!L:L,'Rate Design (Consol)'!A:A,K139,'Rate Design (Consol)'!D:D,G139)</f>
        <v>0.65386</v>
      </c>
      <c r="AP139" s="24">
        <f t="shared" si="86"/>
        <v>4981152</v>
      </c>
      <c r="AQ139" s="24">
        <f t="shared" si="87"/>
        <v>6989738.3880380234</v>
      </c>
      <c r="AR139" s="25">
        <f t="shared" si="88"/>
        <v>11970890.388038024</v>
      </c>
      <c r="AS139" s="149"/>
      <c r="AT139" s="53"/>
      <c r="AU139" s="53"/>
      <c r="AV139" s="272"/>
      <c r="AW139" s="199"/>
      <c r="AX139" s="53"/>
      <c r="AY139" s="53"/>
    </row>
    <row r="140" spans="1:51" x14ac:dyDescent="0.25">
      <c r="A140" s="23" t="s">
        <v>164</v>
      </c>
      <c r="B140" s="23" t="s">
        <v>163</v>
      </c>
      <c r="C140" s="23" t="s">
        <v>166</v>
      </c>
      <c r="D140" s="23" t="s">
        <v>72</v>
      </c>
      <c r="E140" s="90" t="str">
        <f>INDEX('Rate Design (Consol)'!$B$48:$B$66,MATCH('G2-8 Summary'!F140,'Rate Design (Consol)'!$C$48:$C$66,0))</f>
        <v>RES-2</v>
      </c>
      <c r="F140" s="23" t="s">
        <v>9</v>
      </c>
      <c r="G140" s="90" t="str">
        <f>INDEX('Rate Design (Consol)'!$D$48:$D$66,MATCH('G2-8 Summary'!H140,'Rate Design (Consol)'!$E$48:$E$66,0))</f>
        <v>RES-2</v>
      </c>
      <c r="H140" s="23" t="str">
        <f t="shared" si="75"/>
        <v>Residential - 2</v>
      </c>
      <c r="I140" s="23" t="str">
        <f t="shared" si="63"/>
        <v>FN_RS_Residential - 2</v>
      </c>
      <c r="J140" s="61" t="str">
        <f t="shared" si="89"/>
        <v>FPUC-FPUC - Residential Service-RES-2</v>
      </c>
      <c r="K140" s="62" t="s">
        <v>257</v>
      </c>
      <c r="L140" s="146">
        <v>0.43093274162687117</v>
      </c>
      <c r="M140" s="146">
        <v>0.27260184257984865</v>
      </c>
      <c r="N140" s="90" t="str">
        <f>VLOOKUP(E140,'Rate Design (Consol)'!D:F,3,FALSE)</f>
        <v>&gt; 100 &lt; = 250</v>
      </c>
      <c r="O140" s="237">
        <f t="shared" si="76"/>
        <v>159</v>
      </c>
      <c r="P140" s="171">
        <f t="shared" si="77"/>
        <v>27852</v>
      </c>
      <c r="Q140" s="148">
        <f t="shared" si="99"/>
        <v>334224</v>
      </c>
      <c r="R140" s="148">
        <v>334227.73190954898</v>
      </c>
      <c r="S140" s="151">
        <v>11</v>
      </c>
      <c r="T140" s="25"/>
      <c r="U140" s="148">
        <v>4417079.0266229128</v>
      </c>
      <c r="V140" s="238">
        <v>0.49828</v>
      </c>
      <c r="W140" s="25"/>
      <c r="X140" s="131">
        <f>VLOOKUP(CONCATENATE(C140,B140),'G2-7 Summary'!S:W,2,FALSE)</f>
        <v>0.31642000000000003</v>
      </c>
      <c r="Y140" s="243">
        <f>VLOOKUP(CONCATENATE(C140,B140),'G2-7 Summary'!S:W,3,FALSE)</f>
        <v>8.6270000000000013E-2</v>
      </c>
      <c r="Z140" s="131">
        <f>VLOOKUP(CONCATENATE(C140,B140),'G2-7 Summary'!S:W,4,FALSE)</f>
        <v>1.0503999999999998</v>
      </c>
      <c r="AA140" s="243">
        <f>VLOOKUP(CONCATENATE(C140,B140),'G2-7 Summary'!S:W,5,FALSE)</f>
        <v>0</v>
      </c>
      <c r="AB140" s="25"/>
      <c r="AC140" s="149">
        <f t="shared" si="78"/>
        <v>3676464</v>
      </c>
      <c r="AD140" s="149">
        <f t="shared" si="79"/>
        <v>2200942.137385665</v>
      </c>
      <c r="AE140" s="149">
        <f t="shared" si="80"/>
        <v>1397652.1456040223</v>
      </c>
      <c r="AF140" s="149"/>
      <c r="AG140" s="149">
        <f t="shared" si="81"/>
        <v>381061.40762675874</v>
      </c>
      <c r="AH140" s="149">
        <f t="shared" si="82"/>
        <v>4639699.8095647069</v>
      </c>
      <c r="AI140" s="149">
        <f t="shared" si="83"/>
        <v>0</v>
      </c>
      <c r="AJ140" s="119">
        <f t="shared" si="74"/>
        <v>12295819.500181152</v>
      </c>
      <c r="AK140" s="27">
        <f t="shared" si="84"/>
        <v>-5020761.2171914652</v>
      </c>
      <c r="AL140" s="27">
        <f t="shared" si="85"/>
        <v>7275058.2829896864</v>
      </c>
      <c r="AM140" s="244"/>
      <c r="AN140" s="27">
        <f>SUMIFS('Rate Design (Consol)'!K:K,'Rate Design (Consol)'!A:A,K140,'Rate Design (Consol)'!D:D,G140)</f>
        <v>19.5</v>
      </c>
      <c r="AO140" s="23">
        <f>SUMIFS('Rate Design (Consol)'!L:L,'Rate Design (Consol)'!A:A,K140,'Rate Design (Consol)'!D:D,G140)</f>
        <v>0.65271999999999997</v>
      </c>
      <c r="AP140" s="24">
        <f t="shared" si="86"/>
        <v>6517368</v>
      </c>
      <c r="AQ140" s="24">
        <f t="shared" si="87"/>
        <v>2883115.8222573074</v>
      </c>
      <c r="AR140" s="25">
        <f t="shared" si="88"/>
        <v>9400483.8222573064</v>
      </c>
      <c r="AS140" s="149"/>
      <c r="AT140" s="53"/>
      <c r="AU140" s="53"/>
      <c r="AV140" s="272"/>
      <c r="AW140" s="199"/>
      <c r="AX140" s="53"/>
      <c r="AY140" s="53"/>
    </row>
    <row r="141" spans="1:51" x14ac:dyDescent="0.25">
      <c r="A141" s="23" t="s">
        <v>164</v>
      </c>
      <c r="B141" s="23" t="s">
        <v>171</v>
      </c>
      <c r="C141" s="23" t="s">
        <v>166</v>
      </c>
      <c r="D141" s="23" t="s">
        <v>86</v>
      </c>
      <c r="E141" s="90" t="str">
        <f>INDEX('Rate Design (Consol)'!$B$48:$B$66,MATCH('G2-8 Summary'!F141,'Rate Design (Consol)'!$C$48:$C$66,0))</f>
        <v>RES-SG</v>
      </c>
      <c r="F141" s="23" t="s">
        <v>10</v>
      </c>
      <c r="G141" s="90" t="str">
        <f>INDEX('Rate Design (Consol)'!$D$48:$D$66,MATCH('G2-8 Summary'!H141,'Rate Design (Consol)'!$E$48:$E$66,0))</f>
        <v>RES-SG</v>
      </c>
      <c r="H141" s="23" t="str">
        <f t="shared" si="75"/>
        <v>Residential Standby Generator</v>
      </c>
      <c r="I141" s="23" t="str">
        <f t="shared" si="63"/>
        <v>FN_RS-GS_Residential Standby Generator</v>
      </c>
      <c r="J141" s="61" t="str">
        <f t="shared" si="89"/>
        <v>FPUC-FPUC - Residential Standby Generator Service-RES-SG</v>
      </c>
      <c r="K141" s="62" t="s">
        <v>257</v>
      </c>
      <c r="L141" s="146">
        <v>1</v>
      </c>
      <c r="M141" s="146">
        <v>1</v>
      </c>
      <c r="N141" s="90" t="str">
        <f>VLOOKUP(E141,'Rate Design (Consol)'!D:F,3,FALSE)</f>
        <v>n/a</v>
      </c>
      <c r="O141" s="237">
        <f t="shared" si="76"/>
        <v>109</v>
      </c>
      <c r="P141" s="171">
        <f t="shared" si="77"/>
        <v>883</v>
      </c>
      <c r="Q141" s="148">
        <f t="shared" si="99"/>
        <v>10596</v>
      </c>
      <c r="R141" s="148">
        <v>10595.632913319134</v>
      </c>
      <c r="S141" s="151">
        <v>21.25</v>
      </c>
      <c r="T141" s="25"/>
      <c r="U141" s="148">
        <v>96298.671290106227</v>
      </c>
      <c r="V141" s="238">
        <v>0.49828</v>
      </c>
      <c r="W141" s="25"/>
      <c r="X141" s="131">
        <f>VLOOKUP(CONCATENATE(C141,B141),'G2-7 Summary'!S:W,2,FALSE)</f>
        <v>0.31642000000000003</v>
      </c>
      <c r="Y141" s="243">
        <f>VLOOKUP(CONCATENATE(C141,B141),'G2-7 Summary'!S:W,3,FALSE)</f>
        <v>8.6270000000000013E-2</v>
      </c>
      <c r="Z141" s="131">
        <f>VLOOKUP(CONCATENATE(C141,B141),'G2-7 Summary'!S:W,4,FALSE)</f>
        <v>1.0503999999999998</v>
      </c>
      <c r="AA141" s="243">
        <f>VLOOKUP(CONCATENATE(C141,B141),'G2-7 Summary'!S:W,5,FALSE)</f>
        <v>0</v>
      </c>
      <c r="AB141" s="25"/>
      <c r="AC141" s="149">
        <f t="shared" si="78"/>
        <v>225165</v>
      </c>
      <c r="AD141" s="149">
        <f t="shared" si="79"/>
        <v>47983.70193043413</v>
      </c>
      <c r="AE141" s="149">
        <f t="shared" si="80"/>
        <v>30470.825569615416</v>
      </c>
      <c r="AF141" s="149"/>
      <c r="AG141" s="149">
        <f t="shared" si="81"/>
        <v>8307.686372197466</v>
      </c>
      <c r="AH141" s="149">
        <f t="shared" si="82"/>
        <v>101152.12432312756</v>
      </c>
      <c r="AI141" s="149">
        <f t="shared" si="83"/>
        <v>0</v>
      </c>
      <c r="AJ141" s="119">
        <f t="shared" si="74"/>
        <v>413079.33819537458</v>
      </c>
      <c r="AK141" s="27">
        <f t="shared" si="84"/>
        <v>-109459.81069532502</v>
      </c>
      <c r="AL141" s="27">
        <f t="shared" si="85"/>
        <v>303619.52750004956</v>
      </c>
      <c r="AM141" s="244"/>
      <c r="AN141" s="27">
        <f>SUMIFS('Rate Design (Consol)'!K:K,'Rate Design (Consol)'!A:A,K141,'Rate Design (Consol)'!D:D,G141)</f>
        <v>36.5</v>
      </c>
      <c r="AO141" s="23">
        <f>SUMIFS('Rate Design (Consol)'!L:L,'Rate Design (Consol)'!A:A,K141,'Rate Design (Consol)'!D:D,G141)</f>
        <v>0.65386</v>
      </c>
      <c r="AP141" s="24">
        <f t="shared" si="86"/>
        <v>386754</v>
      </c>
      <c r="AQ141" s="24">
        <f t="shared" si="87"/>
        <v>62965.849209748856</v>
      </c>
      <c r="AR141" s="25">
        <f t="shared" si="88"/>
        <v>449719.84920974885</v>
      </c>
      <c r="AS141" s="149"/>
      <c r="AT141" s="53"/>
      <c r="AU141" s="53"/>
      <c r="AV141" s="272"/>
      <c r="AW141" s="199"/>
      <c r="AX141" s="53"/>
      <c r="AY141" s="53"/>
    </row>
    <row r="142" spans="1:51" x14ac:dyDescent="0.25">
      <c r="A142" s="23" t="s">
        <v>158</v>
      </c>
      <c r="B142" s="23" t="s">
        <v>47</v>
      </c>
      <c r="C142" s="23" t="s">
        <v>159</v>
      </c>
      <c r="D142" s="23" t="s">
        <v>98</v>
      </c>
      <c r="E142" s="90" t="str">
        <f>INDEX('Rate Design (Consol)'!$B$48:$B$66,MATCH('G2-8 Summary'!F142,'Rate Design (Consol)'!$C$48:$C$66,0))</f>
        <v>GS-2</v>
      </c>
      <c r="F142" s="23" t="s">
        <v>12</v>
      </c>
      <c r="G142" s="90" t="str">
        <f>INDEX('Rate Design (Consol)'!$D$48:$D$66,MATCH('G2-8 Summary'!H142,'Rate Design (Consol)'!$E$48:$E$66,0))</f>
        <v>GS-2</v>
      </c>
      <c r="H142" s="23" t="str">
        <f t="shared" si="75"/>
        <v>General Service - 2</v>
      </c>
      <c r="I142" s="23" t="str">
        <f t="shared" si="63"/>
        <v>FT_GS-1_General Service - 2</v>
      </c>
      <c r="J142" s="61" t="str">
        <f t="shared" si="89"/>
        <v>Ft. Meade -Ft. Meade - General Service-1-GS-2</v>
      </c>
      <c r="K142" s="23" t="s">
        <v>159</v>
      </c>
      <c r="L142" s="146">
        <v>0.26315789473684209</v>
      </c>
      <c r="M142" s="146">
        <v>0.37619174577889974</v>
      </c>
      <c r="N142" s="90" t="str">
        <f>VLOOKUP(E142,'Rate Design (Consol)'!D:F,3,FALSE)</f>
        <v>&gt; 1000 &lt; = 5,000</v>
      </c>
      <c r="O142" s="237">
        <f t="shared" si="76"/>
        <v>2601</v>
      </c>
      <c r="P142" s="171">
        <f t="shared" si="77"/>
        <v>6</v>
      </c>
      <c r="Q142" s="148">
        <f t="shared" si="99"/>
        <v>72</v>
      </c>
      <c r="R142" s="148">
        <v>68.6744146865218</v>
      </c>
      <c r="S142" s="151">
        <v>17.5</v>
      </c>
      <c r="T142" s="25"/>
      <c r="U142" s="148">
        <v>15608.830417817153</v>
      </c>
      <c r="V142" s="238">
        <v>0.55700000000000005</v>
      </c>
      <c r="W142" s="25"/>
      <c r="X142" s="131">
        <f>VLOOKUP(CONCATENATE(C142,B142),'G2-7 Summary'!S:W,2,FALSE)</f>
        <v>1.4560000000000002E-2</v>
      </c>
      <c r="Y142" s="243">
        <f>VLOOKUP(CONCATENATE(C142,B142),'G2-7 Summary'!S:W,3,FALSE)</f>
        <v>5.4980000000000022E-2</v>
      </c>
      <c r="Z142" s="131">
        <f>VLOOKUP(CONCATENATE(C142,B142),'G2-7 Summary'!S:W,4,FALSE)</f>
        <v>1.0504000000000002</v>
      </c>
      <c r="AA142" s="243">
        <f>VLOOKUP(CONCATENATE(C142,B142),'G2-7 Summary'!S:W,5,FALSE)</f>
        <v>0</v>
      </c>
      <c r="AB142" s="25"/>
      <c r="AC142" s="149">
        <f t="shared" si="78"/>
        <v>1260</v>
      </c>
      <c r="AD142" s="149">
        <f t="shared" si="79"/>
        <v>8694.1185427241544</v>
      </c>
      <c r="AE142" s="149">
        <f t="shared" si="80"/>
        <v>227.26457088341778</v>
      </c>
      <c r="AF142" s="149"/>
      <c r="AG142" s="149">
        <f t="shared" si="81"/>
        <v>858.17349637158736</v>
      </c>
      <c r="AH142" s="149">
        <f t="shared" si="82"/>
        <v>16395.51547087514</v>
      </c>
      <c r="AI142" s="149">
        <f t="shared" si="83"/>
        <v>0</v>
      </c>
      <c r="AJ142" s="119">
        <f t="shared" si="74"/>
        <v>27435.072080854297</v>
      </c>
      <c r="AK142" s="27">
        <f t="shared" si="84"/>
        <v>-17253.688967246726</v>
      </c>
      <c r="AL142" s="27">
        <f t="shared" si="85"/>
        <v>10181.383113607571</v>
      </c>
      <c r="AM142" s="244"/>
      <c r="AN142" s="27">
        <f>SUMIFS('Rate Design (Consol)'!K:K,'Rate Design (Consol)'!A:A,K142,'Rate Design (Consol)'!D:D,G142)</f>
        <v>50</v>
      </c>
      <c r="AO142" s="23">
        <f>SUMIFS('Rate Design (Consol)'!L:L,'Rate Design (Consol)'!A:A,K142,'Rate Design (Consol)'!D:D,G142)</f>
        <v>0.55700000000000005</v>
      </c>
      <c r="AP142" s="24">
        <f t="shared" si="86"/>
        <v>3600</v>
      </c>
      <c r="AQ142" s="24">
        <f t="shared" si="87"/>
        <v>8694.1185427241544</v>
      </c>
      <c r="AR142" s="25">
        <f t="shared" si="88"/>
        <v>12294.118542724154</v>
      </c>
      <c r="AS142" s="149"/>
      <c r="AT142" s="53"/>
      <c r="AU142" s="53"/>
      <c r="AV142" s="272"/>
      <c r="AW142" s="199"/>
      <c r="AX142" s="53"/>
      <c r="AY142" s="53"/>
    </row>
    <row r="143" spans="1:51" x14ac:dyDescent="0.25">
      <c r="A143" s="23" t="s">
        <v>158</v>
      </c>
      <c r="B143" s="23" t="s">
        <v>47</v>
      </c>
      <c r="C143" s="23" t="s">
        <v>159</v>
      </c>
      <c r="D143" s="23" t="s">
        <v>98</v>
      </c>
      <c r="E143" s="90" t="str">
        <f>INDEX('Rate Design (Consol)'!$B$48:$B$66,MATCH('G2-8 Summary'!F143,'Rate Design (Consol)'!$C$48:$C$66,0))</f>
        <v>GS-4</v>
      </c>
      <c r="F143" s="23" t="s">
        <v>14</v>
      </c>
      <c r="G143" s="90" t="str">
        <f>INDEX('Rate Design (Consol)'!$D$48:$D$66,MATCH('G2-8 Summary'!H143,'Rate Design (Consol)'!$E$48:$E$66,0))</f>
        <v>GS-4</v>
      </c>
      <c r="H143" s="23" t="str">
        <f t="shared" si="75"/>
        <v>General Service - 4</v>
      </c>
      <c r="I143" s="23" t="str">
        <f t="shared" si="63"/>
        <v>FT_GS-1_General Service - 4</v>
      </c>
      <c r="J143" s="61" t="str">
        <f t="shared" si="89"/>
        <v>Ft. Meade -Ft. Meade - General Service-1-GS-4</v>
      </c>
      <c r="K143" s="23" t="s">
        <v>159</v>
      </c>
      <c r="L143" s="146">
        <v>5.2631578947368418E-2</v>
      </c>
      <c r="M143" s="146">
        <v>0.54809090060263665</v>
      </c>
      <c r="N143" s="90" t="str">
        <f>VLOOKUP(E143,'Rate Design (Consol)'!D:F,3,FALSE)</f>
        <v>&gt; 10,000 &lt; = 50,000</v>
      </c>
      <c r="O143" s="237">
        <f t="shared" si="76"/>
        <v>22741</v>
      </c>
      <c r="P143" s="171">
        <f t="shared" si="77"/>
        <v>1</v>
      </c>
      <c r="Q143" s="148">
        <f t="shared" si="99"/>
        <v>12</v>
      </c>
      <c r="R143" s="148">
        <v>13.734882937304359</v>
      </c>
      <c r="S143" s="151">
        <v>17.5</v>
      </c>
      <c r="T143" s="25"/>
      <c r="U143" s="148">
        <v>22741.216459553372</v>
      </c>
      <c r="V143" s="238">
        <v>0.55700000000000005</v>
      </c>
      <c r="W143" s="25"/>
      <c r="X143" s="131">
        <f>VLOOKUP(CONCATENATE(C143,B143),'G2-7 Summary'!S:W,2,FALSE)</f>
        <v>1.4560000000000002E-2</v>
      </c>
      <c r="Y143" s="243">
        <f>VLOOKUP(CONCATENATE(C143,B143),'G2-7 Summary'!S:W,3,FALSE)</f>
        <v>5.4980000000000022E-2</v>
      </c>
      <c r="Z143" s="131">
        <f>VLOOKUP(CONCATENATE(C143,B143),'G2-7 Summary'!S:W,4,FALSE)</f>
        <v>1.0504000000000002</v>
      </c>
      <c r="AA143" s="243">
        <f>VLOOKUP(CONCATENATE(C143,B143),'G2-7 Summary'!S:W,5,FALSE)</f>
        <v>0</v>
      </c>
      <c r="AB143" s="25"/>
      <c r="AC143" s="149">
        <f t="shared" si="78"/>
        <v>210</v>
      </c>
      <c r="AD143" s="149">
        <f t="shared" si="79"/>
        <v>12666.85756797123</v>
      </c>
      <c r="AE143" s="149">
        <f t="shared" si="80"/>
        <v>331.11211165109717</v>
      </c>
      <c r="AF143" s="149"/>
      <c r="AG143" s="149">
        <f t="shared" si="81"/>
        <v>1250.3120809462448</v>
      </c>
      <c r="AH143" s="149">
        <f t="shared" si="82"/>
        <v>23887.373769114867</v>
      </c>
      <c r="AI143" s="149">
        <f t="shared" si="83"/>
        <v>0</v>
      </c>
      <c r="AJ143" s="119">
        <f t="shared" si="74"/>
        <v>38345.655529683441</v>
      </c>
      <c r="AK143" s="27">
        <f t="shared" si="84"/>
        <v>-25137.685850061112</v>
      </c>
      <c r="AL143" s="27">
        <f t="shared" si="85"/>
        <v>13207.969679622329</v>
      </c>
      <c r="AM143" s="244"/>
      <c r="AN143" s="27">
        <f>SUMIFS('Rate Design (Consol)'!K:K,'Rate Design (Consol)'!A:A,K143,'Rate Design (Consol)'!D:D,G143)</f>
        <v>225</v>
      </c>
      <c r="AO143" s="23">
        <f>SUMIFS('Rate Design (Consol)'!L:L,'Rate Design (Consol)'!A:A,K143,'Rate Design (Consol)'!D:D,G143)</f>
        <v>0.31365999999999999</v>
      </c>
      <c r="AP143" s="24">
        <f t="shared" si="86"/>
        <v>2700</v>
      </c>
      <c r="AQ143" s="24">
        <f t="shared" si="87"/>
        <v>7133.0099547035106</v>
      </c>
      <c r="AR143" s="25">
        <f t="shared" si="88"/>
        <v>9833.0099547035097</v>
      </c>
      <c r="AS143" s="149"/>
      <c r="AT143" s="53"/>
      <c r="AU143" s="53"/>
      <c r="AV143" s="272"/>
      <c r="AW143" s="199"/>
      <c r="AX143" s="53"/>
      <c r="AY143" s="53"/>
    </row>
    <row r="144" spans="1:51" x14ac:dyDescent="0.25">
      <c r="A144" s="23" t="s">
        <v>158</v>
      </c>
      <c r="B144" s="23" t="s">
        <v>47</v>
      </c>
      <c r="C144" s="23" t="s">
        <v>159</v>
      </c>
      <c r="D144" s="23" t="s">
        <v>98</v>
      </c>
      <c r="E144" s="90" t="str">
        <f>INDEX('Rate Design (Consol)'!$B$48:$B$66,MATCH('G2-8 Summary'!F144,'Rate Design (Consol)'!$C$48:$C$66,0))</f>
        <v>GS-1</v>
      </c>
      <c r="F144" s="23" t="s">
        <v>11</v>
      </c>
      <c r="G144" s="90" t="str">
        <f>INDEX('Rate Design (Consol)'!$D$48:$D$66,MATCH('G2-8 Summary'!H144,'Rate Design (Consol)'!$E$48:$E$66,0))</f>
        <v>GS-1</v>
      </c>
      <c r="H144" s="23" t="str">
        <f t="shared" si="75"/>
        <v>General Service - 1</v>
      </c>
      <c r="I144" s="23" t="str">
        <f t="shared" si="63"/>
        <v>FT_GS-1_General Service - 1</v>
      </c>
      <c r="J144" s="61" t="str">
        <f t="shared" si="89"/>
        <v>Ft. Meade -Ft. Meade - General Service-1-GS-1</v>
      </c>
      <c r="K144" s="23" t="s">
        <v>159</v>
      </c>
      <c r="L144" s="146">
        <v>0.68421052631578949</v>
      </c>
      <c r="M144" s="146">
        <v>7.5717353618463601E-2</v>
      </c>
      <c r="N144" s="90" t="str">
        <f>VLOOKUP(E144,'Rate Design (Consol)'!D:F,3,FALSE)</f>
        <v>&lt; = 1000</v>
      </c>
      <c r="O144" s="237">
        <f t="shared" si="76"/>
        <v>209</v>
      </c>
      <c r="P144" s="171">
        <f t="shared" si="77"/>
        <v>15</v>
      </c>
      <c r="Q144" s="148">
        <f t="shared" si="99"/>
        <v>180</v>
      </c>
      <c r="R144" s="148">
        <v>178.5534781849567</v>
      </c>
      <c r="S144" s="151">
        <v>17.5</v>
      </c>
      <c r="T144" s="25"/>
      <c r="U144" s="148">
        <v>3141.6407871189972</v>
      </c>
      <c r="V144" s="238">
        <v>0.55700000000000005</v>
      </c>
      <c r="W144" s="25"/>
      <c r="X144" s="131">
        <f>VLOOKUP(CONCATENATE(C144,B144),'G2-7 Summary'!S:W,2,FALSE)</f>
        <v>1.4560000000000002E-2</v>
      </c>
      <c r="Y144" s="243">
        <f>VLOOKUP(CONCATENATE(C144,B144),'G2-7 Summary'!S:W,3,FALSE)</f>
        <v>5.4980000000000022E-2</v>
      </c>
      <c r="Z144" s="131">
        <f>VLOOKUP(CONCATENATE(C144,B144),'G2-7 Summary'!S:W,4,FALSE)</f>
        <v>1.0504000000000002</v>
      </c>
      <c r="AA144" s="243">
        <f>VLOOKUP(CONCATENATE(C144,B144),'G2-7 Summary'!S:W,5,FALSE)</f>
        <v>0</v>
      </c>
      <c r="AB144" s="25"/>
      <c r="AC144" s="149">
        <f t="shared" si="78"/>
        <v>3150</v>
      </c>
      <c r="AD144" s="149">
        <f t="shared" si="79"/>
        <v>1749.8939184252815</v>
      </c>
      <c r="AE144" s="149">
        <f t="shared" si="80"/>
        <v>45.742289860452601</v>
      </c>
      <c r="AF144" s="149"/>
      <c r="AG144" s="149">
        <f t="shared" si="81"/>
        <v>172.72741047580254</v>
      </c>
      <c r="AH144" s="149">
        <f t="shared" si="82"/>
        <v>3299.9794827897954</v>
      </c>
      <c r="AI144" s="149">
        <f t="shared" si="83"/>
        <v>0</v>
      </c>
      <c r="AJ144" s="119">
        <f t="shared" si="74"/>
        <v>8418.3431015513324</v>
      </c>
      <c r="AK144" s="27">
        <f t="shared" si="84"/>
        <v>-3472.706893265598</v>
      </c>
      <c r="AL144" s="27">
        <f t="shared" si="85"/>
        <v>4945.636208285734</v>
      </c>
      <c r="AM144" s="244"/>
      <c r="AN144" s="27">
        <f>SUMIFS('Rate Design (Consol)'!K:K,'Rate Design (Consol)'!A:A,K144,'Rate Design (Consol)'!D:D,G144)</f>
        <v>25</v>
      </c>
      <c r="AO144" s="23">
        <f>SUMIFS('Rate Design (Consol)'!L:L,'Rate Design (Consol)'!A:A,K144,'Rate Design (Consol)'!D:D,G144)</f>
        <v>0.55700000000000005</v>
      </c>
      <c r="AP144" s="24">
        <f t="shared" si="86"/>
        <v>4500</v>
      </c>
      <c r="AQ144" s="24">
        <f t="shared" si="87"/>
        <v>1749.8939184252815</v>
      </c>
      <c r="AR144" s="25">
        <f t="shared" si="88"/>
        <v>6249.8939184252813</v>
      </c>
      <c r="AS144" s="149"/>
      <c r="AT144" s="53"/>
      <c r="AU144" s="53"/>
      <c r="AV144" s="272"/>
      <c r="AW144" s="199"/>
      <c r="AX144" s="53"/>
      <c r="AY144" s="53"/>
    </row>
    <row r="145" spans="1:51" x14ac:dyDescent="0.25">
      <c r="A145" s="23" t="s">
        <v>158</v>
      </c>
      <c r="B145" s="23" t="s">
        <v>160</v>
      </c>
      <c r="C145" s="23" t="s">
        <v>159</v>
      </c>
      <c r="D145" s="23" t="s">
        <v>106</v>
      </c>
      <c r="E145" s="90" t="str">
        <f>INDEX('Rate Design (Consol)'!$B$48:$B$66,MATCH('G2-8 Summary'!F145,'Rate Design (Consol)'!$C$48:$C$66,0))</f>
        <v>GS-2</v>
      </c>
      <c r="F145" s="23" t="s">
        <v>12</v>
      </c>
      <c r="G145" s="90" t="str">
        <f>INDEX('Rate Design (Consol)'!$D$48:$D$66,MATCH('G2-8 Summary'!H145,'Rate Design (Consol)'!$E$48:$E$66,0))</f>
        <v>GS-2</v>
      </c>
      <c r="H145" s="23" t="str">
        <f t="shared" si="75"/>
        <v>General Service - 2</v>
      </c>
      <c r="I145" s="23" t="str">
        <f t="shared" si="63"/>
        <v>FT_GSTS1_General Service - 2</v>
      </c>
      <c r="J145" s="61" t="str">
        <f t="shared" si="89"/>
        <v>Ft. Meade -Ft. Meade - General Transportation Service-1-GS-2</v>
      </c>
      <c r="K145" s="23" t="s">
        <v>159</v>
      </c>
      <c r="L145" s="146">
        <v>0.5</v>
      </c>
      <c r="M145" s="146">
        <v>0.36282849861178018</v>
      </c>
      <c r="N145" s="90" t="str">
        <f>VLOOKUP(E145,'Rate Design (Consol)'!D:F,3,FALSE)</f>
        <v>&gt; 1000 &lt; = 5,000</v>
      </c>
      <c r="O145" s="237">
        <f t="shared" si="76"/>
        <v>2343</v>
      </c>
      <c r="P145" s="171">
        <f t="shared" si="77"/>
        <v>5</v>
      </c>
      <c r="Q145" s="148">
        <f>ROUND(R145/12,0)*12+12</f>
        <v>60</v>
      </c>
      <c r="R145" s="148">
        <v>51.057934397370552</v>
      </c>
      <c r="S145" s="151">
        <v>17.5</v>
      </c>
      <c r="T145" s="25"/>
      <c r="U145" s="148">
        <v>11713.85528239982</v>
      </c>
      <c r="V145" s="238">
        <v>0.55700000000000005</v>
      </c>
      <c r="W145" s="25"/>
      <c r="X145" s="131">
        <f>VLOOKUP(CONCATENATE(C145,B145),'G2-7 Summary'!S:W,2,FALSE)</f>
        <v>1.4560000000000003E-2</v>
      </c>
      <c r="Y145" s="243">
        <f>VLOOKUP(CONCATENATE(C145,B145),'G2-7 Summary'!S:W,3,FALSE)</f>
        <v>5.4980000000000015E-2</v>
      </c>
      <c r="Z145" s="131">
        <f>VLOOKUP(CONCATENATE(C145,B145),'G2-7 Summary'!S:W,4,FALSE)</f>
        <v>0</v>
      </c>
      <c r="AA145" s="243">
        <f>VLOOKUP(CONCATENATE(C145,B145),'G2-7 Summary'!S:W,5,FALSE)</f>
        <v>0.21030000000000004</v>
      </c>
      <c r="AB145" s="25"/>
      <c r="AC145" s="149">
        <f t="shared" si="78"/>
        <v>1050</v>
      </c>
      <c r="AD145" s="149">
        <f t="shared" si="79"/>
        <v>6524.6173922967</v>
      </c>
      <c r="AE145" s="149">
        <f t="shared" si="80"/>
        <v>170.55373291174141</v>
      </c>
      <c r="AF145" s="149"/>
      <c r="AG145" s="149">
        <f t="shared" si="81"/>
        <v>644.02776342634229</v>
      </c>
      <c r="AH145" s="149">
        <f t="shared" si="82"/>
        <v>0</v>
      </c>
      <c r="AI145" s="149">
        <f t="shared" si="83"/>
        <v>2463.4237658886827</v>
      </c>
      <c r="AJ145" s="119">
        <f t="shared" si="74"/>
        <v>10852.622654523468</v>
      </c>
      <c r="AK145" s="27">
        <f t="shared" si="84"/>
        <v>-3107.4515293150253</v>
      </c>
      <c r="AL145" s="27">
        <f t="shared" si="85"/>
        <v>7745.1711252084424</v>
      </c>
      <c r="AM145" s="244"/>
      <c r="AN145" s="27">
        <f>SUMIFS('Rate Design (Consol)'!K:K,'Rate Design (Consol)'!A:A,K145,'Rate Design (Consol)'!D:D,G145)</f>
        <v>50</v>
      </c>
      <c r="AO145" s="23">
        <f>SUMIFS('Rate Design (Consol)'!L:L,'Rate Design (Consol)'!A:A,K145,'Rate Design (Consol)'!D:D,G145)</f>
        <v>0.55700000000000005</v>
      </c>
      <c r="AP145" s="24">
        <f t="shared" si="86"/>
        <v>3000</v>
      </c>
      <c r="AQ145" s="24">
        <f t="shared" si="87"/>
        <v>6524.6173922967</v>
      </c>
      <c r="AR145" s="25">
        <f t="shared" si="88"/>
        <v>9524.6173922966991</v>
      </c>
      <c r="AS145" s="149"/>
      <c r="AT145" s="53"/>
      <c r="AU145" s="53"/>
      <c r="AV145" s="272"/>
      <c r="AW145" s="199"/>
      <c r="AX145" s="53"/>
      <c r="AY145" s="53"/>
    </row>
    <row r="146" spans="1:51" x14ac:dyDescent="0.25">
      <c r="A146" s="23" t="s">
        <v>158</v>
      </c>
      <c r="B146" s="23" t="s">
        <v>160</v>
      </c>
      <c r="C146" s="23" t="s">
        <v>159</v>
      </c>
      <c r="D146" s="23" t="s">
        <v>106</v>
      </c>
      <c r="E146" s="90" t="str">
        <f>INDEX('Rate Design (Consol)'!$B$48:$B$66,MATCH('G2-8 Summary'!F146,'Rate Design (Consol)'!$C$48:$C$66,0))</f>
        <v>GS-3</v>
      </c>
      <c r="F146" s="23" t="s">
        <v>13</v>
      </c>
      <c r="G146" s="90" t="str">
        <f>INDEX('Rate Design (Consol)'!$D$48:$D$66,MATCH('G2-8 Summary'!H146,'Rate Design (Consol)'!$E$48:$E$66,0))</f>
        <v>GS-3</v>
      </c>
      <c r="H146" s="23" t="str">
        <f t="shared" si="75"/>
        <v>General Service - 3</v>
      </c>
      <c r="I146" s="23" t="str">
        <f t="shared" si="63"/>
        <v>FT_GSTS1_General Service - 3</v>
      </c>
      <c r="J146" s="61" t="str">
        <f t="shared" si="89"/>
        <v>Ft. Meade -Ft. Meade - General Transportation Service-1-GS-3</v>
      </c>
      <c r="K146" s="23" t="s">
        <v>159</v>
      </c>
      <c r="L146" s="146">
        <v>0.375</v>
      </c>
      <c r="M146" s="146">
        <v>0.63406860888287198</v>
      </c>
      <c r="N146" s="90" t="str">
        <f>VLOOKUP(E146,'Rate Design (Consol)'!D:F,3,FALSE)</f>
        <v>&gt; 5,000 &lt; = 10,000</v>
      </c>
      <c r="O146" s="237">
        <f t="shared" si="76"/>
        <v>6824</v>
      </c>
      <c r="P146" s="171">
        <f t="shared" si="77"/>
        <v>3</v>
      </c>
      <c r="Q146" s="148">
        <f t="shared" ref="Q146:Q161" si="100">ROUND(R146/12,0)*12</f>
        <v>36</v>
      </c>
      <c r="R146" s="148">
        <v>38.293450798027912</v>
      </c>
      <c r="S146" s="151">
        <v>17.5</v>
      </c>
      <c r="T146" s="25"/>
      <c r="U146" s="148">
        <v>20470.795298562542</v>
      </c>
      <c r="V146" s="238">
        <v>0.55700000000000005</v>
      </c>
      <c r="W146" s="25"/>
      <c r="X146" s="131">
        <f>VLOOKUP(CONCATENATE(C146,B146),'G2-7 Summary'!S:W,2,FALSE)</f>
        <v>1.4560000000000003E-2</v>
      </c>
      <c r="Y146" s="243">
        <f>VLOOKUP(CONCATENATE(C146,B146),'G2-7 Summary'!S:W,3,FALSE)</f>
        <v>5.4980000000000015E-2</v>
      </c>
      <c r="Z146" s="131">
        <f>VLOOKUP(CONCATENATE(C146,B146),'G2-7 Summary'!S:W,4,FALSE)</f>
        <v>0</v>
      </c>
      <c r="AA146" s="243">
        <f>VLOOKUP(CONCATENATE(C146,B146),'G2-7 Summary'!S:W,5,FALSE)</f>
        <v>0.21030000000000004</v>
      </c>
      <c r="AB146" s="25"/>
      <c r="AC146" s="149">
        <f t="shared" si="78"/>
        <v>630</v>
      </c>
      <c r="AD146" s="149">
        <f t="shared" si="79"/>
        <v>11402.232981299338</v>
      </c>
      <c r="AE146" s="149">
        <f t="shared" si="80"/>
        <v>298.05477954707067</v>
      </c>
      <c r="AF146" s="149"/>
      <c r="AG146" s="149">
        <f t="shared" si="81"/>
        <v>1125.4843255149688</v>
      </c>
      <c r="AH146" s="149">
        <f t="shared" si="82"/>
        <v>0</v>
      </c>
      <c r="AI146" s="149">
        <f t="shared" si="83"/>
        <v>4305.0082512877034</v>
      </c>
      <c r="AJ146" s="119">
        <f t="shared" si="74"/>
        <v>17760.780337649077</v>
      </c>
      <c r="AK146" s="27">
        <f t="shared" si="84"/>
        <v>-5430.4925768026724</v>
      </c>
      <c r="AL146" s="27">
        <f t="shared" si="85"/>
        <v>12330.287760846404</v>
      </c>
      <c r="AM146" s="244"/>
      <c r="AN146" s="27">
        <f>SUMIFS('Rate Design (Consol)'!K:K,'Rate Design (Consol)'!A:A,K146,'Rate Design (Consol)'!D:D,G146)</f>
        <v>100</v>
      </c>
      <c r="AO146" s="23">
        <f>SUMIFS('Rate Design (Consol)'!L:L,'Rate Design (Consol)'!A:A,K146,'Rate Design (Consol)'!D:D,G146)</f>
        <v>0.55700000000000005</v>
      </c>
      <c r="AP146" s="24">
        <f t="shared" si="86"/>
        <v>3600</v>
      </c>
      <c r="AQ146" s="24">
        <f t="shared" si="87"/>
        <v>11402.232981299338</v>
      </c>
      <c r="AR146" s="25">
        <f t="shared" si="88"/>
        <v>15002.232981299338</v>
      </c>
      <c r="AS146" s="149"/>
      <c r="AT146" s="53"/>
      <c r="AU146" s="53"/>
      <c r="AV146" s="272"/>
      <c r="AW146" s="199"/>
      <c r="AX146" s="53"/>
      <c r="AY146" s="53"/>
    </row>
    <row r="147" spans="1:51" x14ac:dyDescent="0.25">
      <c r="A147" s="23" t="s">
        <v>158</v>
      </c>
      <c r="B147" s="23" t="s">
        <v>160</v>
      </c>
      <c r="C147" s="23" t="s">
        <v>159</v>
      </c>
      <c r="D147" s="23" t="s">
        <v>106</v>
      </c>
      <c r="E147" s="90" t="str">
        <f>INDEX('Rate Design (Consol)'!$B$48:$B$66,MATCH('G2-8 Summary'!F147,'Rate Design (Consol)'!$C$48:$C$66,0))</f>
        <v>GS-1</v>
      </c>
      <c r="F147" s="23" t="s">
        <v>11</v>
      </c>
      <c r="G147" s="90" t="str">
        <f>INDEX('Rate Design (Consol)'!$D$48:$D$66,MATCH('G2-8 Summary'!H147,'Rate Design (Consol)'!$E$48:$E$66,0))</f>
        <v>GS-1</v>
      </c>
      <c r="H147" s="23" t="str">
        <f t="shared" si="75"/>
        <v>General Service - 1</v>
      </c>
      <c r="I147" s="23" t="str">
        <f t="shared" si="63"/>
        <v>FT_GSTS1_General Service - 1</v>
      </c>
      <c r="J147" s="61" t="str">
        <f t="shared" si="89"/>
        <v>Ft. Meade -Ft. Meade - General Transportation Service-1-GS-1</v>
      </c>
      <c r="K147" s="23" t="s">
        <v>159</v>
      </c>
      <c r="L147" s="146">
        <v>0.125</v>
      </c>
      <c r="M147" s="146">
        <v>3.1028925053478702E-3</v>
      </c>
      <c r="N147" s="90" t="str">
        <f>VLOOKUP(E147,'Rate Design (Consol)'!D:F,3,FALSE)</f>
        <v>&lt; = 1000</v>
      </c>
      <c r="O147" s="237">
        <f t="shared" si="76"/>
        <v>100</v>
      </c>
      <c r="P147" s="171">
        <f t="shared" si="77"/>
        <v>1</v>
      </c>
      <c r="Q147" s="148">
        <f t="shared" si="100"/>
        <v>12</v>
      </c>
      <c r="R147" s="148">
        <v>12.764483599342638</v>
      </c>
      <c r="S147" s="151">
        <v>17.5</v>
      </c>
      <c r="T147" s="25"/>
      <c r="U147" s="148">
        <v>100.17634751281872</v>
      </c>
      <c r="V147" s="238">
        <v>0.55700000000000005</v>
      </c>
      <c r="W147" s="25"/>
      <c r="X147" s="131">
        <f>VLOOKUP(CONCATENATE(C147,B147),'G2-7 Summary'!S:W,2,FALSE)</f>
        <v>1.4560000000000003E-2</v>
      </c>
      <c r="Y147" s="243">
        <f>VLOOKUP(CONCATENATE(C147,B147),'G2-7 Summary'!S:W,3,FALSE)</f>
        <v>5.4980000000000015E-2</v>
      </c>
      <c r="Z147" s="131">
        <f>VLOOKUP(CONCATENATE(C147,B147),'G2-7 Summary'!S:W,4,FALSE)</f>
        <v>0</v>
      </c>
      <c r="AA147" s="243">
        <f>VLOOKUP(CONCATENATE(C147,B147),'G2-7 Summary'!S:W,5,FALSE)</f>
        <v>0.21030000000000004</v>
      </c>
      <c r="AB147" s="25"/>
      <c r="AC147" s="149">
        <f t="shared" si="78"/>
        <v>210</v>
      </c>
      <c r="AD147" s="149">
        <f t="shared" ref="AD147:AD162" si="101">U147*V147</f>
        <v>55.798225564640035</v>
      </c>
      <c r="AE147" s="149">
        <f t="shared" ref="AE147:AE162" si="102">X147*$U147</f>
        <v>1.4585676197866408</v>
      </c>
      <c r="AF147" s="149"/>
      <c r="AG147" s="149">
        <f t="shared" ref="AG147:AG162" si="103">Y147*$U147</f>
        <v>5.5076955862547745</v>
      </c>
      <c r="AH147" s="149">
        <f t="shared" ref="AH147:AH162" si="104">Z147*$U147</f>
        <v>0</v>
      </c>
      <c r="AI147" s="149">
        <f t="shared" ref="AI147:AI162" si="105">AA147*$U147</f>
        <v>21.067085881945783</v>
      </c>
      <c r="AJ147" s="119">
        <f t="shared" ref="AJ147:AJ162" si="106">SUM(AC147:AI147)</f>
        <v>293.83157465262724</v>
      </c>
      <c r="AK147" s="27">
        <f t="shared" ref="AK147:AK162" si="107">-SUM(AG147:AI147)</f>
        <v>-26.574781468200555</v>
      </c>
      <c r="AL147" s="27">
        <f t="shared" ref="AL147:AL162" si="108">AK147+AJ147</f>
        <v>267.25679318442667</v>
      </c>
      <c r="AM147" s="244"/>
      <c r="AN147" s="27">
        <f>SUMIFS('Rate Design (Consol)'!K:K,'Rate Design (Consol)'!A:A,K147,'Rate Design (Consol)'!D:D,G147)</f>
        <v>25</v>
      </c>
      <c r="AO147" s="23">
        <f>SUMIFS('Rate Design (Consol)'!L:L,'Rate Design (Consol)'!A:A,K147,'Rate Design (Consol)'!D:D,G147)</f>
        <v>0.55700000000000005</v>
      </c>
      <c r="AP147" s="24">
        <f t="shared" si="86"/>
        <v>300</v>
      </c>
      <c r="AQ147" s="24">
        <f t="shared" si="87"/>
        <v>55.798225564640035</v>
      </c>
      <c r="AR147" s="25">
        <f t="shared" si="88"/>
        <v>355.79822556464001</v>
      </c>
      <c r="AS147" s="149"/>
      <c r="AT147" s="53"/>
      <c r="AU147" s="53"/>
      <c r="AV147" s="272"/>
      <c r="AW147" s="199"/>
      <c r="AX147" s="53"/>
      <c r="AY147" s="53"/>
    </row>
    <row r="148" spans="1:51" x14ac:dyDescent="0.25">
      <c r="A148" s="23" t="s">
        <v>158</v>
      </c>
      <c r="B148" s="23" t="s">
        <v>161</v>
      </c>
      <c r="C148" s="23" t="s">
        <v>159</v>
      </c>
      <c r="D148" s="23" t="s">
        <v>114</v>
      </c>
      <c r="E148" s="90" t="str">
        <f>INDEX('Rate Design (Consol)'!$B$48:$B$66,MATCH('G2-8 Summary'!F148,'Rate Design (Consol)'!$C$48:$C$66,0))</f>
        <v>GS-4</v>
      </c>
      <c r="F148" s="23" t="s">
        <v>14</v>
      </c>
      <c r="G148" s="90" t="str">
        <f>INDEX('Rate Design (Consol)'!$D$48:$D$66,MATCH('G2-8 Summary'!H148,'Rate Design (Consol)'!$E$48:$E$66,0))</f>
        <v>GS-4</v>
      </c>
      <c r="H148" s="23" t="str">
        <f t="shared" si="75"/>
        <v>General Service - 4</v>
      </c>
      <c r="I148" s="23" t="str">
        <f t="shared" si="63"/>
        <v>FT_LVS_General Service - 4</v>
      </c>
      <c r="J148" s="61" t="str">
        <f t="shared" si="89"/>
        <v>Ft. Meade -Ft. Meade - Large Volume Service-GS-4</v>
      </c>
      <c r="K148" s="23" t="s">
        <v>159</v>
      </c>
      <c r="L148" s="146">
        <v>1</v>
      </c>
      <c r="M148" s="146">
        <v>1</v>
      </c>
      <c r="N148" s="90" t="str">
        <f>VLOOKUP(E148,'Rate Design (Consol)'!D:F,3,FALSE)</f>
        <v>&gt; 10,000 &lt; = 50,000</v>
      </c>
      <c r="O148" s="237">
        <f t="shared" si="76"/>
        <v>13663</v>
      </c>
      <c r="P148" s="171">
        <f t="shared" si="77"/>
        <v>2</v>
      </c>
      <c r="Q148" s="148">
        <f t="shared" si="100"/>
        <v>24</v>
      </c>
      <c r="R148" s="148">
        <v>24</v>
      </c>
      <c r="S148" s="151">
        <v>175</v>
      </c>
      <c r="T148" s="25"/>
      <c r="U148" s="148">
        <v>27325.26</v>
      </c>
      <c r="V148" s="238">
        <v>0.218</v>
      </c>
      <c r="W148" s="25"/>
      <c r="X148" s="131">
        <f>VLOOKUP(CONCATENATE(C148,B148),'G2-7 Summary'!S:W,2,FALSE)</f>
        <v>0</v>
      </c>
      <c r="Y148" s="243">
        <f>VLOOKUP(CONCATENATE(C148,B148),'G2-7 Summary'!S:W,3,FALSE)</f>
        <v>3.4070000000000003E-2</v>
      </c>
      <c r="Z148" s="131">
        <f>VLOOKUP(CONCATENATE(C148,B148),'G2-7 Summary'!S:W,4,FALSE)</f>
        <v>1.0503999999999998</v>
      </c>
      <c r="AA148" s="243">
        <f>VLOOKUP(CONCATENATE(C148,B148),'G2-7 Summary'!S:W,5,FALSE)</f>
        <v>0</v>
      </c>
      <c r="AB148" s="25"/>
      <c r="AC148" s="149">
        <f t="shared" si="78"/>
        <v>4200</v>
      </c>
      <c r="AD148" s="149">
        <f t="shared" si="101"/>
        <v>5956.9066800000001</v>
      </c>
      <c r="AE148" s="149">
        <f t="shared" si="102"/>
        <v>0</v>
      </c>
      <c r="AF148" s="149"/>
      <c r="AG148" s="149">
        <f t="shared" si="103"/>
        <v>930.97160819999999</v>
      </c>
      <c r="AH148" s="149">
        <f t="shared" si="104"/>
        <v>28702.453103999993</v>
      </c>
      <c r="AI148" s="149">
        <f t="shared" si="105"/>
        <v>0</v>
      </c>
      <c r="AJ148" s="119">
        <f t="shared" si="106"/>
        <v>39790.331392199994</v>
      </c>
      <c r="AK148" s="27">
        <f t="shared" si="107"/>
        <v>-29633.424712199994</v>
      </c>
      <c r="AL148" s="27">
        <f t="shared" si="108"/>
        <v>10156.90668</v>
      </c>
      <c r="AM148" s="244"/>
      <c r="AN148" s="27">
        <f>SUMIFS('Rate Design (Consol)'!K:K,'Rate Design (Consol)'!A:A,K148,'Rate Design (Consol)'!D:D,G148)</f>
        <v>225</v>
      </c>
      <c r="AO148" s="23">
        <f>SUMIFS('Rate Design (Consol)'!L:L,'Rate Design (Consol)'!A:A,K148,'Rate Design (Consol)'!D:D,G148)</f>
        <v>0.31365999999999999</v>
      </c>
      <c r="AP148" s="24">
        <f t="shared" si="86"/>
        <v>5400</v>
      </c>
      <c r="AQ148" s="24">
        <f t="shared" si="87"/>
        <v>8570.8410515999985</v>
      </c>
      <c r="AR148" s="25">
        <f t="shared" si="88"/>
        <v>13970.841051599999</v>
      </c>
      <c r="AS148" s="149"/>
      <c r="AT148" s="53"/>
      <c r="AU148" s="53"/>
      <c r="AV148" s="272"/>
      <c r="AW148" s="199"/>
      <c r="AX148" s="53"/>
      <c r="AY148" s="53"/>
    </row>
    <row r="149" spans="1:51" x14ac:dyDescent="0.25">
      <c r="A149" s="23" t="s">
        <v>158</v>
      </c>
      <c r="B149" s="23" t="s">
        <v>162</v>
      </c>
      <c r="C149" s="23" t="s">
        <v>159</v>
      </c>
      <c r="D149" s="23" t="s">
        <v>116</v>
      </c>
      <c r="E149" s="90" t="str">
        <f>INDEX('Rate Design (Consol)'!$B$48:$B$66,MATCH('G2-8 Summary'!F149,'Rate Design (Consol)'!$C$48:$C$66,0))</f>
        <v>GS-4</v>
      </c>
      <c r="F149" s="23" t="s">
        <v>14</v>
      </c>
      <c r="G149" s="90" t="str">
        <f>INDEX('Rate Design (Consol)'!$D$48:$D$66,MATCH('G2-8 Summary'!H149,'Rate Design (Consol)'!$E$48:$E$66,0))</f>
        <v>GS-4</v>
      </c>
      <c r="H149" s="23" t="str">
        <f t="shared" si="75"/>
        <v>General Service - 4</v>
      </c>
      <c r="I149" s="23" t="str">
        <f t="shared" si="63"/>
        <v>FT_LVTS_General Service - 4</v>
      </c>
      <c r="J149" s="61" t="str">
        <f t="shared" si="89"/>
        <v>Ft. Meade -Ft. Meade - Large Volume Transportation Service-GS-4</v>
      </c>
      <c r="K149" s="23" t="s">
        <v>159</v>
      </c>
      <c r="L149" s="146">
        <v>0.5</v>
      </c>
      <c r="M149" s="146">
        <v>0.15517441703883805</v>
      </c>
      <c r="N149" s="90" t="str">
        <f>VLOOKUP(E149,'Rate Design (Consol)'!D:F,3,FALSE)</f>
        <v>&gt; 10,000 &lt; = 50,000</v>
      </c>
      <c r="O149" s="237">
        <f t="shared" si="76"/>
        <v>22010</v>
      </c>
      <c r="P149" s="171">
        <f t="shared" si="77"/>
        <v>1</v>
      </c>
      <c r="Q149" s="148">
        <f t="shared" si="100"/>
        <v>12</v>
      </c>
      <c r="R149" s="148">
        <v>12</v>
      </c>
      <c r="S149" s="151">
        <v>175</v>
      </c>
      <c r="T149" s="25"/>
      <c r="U149" s="148">
        <v>22009.749999999996</v>
      </c>
      <c r="V149" s="238">
        <v>0.218</v>
      </c>
      <c r="W149" s="25"/>
      <c r="X149" s="131">
        <f>VLOOKUP(CONCATENATE(C149,B149),'G2-7 Summary'!S:W,2,FALSE)</f>
        <v>0</v>
      </c>
      <c r="Y149" s="243">
        <f>VLOOKUP(CONCATENATE(C149,B149),'G2-7 Summary'!S:W,3,FALSE)</f>
        <v>3.4069999999999989E-2</v>
      </c>
      <c r="Z149" s="131">
        <f>VLOOKUP(CONCATENATE(C149,B149),'G2-7 Summary'!S:W,4,FALSE)</f>
        <v>0</v>
      </c>
      <c r="AA149" s="243">
        <f>VLOOKUP(CONCATENATE(C149,B149),'G2-7 Summary'!S:W,5,FALSE)</f>
        <v>0</v>
      </c>
      <c r="AB149" s="25"/>
      <c r="AC149" s="149">
        <f t="shared" si="78"/>
        <v>2100</v>
      </c>
      <c r="AD149" s="149">
        <f t="shared" si="101"/>
        <v>4798.1254999999992</v>
      </c>
      <c r="AE149" s="149">
        <f t="shared" si="102"/>
        <v>0</v>
      </c>
      <c r="AF149" s="149"/>
      <c r="AG149" s="149">
        <f t="shared" si="103"/>
        <v>749.87218249999967</v>
      </c>
      <c r="AH149" s="149">
        <f t="shared" si="104"/>
        <v>0</v>
      </c>
      <c r="AI149" s="149">
        <f t="shared" si="105"/>
        <v>0</v>
      </c>
      <c r="AJ149" s="119">
        <f t="shared" si="106"/>
        <v>7647.9976824999985</v>
      </c>
      <c r="AK149" s="27">
        <f t="shared" si="107"/>
        <v>-749.87218249999967</v>
      </c>
      <c r="AL149" s="27">
        <f t="shared" si="108"/>
        <v>6898.1254999999992</v>
      </c>
      <c r="AM149" s="244"/>
      <c r="AN149" s="27">
        <f>SUMIFS('Rate Design (Consol)'!K:K,'Rate Design (Consol)'!A:A,K149,'Rate Design (Consol)'!D:D,G149)</f>
        <v>225</v>
      </c>
      <c r="AO149" s="23">
        <f>SUMIFS('Rate Design (Consol)'!L:L,'Rate Design (Consol)'!A:A,K149,'Rate Design (Consol)'!D:D,G149)</f>
        <v>0.31365999999999999</v>
      </c>
      <c r="AP149" s="24">
        <f t="shared" si="86"/>
        <v>2700</v>
      </c>
      <c r="AQ149" s="24">
        <f t="shared" si="87"/>
        <v>6903.5781849999985</v>
      </c>
      <c r="AR149" s="25">
        <f t="shared" si="88"/>
        <v>9603.5781849999985</v>
      </c>
      <c r="AS149" s="149"/>
      <c r="AT149" s="53"/>
      <c r="AU149" s="53"/>
      <c r="AV149" s="272"/>
      <c r="AW149" s="199"/>
      <c r="AX149" s="53"/>
      <c r="AY149" s="53"/>
    </row>
    <row r="150" spans="1:51" x14ac:dyDescent="0.25">
      <c r="A150" s="23" t="s">
        <v>158</v>
      </c>
      <c r="B150" s="23" t="s">
        <v>162</v>
      </c>
      <c r="C150" s="23" t="s">
        <v>159</v>
      </c>
      <c r="D150" s="23" t="s">
        <v>116</v>
      </c>
      <c r="E150" s="90" t="str">
        <f>INDEX('Rate Design (Consol)'!$B$48:$B$66,MATCH('G2-8 Summary'!F150,'Rate Design (Consol)'!$C$48:$C$66,0))</f>
        <v>GS-5</v>
      </c>
      <c r="F150" s="23" t="s">
        <v>15</v>
      </c>
      <c r="G150" s="90" t="str">
        <f>INDEX('Rate Design (Consol)'!$D$48:$D$66,MATCH('G2-8 Summary'!H150,'Rate Design (Consol)'!$E$48:$E$66,0))</f>
        <v>GS-5</v>
      </c>
      <c r="H150" s="23" t="str">
        <f t="shared" si="75"/>
        <v>General Service - 5</v>
      </c>
      <c r="I150" s="23" t="str">
        <f t="shared" si="63"/>
        <v>FT_LVTS_General Service - 5</v>
      </c>
      <c r="J150" s="61" t="str">
        <f t="shared" si="89"/>
        <v>Ft. Meade -Ft. Meade - Large Volume Transportation Service-GS-5</v>
      </c>
      <c r="K150" s="23" t="s">
        <v>159</v>
      </c>
      <c r="L150" s="146">
        <v>0.5</v>
      </c>
      <c r="M150" s="146">
        <v>0.84482558296116206</v>
      </c>
      <c r="N150" s="90" t="str">
        <f>VLOOKUP(E150,'Rate Design (Consol)'!D:F,3,FALSE)</f>
        <v>&gt; 50,000 &lt; = 250,000</v>
      </c>
      <c r="O150" s="237">
        <f t="shared" si="76"/>
        <v>119829</v>
      </c>
      <c r="P150" s="171">
        <f t="shared" ref="P150:P162" si="109">ROUND(Q150/12,0)</f>
        <v>1</v>
      </c>
      <c r="Q150" s="148">
        <f t="shared" si="100"/>
        <v>12</v>
      </c>
      <c r="R150" s="148">
        <v>12</v>
      </c>
      <c r="S150" s="151">
        <v>175</v>
      </c>
      <c r="T150" s="25"/>
      <c r="U150" s="148">
        <v>119829.02999999998</v>
      </c>
      <c r="V150" s="238">
        <v>0.218</v>
      </c>
      <c r="W150" s="25"/>
      <c r="X150" s="131">
        <f>VLOOKUP(CONCATENATE(C150,B150),'G2-7 Summary'!S:W,2,FALSE)</f>
        <v>0</v>
      </c>
      <c r="Y150" s="243">
        <f>VLOOKUP(CONCATENATE(C150,B150),'G2-7 Summary'!S:W,3,FALSE)</f>
        <v>3.4069999999999989E-2</v>
      </c>
      <c r="Z150" s="131">
        <f>VLOOKUP(CONCATENATE(C150,B150),'G2-7 Summary'!S:W,4,FALSE)</f>
        <v>0</v>
      </c>
      <c r="AA150" s="243">
        <f>VLOOKUP(CONCATENATE(C150,B150),'G2-7 Summary'!S:W,5,FALSE)</f>
        <v>0</v>
      </c>
      <c r="AB150" s="25"/>
      <c r="AC150" s="149">
        <f t="shared" si="78"/>
        <v>2100</v>
      </c>
      <c r="AD150" s="149">
        <f t="shared" si="101"/>
        <v>26122.728539999996</v>
      </c>
      <c r="AE150" s="149">
        <f t="shared" si="102"/>
        <v>0</v>
      </c>
      <c r="AF150" s="149"/>
      <c r="AG150" s="149">
        <f t="shared" si="103"/>
        <v>4082.5750520999982</v>
      </c>
      <c r="AH150" s="149">
        <f t="shared" si="104"/>
        <v>0</v>
      </c>
      <c r="AI150" s="149">
        <f t="shared" si="105"/>
        <v>0</v>
      </c>
      <c r="AJ150" s="119">
        <f t="shared" si="106"/>
        <v>32305.303592099994</v>
      </c>
      <c r="AK150" s="27">
        <f t="shared" si="107"/>
        <v>-4082.5750520999982</v>
      </c>
      <c r="AL150" s="27">
        <f t="shared" si="108"/>
        <v>28222.728539999996</v>
      </c>
      <c r="AM150" s="244"/>
      <c r="AN150" s="27">
        <f>SUMIFS('Rate Design (Consol)'!K:K,'Rate Design (Consol)'!A:A,K150,'Rate Design (Consol)'!D:D,G150)</f>
        <v>300</v>
      </c>
      <c r="AO150" s="23">
        <f>SUMIFS('Rate Design (Consol)'!L:L,'Rate Design (Consol)'!A:A,K150,'Rate Design (Consol)'!D:D,G150)</f>
        <v>0.26922000000000001</v>
      </c>
      <c r="AP150" s="24">
        <f t="shared" si="86"/>
        <v>3600</v>
      </c>
      <c r="AQ150" s="24">
        <f t="shared" si="87"/>
        <v>32260.371456599998</v>
      </c>
      <c r="AR150" s="25">
        <f t="shared" si="88"/>
        <v>35860.371456599998</v>
      </c>
      <c r="AS150" s="149"/>
      <c r="AT150" s="53"/>
      <c r="AU150" s="53"/>
      <c r="AV150" s="272"/>
      <c r="AW150" s="199"/>
      <c r="AX150" s="53"/>
      <c r="AY150" s="53"/>
    </row>
    <row r="151" spans="1:51" x14ac:dyDescent="0.25">
      <c r="A151" s="23" t="s">
        <v>158</v>
      </c>
      <c r="B151" s="23" t="s">
        <v>163</v>
      </c>
      <c r="C151" s="23" t="s">
        <v>159</v>
      </c>
      <c r="D151" s="23" t="s">
        <v>76</v>
      </c>
      <c r="E151" s="90" t="str">
        <f>INDEX('Rate Design (Consol)'!$B$48:$B$66,MATCH('G2-8 Summary'!F151,'Rate Design (Consol)'!$C$48:$C$66,0))</f>
        <v>RES-1</v>
      </c>
      <c r="F151" s="23" t="s">
        <v>8</v>
      </c>
      <c r="G151" s="90" t="str">
        <f>INDEX('Rate Design (Consol)'!$D$48:$D$66,MATCH('G2-8 Summary'!H151,'Rate Design (Consol)'!$E$48:$E$66,0))</f>
        <v>RES-1</v>
      </c>
      <c r="H151" s="23" t="str">
        <f t="shared" si="75"/>
        <v>Residential - 1</v>
      </c>
      <c r="I151" s="23" t="str">
        <f t="shared" si="63"/>
        <v>FT_RS_Residential - 1</v>
      </c>
      <c r="J151" s="61" t="str">
        <f t="shared" si="89"/>
        <v>Ft. Meade -Ft. Meade - Residential Service-RES-1</v>
      </c>
      <c r="K151" s="23" t="s">
        <v>159</v>
      </c>
      <c r="L151" s="146">
        <v>0.50180505415162457</v>
      </c>
      <c r="M151" s="146">
        <v>0.19498363361000476</v>
      </c>
      <c r="N151" s="90" t="str">
        <f>VLOOKUP(E151,'Rate Design (Consol)'!D:F,3,FALSE)</f>
        <v>&lt; = 100</v>
      </c>
      <c r="O151" s="237">
        <f t="shared" si="76"/>
        <v>45</v>
      </c>
      <c r="P151" s="171">
        <f t="shared" si="109"/>
        <v>249</v>
      </c>
      <c r="Q151" s="148">
        <f t="shared" si="100"/>
        <v>2988</v>
      </c>
      <c r="R151" s="148">
        <v>2988.6326398250771</v>
      </c>
      <c r="S151" s="151">
        <v>8.5</v>
      </c>
      <c r="T151" s="25"/>
      <c r="U151" s="148">
        <v>11104.707191948544</v>
      </c>
      <c r="V151" s="238">
        <v>0.55700000000000005</v>
      </c>
      <c r="W151" s="25"/>
      <c r="X151" s="131">
        <f>VLOOKUP(CONCATENATE(C151,B151),'G2-7 Summary'!S:W,2,FALSE)</f>
        <v>0.15245000000000003</v>
      </c>
      <c r="Y151" s="243">
        <f>VLOOKUP(CONCATENATE(C151,B151),'G2-7 Summary'!S:W,3,FALSE)</f>
        <v>8.6269999999999999E-2</v>
      </c>
      <c r="Z151" s="131">
        <f>VLOOKUP(CONCATENATE(C151,B151),'G2-7 Summary'!S:W,4,FALSE)</f>
        <v>1.0504</v>
      </c>
      <c r="AA151" s="243">
        <f>VLOOKUP(CONCATENATE(C151,B151),'G2-7 Summary'!S:W,5,FALSE)</f>
        <v>0</v>
      </c>
      <c r="AB151" s="25"/>
      <c r="AC151" s="149">
        <f t="shared" si="78"/>
        <v>25398</v>
      </c>
      <c r="AD151" s="149">
        <f t="shared" si="101"/>
        <v>6185.3219059153398</v>
      </c>
      <c r="AE151" s="149">
        <f t="shared" si="102"/>
        <v>1692.9126114125559</v>
      </c>
      <c r="AF151" s="149"/>
      <c r="AG151" s="149">
        <f t="shared" si="103"/>
        <v>958.00308944940093</v>
      </c>
      <c r="AH151" s="149">
        <f t="shared" si="104"/>
        <v>11664.384434422751</v>
      </c>
      <c r="AI151" s="149">
        <f t="shared" si="105"/>
        <v>0</v>
      </c>
      <c r="AJ151" s="119">
        <f t="shared" si="106"/>
        <v>45898.62204120004</v>
      </c>
      <c r="AK151" s="27">
        <f t="shared" si="107"/>
        <v>-12622.387523872152</v>
      </c>
      <c r="AL151" s="27">
        <f t="shared" si="108"/>
        <v>33276.234517327888</v>
      </c>
      <c r="AM151" s="244"/>
      <c r="AN151" s="27">
        <f>SUMIFS('Rate Design (Consol)'!K:K,'Rate Design (Consol)'!A:A,K151,'Rate Design (Consol)'!D:D,G151)</f>
        <v>11.5</v>
      </c>
      <c r="AO151" s="23">
        <f>SUMIFS('Rate Design (Consol)'!L:L,'Rate Design (Consol)'!A:A,K151,'Rate Design (Consol)'!D:D,G151)</f>
        <v>0.58026</v>
      </c>
      <c r="AP151" s="24">
        <f t="shared" si="86"/>
        <v>34362</v>
      </c>
      <c r="AQ151" s="24">
        <f t="shared" si="87"/>
        <v>6443.6173952000627</v>
      </c>
      <c r="AR151" s="25">
        <f t="shared" si="88"/>
        <v>40805.617395200061</v>
      </c>
      <c r="AS151" s="149"/>
      <c r="AT151" s="53"/>
      <c r="AU151" s="53"/>
      <c r="AV151" s="272"/>
      <c r="AW151" s="199"/>
      <c r="AX151" s="53"/>
      <c r="AY151" s="53"/>
    </row>
    <row r="152" spans="1:51" x14ac:dyDescent="0.25">
      <c r="A152" s="23" t="s">
        <v>158</v>
      </c>
      <c r="B152" s="23" t="s">
        <v>163</v>
      </c>
      <c r="C152" s="23" t="s">
        <v>159</v>
      </c>
      <c r="D152" s="23" t="s">
        <v>76</v>
      </c>
      <c r="E152" s="90" t="str">
        <f>INDEX('Rate Design (Consol)'!$B$48:$B$66,MATCH('G2-8 Summary'!F152,'Rate Design (Consol)'!$C$48:$C$66,0))</f>
        <v>RES-3</v>
      </c>
      <c r="F152" s="23" t="s">
        <v>266</v>
      </c>
      <c r="G152" s="90" t="str">
        <f>INDEX('Rate Design (Consol)'!$D$48:$D$66,MATCH('G2-8 Summary'!H152,'Rate Design (Consol)'!$E$48:$E$66,0))</f>
        <v>RES-3</v>
      </c>
      <c r="H152" s="23" t="str">
        <f t="shared" si="75"/>
        <v>Residential - 3</v>
      </c>
      <c r="I152" s="23" t="str">
        <f t="shared" si="63"/>
        <v>FT_RS_Residential - 3</v>
      </c>
      <c r="J152" s="61" t="str">
        <f t="shared" si="89"/>
        <v>Ft. Meade -Ft. Meade - Residential Service-RES-3</v>
      </c>
      <c r="K152" s="23" t="s">
        <v>159</v>
      </c>
      <c r="L152" s="146">
        <v>8.4837545126353789E-2</v>
      </c>
      <c r="M152" s="146">
        <v>0.27526593437039798</v>
      </c>
      <c r="N152" s="90" t="str">
        <f>VLOOKUP(E152,'Rate Design (Consol)'!D:F,3,FALSE)</f>
        <v>&gt; 250</v>
      </c>
      <c r="O152" s="237">
        <f t="shared" si="76"/>
        <v>373</v>
      </c>
      <c r="P152" s="171">
        <f t="shared" si="109"/>
        <v>42</v>
      </c>
      <c r="Q152" s="148">
        <f t="shared" si="100"/>
        <v>504</v>
      </c>
      <c r="R152" s="148">
        <v>505.27242471862809</v>
      </c>
      <c r="S152" s="151">
        <v>8.5</v>
      </c>
      <c r="T152" s="25"/>
      <c r="U152" s="148">
        <v>15676.944492763572</v>
      </c>
      <c r="V152" s="238">
        <v>0.55700000000000005</v>
      </c>
      <c r="W152" s="25"/>
      <c r="X152" s="131">
        <f>VLOOKUP(CONCATENATE(C152,B152),'G2-7 Summary'!S:W,2,FALSE)</f>
        <v>0.15245000000000003</v>
      </c>
      <c r="Y152" s="243">
        <f>VLOOKUP(CONCATENATE(C152,B152),'G2-7 Summary'!S:W,3,FALSE)</f>
        <v>8.6269999999999999E-2</v>
      </c>
      <c r="Z152" s="131">
        <f>VLOOKUP(CONCATENATE(C152,B152),'G2-7 Summary'!S:W,4,FALSE)</f>
        <v>1.0504</v>
      </c>
      <c r="AA152" s="243">
        <f>VLOOKUP(CONCATENATE(C152,B152),'G2-7 Summary'!S:W,5,FALSE)</f>
        <v>0</v>
      </c>
      <c r="AB152" s="25"/>
      <c r="AC152" s="149">
        <f t="shared" si="78"/>
        <v>4284</v>
      </c>
      <c r="AD152" s="149">
        <f t="shared" si="101"/>
        <v>8732.0580824693097</v>
      </c>
      <c r="AE152" s="149">
        <f t="shared" si="102"/>
        <v>2389.9501879218069</v>
      </c>
      <c r="AF152" s="149"/>
      <c r="AG152" s="149">
        <f t="shared" si="103"/>
        <v>1352.4500013907134</v>
      </c>
      <c r="AH152" s="149">
        <f t="shared" si="104"/>
        <v>16467.062495198858</v>
      </c>
      <c r="AI152" s="149">
        <f t="shared" si="105"/>
        <v>0</v>
      </c>
      <c r="AJ152" s="119">
        <f t="shared" si="106"/>
        <v>33225.520766980684</v>
      </c>
      <c r="AK152" s="27">
        <f t="shared" si="107"/>
        <v>-17819.51249658957</v>
      </c>
      <c r="AL152" s="27">
        <f t="shared" si="108"/>
        <v>15406.008270391114</v>
      </c>
      <c r="AM152" s="244"/>
      <c r="AN152" s="27">
        <f>SUMIFS('Rate Design (Consol)'!K:K,'Rate Design (Consol)'!A:A,K152,'Rate Design (Consol)'!D:D,G152)</f>
        <v>16.5</v>
      </c>
      <c r="AO152" s="23">
        <f>SUMIFS('Rate Design (Consol)'!L:L,'Rate Design (Consol)'!A:A,K152,'Rate Design (Consol)'!D:D,G152)</f>
        <v>0.58026</v>
      </c>
      <c r="AP152" s="24">
        <f t="shared" si="86"/>
        <v>8316</v>
      </c>
      <c r="AQ152" s="24">
        <f t="shared" si="87"/>
        <v>9096.7038113709896</v>
      </c>
      <c r="AR152" s="25">
        <f t="shared" si="88"/>
        <v>17412.70381137099</v>
      </c>
      <c r="AS152" s="149"/>
      <c r="AT152" s="53"/>
      <c r="AU152" s="53"/>
      <c r="AV152" s="272"/>
      <c r="AW152" s="199"/>
      <c r="AX152" s="53"/>
      <c r="AY152" s="53"/>
    </row>
    <row r="153" spans="1:51" x14ac:dyDescent="0.25">
      <c r="A153" s="23" t="s">
        <v>158</v>
      </c>
      <c r="B153" s="23" t="s">
        <v>163</v>
      </c>
      <c r="C153" s="23" t="s">
        <v>159</v>
      </c>
      <c r="D153" s="23" t="s">
        <v>76</v>
      </c>
      <c r="E153" s="90" t="str">
        <f>INDEX('Rate Design (Consol)'!$B$48:$B$66,MATCH('G2-8 Summary'!F153,'Rate Design (Consol)'!$C$48:$C$66,0))</f>
        <v>RES-2</v>
      </c>
      <c r="F153" s="23" t="s">
        <v>9</v>
      </c>
      <c r="G153" s="90" t="str">
        <f>INDEX('Rate Design (Consol)'!$D$48:$D$66,MATCH('G2-8 Summary'!H153,'Rate Design (Consol)'!$E$48:$E$66,0))</f>
        <v>RES-2</v>
      </c>
      <c r="H153" s="23" t="str">
        <f t="shared" si="75"/>
        <v>Residential - 2</v>
      </c>
      <c r="I153" s="23" t="str">
        <f t="shared" si="63"/>
        <v>FT_RS_Residential - 2</v>
      </c>
      <c r="J153" s="61" t="str">
        <f t="shared" si="89"/>
        <v>Ft. Meade -Ft. Meade - Residential Service-RES-2</v>
      </c>
      <c r="K153" s="23" t="s">
        <v>159</v>
      </c>
      <c r="L153" s="146">
        <v>0.41335740072202165</v>
      </c>
      <c r="M153" s="146">
        <v>0.52975043201959726</v>
      </c>
      <c r="N153" s="90" t="str">
        <f>VLOOKUP(E153,'Rate Design (Consol)'!D:F,3,FALSE)</f>
        <v>&gt; 100 &lt; = 250</v>
      </c>
      <c r="O153" s="237">
        <f t="shared" si="76"/>
        <v>147</v>
      </c>
      <c r="P153" s="171">
        <f t="shared" si="109"/>
        <v>205</v>
      </c>
      <c r="Q153" s="148">
        <f t="shared" si="100"/>
        <v>2460</v>
      </c>
      <c r="R153" s="148">
        <v>2461.8592608631029</v>
      </c>
      <c r="S153" s="151">
        <v>8.5</v>
      </c>
      <c r="T153" s="25"/>
      <c r="U153" s="148">
        <v>30170.344676990484</v>
      </c>
      <c r="V153" s="238">
        <v>0.55700000000000005</v>
      </c>
      <c r="W153" s="25"/>
      <c r="X153" s="131">
        <f>VLOOKUP(CONCATENATE(C153,B153),'G2-7 Summary'!S:W,2,FALSE)</f>
        <v>0.15245000000000003</v>
      </c>
      <c r="Y153" s="243">
        <f>VLOOKUP(CONCATENATE(C153,B153),'G2-7 Summary'!S:W,3,FALSE)</f>
        <v>8.6269999999999999E-2</v>
      </c>
      <c r="Z153" s="131">
        <f>VLOOKUP(CONCATENATE(C153,B153),'G2-7 Summary'!S:W,4,FALSE)</f>
        <v>1.0504</v>
      </c>
      <c r="AA153" s="243">
        <f>VLOOKUP(CONCATENATE(C153,B153),'G2-7 Summary'!S:W,5,FALSE)</f>
        <v>0</v>
      </c>
      <c r="AB153" s="25"/>
      <c r="AC153" s="149">
        <f t="shared" si="78"/>
        <v>20910</v>
      </c>
      <c r="AD153" s="149">
        <f t="shared" si="101"/>
        <v>16804.881985083703</v>
      </c>
      <c r="AE153" s="149">
        <f t="shared" si="102"/>
        <v>4599.4690460072006</v>
      </c>
      <c r="AF153" s="149"/>
      <c r="AG153" s="149">
        <f t="shared" si="103"/>
        <v>2602.7956352839692</v>
      </c>
      <c r="AH153" s="149">
        <f t="shared" si="104"/>
        <v>31690.930048710805</v>
      </c>
      <c r="AI153" s="149">
        <f t="shared" si="105"/>
        <v>0</v>
      </c>
      <c r="AJ153" s="119">
        <f t="shared" si="106"/>
        <v>76608.076715085685</v>
      </c>
      <c r="AK153" s="27">
        <f t="shared" si="107"/>
        <v>-34293.725683994773</v>
      </c>
      <c r="AL153" s="27">
        <f t="shared" si="108"/>
        <v>42314.351031090911</v>
      </c>
      <c r="AM153" s="244"/>
      <c r="AN153" s="27">
        <f>SUMIFS('Rate Design (Consol)'!K:K,'Rate Design (Consol)'!A:A,K153,'Rate Design (Consol)'!D:D,G153)</f>
        <v>12.5</v>
      </c>
      <c r="AO153" s="23">
        <f>SUMIFS('Rate Design (Consol)'!L:L,'Rate Design (Consol)'!A:A,K153,'Rate Design (Consol)'!D:D,G153)</f>
        <v>0.58026</v>
      </c>
      <c r="AP153" s="24">
        <f t="shared" si="86"/>
        <v>30750</v>
      </c>
      <c r="AQ153" s="24">
        <f t="shared" si="87"/>
        <v>17506.644202270498</v>
      </c>
      <c r="AR153" s="25">
        <f t="shared" si="88"/>
        <v>48256.644202270501</v>
      </c>
      <c r="AS153" s="149"/>
      <c r="AT153" s="53"/>
      <c r="AU153" s="53"/>
      <c r="AV153" s="272"/>
      <c r="AW153" s="199"/>
      <c r="AX153" s="53"/>
      <c r="AY153" s="53"/>
    </row>
    <row r="154" spans="1:51" x14ac:dyDescent="0.25">
      <c r="A154" s="23" t="s">
        <v>151</v>
      </c>
      <c r="B154" s="23" t="s">
        <v>153</v>
      </c>
      <c r="C154" s="23" t="s">
        <v>154</v>
      </c>
      <c r="D154" s="23" t="s">
        <v>77</v>
      </c>
      <c r="E154" s="90" t="str">
        <f>INDEX('Rate Design (Consol)'!$B$48:$B$66,MATCH('G2-8 Summary'!F154,'Rate Design (Consol)'!$C$48:$C$66,0))</f>
        <v>RES-1</v>
      </c>
      <c r="F154" s="23" t="s">
        <v>8</v>
      </c>
      <c r="G154" s="90" t="str">
        <f>INDEX('Rate Design (Consol)'!$D$48:$D$66,MATCH('G2-8 Summary'!H154,'Rate Design (Consol)'!$E$48:$E$66,0))</f>
        <v>RES-1</v>
      </c>
      <c r="H154" s="23" t="str">
        <f t="shared" si="75"/>
        <v>Residential - 1</v>
      </c>
      <c r="I154" s="23" t="str">
        <f t="shared" si="63"/>
        <v>FI_TS-1_Residential - 1</v>
      </c>
      <c r="J154" s="61" t="str">
        <f t="shared" si="89"/>
        <v>Indiantown-Indiantown - Transportation Service 1-RES-1</v>
      </c>
      <c r="K154" s="61" t="s">
        <v>154</v>
      </c>
      <c r="L154" s="146">
        <v>0.26627218934911245</v>
      </c>
      <c r="M154" s="146">
        <v>9.5903465718150227E-2</v>
      </c>
      <c r="N154" s="90" t="str">
        <f>VLOOKUP(E154,'Rate Design (Consol)'!D:F,3,FALSE)</f>
        <v>&lt; = 100</v>
      </c>
      <c r="O154" s="237">
        <f t="shared" si="76"/>
        <v>53</v>
      </c>
      <c r="P154" s="171">
        <f t="shared" si="109"/>
        <v>181</v>
      </c>
      <c r="Q154" s="148">
        <f t="shared" si="100"/>
        <v>2172</v>
      </c>
      <c r="R154" s="148">
        <v>2167.089379985402</v>
      </c>
      <c r="S154" s="151">
        <v>9</v>
      </c>
      <c r="T154" s="25"/>
      <c r="U154" s="148">
        <v>9614.1953256705656</v>
      </c>
      <c r="V154" s="238">
        <v>0.37835000000000002</v>
      </c>
      <c r="W154" s="25"/>
      <c r="X154" s="131">
        <f>VLOOKUP(CONCATENATE(C154,B154),'G2-7 Summary'!S:W,2,FALSE)</f>
        <v>0</v>
      </c>
      <c r="Y154" s="243">
        <f>VLOOKUP(CONCATENATE(C154,B154),'G2-7 Summary'!S:W,3,FALSE)</f>
        <v>8.3949999999999997E-2</v>
      </c>
      <c r="Z154" s="131">
        <f>VLOOKUP(CONCATENATE(C154,B154),'G2-7 Summary'!S:W,4,FALSE)</f>
        <v>0</v>
      </c>
      <c r="AA154" s="243">
        <f>VLOOKUP(CONCATENATE(C154,B154),'G2-7 Summary'!S:W,5,FALSE)</f>
        <v>0.15730000000000002</v>
      </c>
      <c r="AB154" s="25"/>
      <c r="AC154" s="149">
        <f t="shared" si="78"/>
        <v>19548</v>
      </c>
      <c r="AD154" s="149">
        <f t="shared" si="101"/>
        <v>3637.5308014674588</v>
      </c>
      <c r="AE154" s="149">
        <f t="shared" si="102"/>
        <v>0</v>
      </c>
      <c r="AF154" s="149"/>
      <c r="AG154" s="149">
        <f t="shared" si="103"/>
        <v>807.11169759004395</v>
      </c>
      <c r="AH154" s="149">
        <f t="shared" si="104"/>
        <v>0</v>
      </c>
      <c r="AI154" s="149">
        <f t="shared" si="105"/>
        <v>1512.3129247279801</v>
      </c>
      <c r="AJ154" s="119">
        <f t="shared" si="106"/>
        <v>25504.955423785483</v>
      </c>
      <c r="AK154" s="27">
        <f t="shared" si="107"/>
        <v>-2319.4246223180239</v>
      </c>
      <c r="AL154" s="27">
        <f t="shared" si="108"/>
        <v>23185.530801467459</v>
      </c>
      <c r="AM154" s="244"/>
      <c r="AN154" s="27">
        <f>SUMIFS('Rate Design (Consol)'!K:K,'Rate Design (Consol)'!A:A,K154,'Rate Design (Consol)'!D:D,G154)</f>
        <v>11.5</v>
      </c>
      <c r="AO154" s="23">
        <f>SUMIFS('Rate Design (Consol)'!L:L,'Rate Design (Consol)'!A:A,K154,'Rate Design (Consol)'!D:D,G154)</f>
        <v>0.37835000000000002</v>
      </c>
      <c r="AP154" s="24">
        <f t="shared" si="86"/>
        <v>24978</v>
      </c>
      <c r="AQ154" s="24">
        <f t="shared" si="87"/>
        <v>3637.5308014674588</v>
      </c>
      <c r="AR154" s="25">
        <f t="shared" si="88"/>
        <v>28615.530801467459</v>
      </c>
      <c r="AS154" s="149"/>
      <c r="AT154" s="53"/>
      <c r="AU154" s="53"/>
      <c r="AV154" s="272"/>
      <c r="AW154" s="199"/>
      <c r="AX154" s="53"/>
      <c r="AY154" s="53"/>
    </row>
    <row r="155" spans="1:51" x14ac:dyDescent="0.25">
      <c r="A155" s="23" t="s">
        <v>151</v>
      </c>
      <c r="B155" s="23" t="s">
        <v>153</v>
      </c>
      <c r="C155" s="23" t="s">
        <v>154</v>
      </c>
      <c r="D155" s="23" t="s">
        <v>77</v>
      </c>
      <c r="E155" s="90" t="str">
        <f>INDEX('Rate Design (Consol)'!$B$48:$B$66,MATCH('G2-8 Summary'!F155,'Rate Design (Consol)'!$C$48:$C$66,0))</f>
        <v>RES-3</v>
      </c>
      <c r="F155" s="23" t="s">
        <v>266</v>
      </c>
      <c r="G155" s="90" t="str">
        <f>INDEX('Rate Design (Consol)'!$D$48:$D$66,MATCH('G2-8 Summary'!H155,'Rate Design (Consol)'!$E$48:$E$66,0))</f>
        <v>RES-3</v>
      </c>
      <c r="H155" s="23" t="str">
        <f t="shared" si="75"/>
        <v>Residential - 3</v>
      </c>
      <c r="I155" s="23" t="str">
        <f t="shared" si="63"/>
        <v>FI_TS-1_Residential - 3</v>
      </c>
      <c r="J155" s="61" t="str">
        <f t="shared" si="89"/>
        <v>Indiantown-Indiantown - Transportation Service 1-RES-3</v>
      </c>
      <c r="K155" s="61" t="s">
        <v>154</v>
      </c>
      <c r="L155" s="146">
        <v>0.17603550295857989</v>
      </c>
      <c r="M155" s="146">
        <v>0.36276931991963934</v>
      </c>
      <c r="N155" s="90" t="str">
        <f>VLOOKUP(E155,'Rate Design (Consol)'!D:F,3,FALSE)</f>
        <v>&gt; 250</v>
      </c>
      <c r="O155" s="237">
        <f t="shared" si="76"/>
        <v>306</v>
      </c>
      <c r="P155" s="171">
        <f t="shared" si="109"/>
        <v>119</v>
      </c>
      <c r="Q155" s="148">
        <f t="shared" si="100"/>
        <v>1428</v>
      </c>
      <c r="R155" s="148">
        <v>1432.686867879238</v>
      </c>
      <c r="S155" s="151">
        <v>9</v>
      </c>
      <c r="T155" s="25"/>
      <c r="U155" s="148">
        <v>36367.143499465987</v>
      </c>
      <c r="V155" s="238">
        <v>0.37835000000000002</v>
      </c>
      <c r="W155" s="25"/>
      <c r="X155" s="131">
        <f>VLOOKUP(CONCATENATE(C155,B155),'G2-7 Summary'!S:W,2,FALSE)</f>
        <v>0</v>
      </c>
      <c r="Y155" s="243">
        <f>VLOOKUP(CONCATENATE(C155,B155),'G2-7 Summary'!S:W,3,FALSE)</f>
        <v>8.3949999999999997E-2</v>
      </c>
      <c r="Z155" s="131">
        <f>VLOOKUP(CONCATENATE(C155,B155),'G2-7 Summary'!S:W,4,FALSE)</f>
        <v>0</v>
      </c>
      <c r="AA155" s="243">
        <f>VLOOKUP(CONCATENATE(C155,B155),'G2-7 Summary'!S:W,5,FALSE)</f>
        <v>0.15730000000000002</v>
      </c>
      <c r="AB155" s="25"/>
      <c r="AC155" s="149">
        <f t="shared" si="78"/>
        <v>12852</v>
      </c>
      <c r="AD155" s="149">
        <f t="shared" si="101"/>
        <v>13759.508743022956</v>
      </c>
      <c r="AE155" s="149">
        <f t="shared" si="102"/>
        <v>0</v>
      </c>
      <c r="AF155" s="149"/>
      <c r="AG155" s="149">
        <f t="shared" si="103"/>
        <v>3053.0216967801693</v>
      </c>
      <c r="AH155" s="149">
        <f t="shared" si="104"/>
        <v>0</v>
      </c>
      <c r="AI155" s="149">
        <f t="shared" si="105"/>
        <v>5720.5516724660001</v>
      </c>
      <c r="AJ155" s="119">
        <f t="shared" si="106"/>
        <v>35385.08211226912</v>
      </c>
      <c r="AK155" s="27">
        <f t="shared" si="107"/>
        <v>-8773.573369246169</v>
      </c>
      <c r="AL155" s="27">
        <f t="shared" si="108"/>
        <v>26611.508743022951</v>
      </c>
      <c r="AM155" s="244"/>
      <c r="AN155" s="27">
        <f>SUMIFS('Rate Design (Consol)'!K:K,'Rate Design (Consol)'!A:A,K155,'Rate Design (Consol)'!D:D,G155)</f>
        <v>16.5</v>
      </c>
      <c r="AO155" s="23">
        <f>SUMIFS('Rate Design (Consol)'!L:L,'Rate Design (Consol)'!A:A,K155,'Rate Design (Consol)'!D:D,G155)</f>
        <v>0.25219999999999998</v>
      </c>
      <c r="AP155" s="24">
        <f t="shared" si="86"/>
        <v>23562</v>
      </c>
      <c r="AQ155" s="24">
        <f t="shared" si="87"/>
        <v>9171.7935905653212</v>
      </c>
      <c r="AR155" s="25">
        <f t="shared" si="88"/>
        <v>32733.793590565321</v>
      </c>
      <c r="AS155" s="149"/>
      <c r="AT155" s="53"/>
      <c r="AU155" s="53"/>
      <c r="AV155" s="272"/>
      <c r="AW155" s="199"/>
      <c r="AX155" s="53"/>
      <c r="AY155" s="53"/>
    </row>
    <row r="156" spans="1:51" x14ac:dyDescent="0.25">
      <c r="A156" s="23" t="s">
        <v>151</v>
      </c>
      <c r="B156" s="23" t="s">
        <v>153</v>
      </c>
      <c r="C156" s="23" t="s">
        <v>154</v>
      </c>
      <c r="D156" s="23" t="s">
        <v>77</v>
      </c>
      <c r="E156" s="90" t="str">
        <f>INDEX('Rate Design (Consol)'!$B$48:$B$66,MATCH('G2-8 Summary'!F156,'Rate Design (Consol)'!$C$48:$C$66,0))</f>
        <v>RES-2</v>
      </c>
      <c r="F156" s="23" t="s">
        <v>9</v>
      </c>
      <c r="G156" s="90" t="str">
        <f>INDEX('Rate Design (Consol)'!$D$48:$D$66,MATCH('G2-8 Summary'!H156,'Rate Design (Consol)'!$E$48:$E$66,0))</f>
        <v>RES-2</v>
      </c>
      <c r="H156" s="23" t="str">
        <f t="shared" si="75"/>
        <v>Residential - 2</v>
      </c>
      <c r="I156" s="23" t="str">
        <f t="shared" si="63"/>
        <v>FI_TS-1_Residential - 2</v>
      </c>
      <c r="J156" s="61" t="str">
        <f t="shared" si="89"/>
        <v>Indiantown-Indiantown - Transportation Service 1-RES-2</v>
      </c>
      <c r="K156" s="61" t="s">
        <v>154</v>
      </c>
      <c r="L156" s="146">
        <v>0.55769230769230771</v>
      </c>
      <c r="M156" s="146">
        <v>0.54132721436221054</v>
      </c>
      <c r="N156" s="90" t="str">
        <f>VLOOKUP(E156,'Rate Design (Consol)'!D:F,3,FALSE)</f>
        <v>&gt; 100 &lt; = 250</v>
      </c>
      <c r="O156" s="237">
        <f t="shared" si="76"/>
        <v>144</v>
      </c>
      <c r="P156" s="171">
        <f t="shared" si="109"/>
        <v>378</v>
      </c>
      <c r="Q156" s="148">
        <f t="shared" si="100"/>
        <v>4536</v>
      </c>
      <c r="R156" s="148">
        <v>4538.8483125249804</v>
      </c>
      <c r="S156" s="151">
        <v>9</v>
      </c>
      <c r="T156" s="25"/>
      <c r="U156" s="148">
        <v>54266.33575275234</v>
      </c>
      <c r="V156" s="238">
        <v>0.37835000000000002</v>
      </c>
      <c r="W156" s="25"/>
      <c r="X156" s="131">
        <f>VLOOKUP(CONCATENATE(C156,B156),'G2-7 Summary'!S:W,2,FALSE)</f>
        <v>0</v>
      </c>
      <c r="Y156" s="243">
        <f>VLOOKUP(CONCATENATE(C156,B156),'G2-7 Summary'!S:W,3,FALSE)</f>
        <v>8.3949999999999997E-2</v>
      </c>
      <c r="Z156" s="131">
        <f>VLOOKUP(CONCATENATE(C156,B156),'G2-7 Summary'!S:W,4,FALSE)</f>
        <v>0</v>
      </c>
      <c r="AA156" s="243">
        <f>VLOOKUP(CONCATENATE(C156,B156),'G2-7 Summary'!S:W,5,FALSE)</f>
        <v>0.15730000000000002</v>
      </c>
      <c r="AB156" s="25"/>
      <c r="AC156" s="149">
        <f t="shared" si="78"/>
        <v>40824</v>
      </c>
      <c r="AD156" s="149">
        <f t="shared" si="101"/>
        <v>20531.668132053848</v>
      </c>
      <c r="AE156" s="149">
        <f t="shared" si="102"/>
        <v>0</v>
      </c>
      <c r="AF156" s="149"/>
      <c r="AG156" s="149">
        <f t="shared" si="103"/>
        <v>4555.6588864435589</v>
      </c>
      <c r="AH156" s="149">
        <f t="shared" si="104"/>
        <v>0</v>
      </c>
      <c r="AI156" s="149">
        <f t="shared" si="105"/>
        <v>8536.0946139079442</v>
      </c>
      <c r="AJ156" s="119">
        <f t="shared" si="106"/>
        <v>74447.421632405356</v>
      </c>
      <c r="AK156" s="27">
        <f t="shared" si="107"/>
        <v>-13091.753500351504</v>
      </c>
      <c r="AL156" s="27">
        <f t="shared" si="108"/>
        <v>61355.668132053848</v>
      </c>
      <c r="AM156" s="244"/>
      <c r="AN156" s="27">
        <f>SUMIFS('Rate Design (Consol)'!K:K,'Rate Design (Consol)'!A:A,K156,'Rate Design (Consol)'!D:D,G156)</f>
        <v>12.5</v>
      </c>
      <c r="AO156" s="23">
        <f>SUMIFS('Rate Design (Consol)'!L:L,'Rate Design (Consol)'!A:A,K156,'Rate Design (Consol)'!D:D,G156)</f>
        <v>0.37835000000000002</v>
      </c>
      <c r="AP156" s="24">
        <f t="shared" si="86"/>
        <v>56700</v>
      </c>
      <c r="AQ156" s="24">
        <f t="shared" si="87"/>
        <v>20531.668132053848</v>
      </c>
      <c r="AR156" s="25">
        <f t="shared" si="88"/>
        <v>77231.668132053848</v>
      </c>
      <c r="AS156" s="149"/>
      <c r="AT156" s="53"/>
      <c r="AU156" s="53"/>
      <c r="AV156" s="272"/>
      <c r="AW156" s="199"/>
      <c r="AX156" s="53"/>
      <c r="AY156" s="53"/>
    </row>
    <row r="157" spans="1:51" x14ac:dyDescent="0.25">
      <c r="A157" s="23" t="s">
        <v>164</v>
      </c>
      <c r="B157" s="23" t="s">
        <v>170</v>
      </c>
      <c r="C157" s="23" t="s">
        <v>166</v>
      </c>
      <c r="D157" s="23" t="s">
        <v>122</v>
      </c>
      <c r="E157" s="90" t="str">
        <f>INDEX('Rate Design (Consol)'!$B$48:$B$66,MATCH('G2-8 Summary'!F157,'Rate Design (Consol)'!$C$48:$C$66,0))</f>
        <v>COM - NGV</v>
      </c>
      <c r="F157" s="23" t="s">
        <v>19</v>
      </c>
      <c r="G157" s="90" t="str">
        <f>INDEX('Rate Design (Consol)'!$D$48:$D$66,MATCH('G2-8 Summary'!H157,'Rate Design (Consol)'!$E$48:$E$66,0))</f>
        <v>COM - NGV</v>
      </c>
      <c r="H157" s="23" t="str">
        <f t="shared" si="75"/>
        <v>Commercial - NGV</v>
      </c>
      <c r="I157" s="23" t="str">
        <f t="shared" si="63"/>
        <v>FN_NGVTS_Commercial - NGV</v>
      </c>
      <c r="J157" s="61" t="str">
        <f t="shared" si="89"/>
        <v>FPUC-FPUC - Natural Gas Vehicle Transportation Service-COM - NGV</v>
      </c>
      <c r="K157" s="62" t="s">
        <v>257</v>
      </c>
      <c r="L157" s="146">
        <v>1</v>
      </c>
      <c r="M157" s="146">
        <v>1</v>
      </c>
      <c r="N157" s="90" t="str">
        <f>VLOOKUP(E157,'Rate Design (Consol)'!D:F,3,FALSE)</f>
        <v>n/a</v>
      </c>
      <c r="O157" s="237">
        <f t="shared" si="76"/>
        <v>461073</v>
      </c>
      <c r="P157" s="171">
        <f t="shared" si="109"/>
        <v>2</v>
      </c>
      <c r="Q157" s="148">
        <f t="shared" si="100"/>
        <v>24</v>
      </c>
      <c r="R157" s="148">
        <v>24</v>
      </c>
      <c r="S157" s="151">
        <v>100</v>
      </c>
      <c r="T157" s="25"/>
      <c r="U157" s="148">
        <v>922146.8566666668</v>
      </c>
      <c r="V157" s="238">
        <v>0.17111000000000001</v>
      </c>
      <c r="W157" s="25"/>
      <c r="X157" s="131">
        <f>VLOOKUP(CONCATENATE(C157,B157),'G2-7 Summary'!S:W,2,FALSE)</f>
        <v>0.22966</v>
      </c>
      <c r="Y157" s="243">
        <f>VLOOKUP(CONCATENATE(C157,B157),'G2-7 Summary'!S:W,3,FALSE)</f>
        <v>0.14610000000000001</v>
      </c>
      <c r="Z157" s="131">
        <f>VLOOKUP(CONCATENATE(C157,B157),'G2-7 Summary'!S:W,4,FALSE)</f>
        <v>0</v>
      </c>
      <c r="AA157" s="243">
        <f>VLOOKUP(CONCATENATE(C157,B157),'G2-7 Summary'!S:W,5,FALSE)</f>
        <v>0</v>
      </c>
      <c r="AB157" s="25"/>
      <c r="AC157" s="149">
        <f t="shared" si="78"/>
        <v>2400</v>
      </c>
      <c r="AD157" s="149">
        <f t="shared" si="101"/>
        <v>157788.54864423338</v>
      </c>
      <c r="AE157" s="149">
        <f t="shared" si="102"/>
        <v>211780.2471020667</v>
      </c>
      <c r="AF157" s="149"/>
      <c r="AG157" s="149">
        <f t="shared" si="103"/>
        <v>134725.65575900002</v>
      </c>
      <c r="AH157" s="149">
        <f t="shared" si="104"/>
        <v>0</v>
      </c>
      <c r="AI157" s="149">
        <f t="shared" si="105"/>
        <v>0</v>
      </c>
      <c r="AJ157" s="119">
        <f t="shared" si="106"/>
        <v>506694.45150530012</v>
      </c>
      <c r="AK157" s="27">
        <f t="shared" si="107"/>
        <v>-134725.65575900002</v>
      </c>
      <c r="AL157" s="27">
        <f t="shared" si="108"/>
        <v>371968.79574630014</v>
      </c>
      <c r="AM157" s="244"/>
      <c r="AN157" s="27">
        <f>SUMIFS('Rate Design (Consol)'!K:K,'Rate Design (Consol)'!A:A,K157,'Rate Design (Consol)'!D:D,G157)</f>
        <v>250</v>
      </c>
      <c r="AO157" s="23">
        <f>SUMIFS('Rate Design (Consol)'!L:L,'Rate Design (Consol)'!A:A,K157,'Rate Design (Consol)'!D:D,G157)</f>
        <v>0.49803999999999998</v>
      </c>
      <c r="AP157" s="24">
        <f t="shared" si="86"/>
        <v>6000</v>
      </c>
      <c r="AQ157" s="24">
        <f t="shared" si="87"/>
        <v>459266.0204942667</v>
      </c>
      <c r="AR157" s="25">
        <f t="shared" si="88"/>
        <v>465266.0204942667</v>
      </c>
      <c r="AS157" s="149"/>
      <c r="AT157" s="53"/>
      <c r="AU157" s="53"/>
      <c r="AV157" s="272"/>
      <c r="AW157" s="199"/>
      <c r="AX157" s="53"/>
      <c r="AY157" s="53"/>
    </row>
    <row r="158" spans="1:51" x14ac:dyDescent="0.25">
      <c r="A158" s="23" t="s">
        <v>151</v>
      </c>
      <c r="B158" s="23" t="s">
        <v>156</v>
      </c>
      <c r="C158" s="23" t="s">
        <v>154</v>
      </c>
      <c r="D158" s="23" t="s">
        <v>101</v>
      </c>
      <c r="E158" s="90" t="str">
        <f>INDEX('Rate Design (Consol)'!$B$48:$B$66,MATCH('G2-8 Summary'!F158,'Rate Design (Consol)'!$C$48:$C$66,0))</f>
        <v>GS-2</v>
      </c>
      <c r="F158" s="23" t="s">
        <v>12</v>
      </c>
      <c r="G158" s="90" t="str">
        <f>INDEX('Rate Design (Consol)'!$D$48:$D$66,MATCH('G2-8 Summary'!H158,'Rate Design (Consol)'!$E$48:$E$66,0))</f>
        <v>GS-2</v>
      </c>
      <c r="H158" s="23" t="str">
        <f t="shared" si="75"/>
        <v>General Service - 2</v>
      </c>
      <c r="I158" s="23" t="str">
        <f t="shared" si="63"/>
        <v>FI_TS-2_General Service - 2</v>
      </c>
      <c r="J158" s="61" t="str">
        <f t="shared" si="89"/>
        <v>Indiantown-Indiantown - Transportation Service 2-GS-2</v>
      </c>
      <c r="K158" s="61" t="s">
        <v>154</v>
      </c>
      <c r="L158" s="146">
        <v>0.27272727272727271</v>
      </c>
      <c r="M158" s="146">
        <v>0.18121952469800304</v>
      </c>
      <c r="N158" s="90" t="str">
        <f>VLOOKUP(E158,'Rate Design (Consol)'!D:F,3,FALSE)</f>
        <v>&gt; 1000 &lt; = 5,000</v>
      </c>
      <c r="O158" s="237">
        <f t="shared" si="76"/>
        <v>2445</v>
      </c>
      <c r="P158" s="171">
        <f t="shared" si="109"/>
        <v>6</v>
      </c>
      <c r="Q158" s="148">
        <f t="shared" si="100"/>
        <v>72</v>
      </c>
      <c r="R158" s="148">
        <v>71.181818181818173</v>
      </c>
      <c r="S158" s="151">
        <v>25</v>
      </c>
      <c r="T158" s="25"/>
      <c r="U158" s="148">
        <v>14670.979999999996</v>
      </c>
      <c r="V158" s="238">
        <v>5.7619999999999998E-2</v>
      </c>
      <c r="W158" s="25"/>
      <c r="X158" s="131">
        <f>VLOOKUP(CONCATENATE(C158,B158),'G2-7 Summary'!S:W,2,FALSE)</f>
        <v>0</v>
      </c>
      <c r="Y158" s="243">
        <f>VLOOKUP(CONCATENATE(C158,B158),'G2-7 Summary'!S:W,3,FALSE)</f>
        <v>1.1670000000000002E-2</v>
      </c>
      <c r="Z158" s="131">
        <f>VLOOKUP(CONCATENATE(C158,B158),'G2-7 Summary'!S:W,4,FALSE)</f>
        <v>0</v>
      </c>
      <c r="AA158" s="243">
        <f>VLOOKUP(CONCATENATE(C158,B158),'G2-7 Summary'!S:W,5,FALSE)</f>
        <v>0.14460000000000001</v>
      </c>
      <c r="AB158" s="25"/>
      <c r="AC158" s="149">
        <f t="shared" si="78"/>
        <v>1800</v>
      </c>
      <c r="AD158" s="149">
        <f t="shared" si="101"/>
        <v>845.34186759999977</v>
      </c>
      <c r="AE158" s="149">
        <f t="shared" si="102"/>
        <v>0</v>
      </c>
      <c r="AF158" s="149"/>
      <c r="AG158" s="149">
        <f t="shared" si="103"/>
        <v>171.21033659999998</v>
      </c>
      <c r="AH158" s="149">
        <f t="shared" si="104"/>
        <v>0</v>
      </c>
      <c r="AI158" s="149">
        <f t="shared" si="105"/>
        <v>2121.4237079999994</v>
      </c>
      <c r="AJ158" s="119">
        <f t="shared" si="106"/>
        <v>4937.9759121999996</v>
      </c>
      <c r="AK158" s="27">
        <f t="shared" si="107"/>
        <v>-2292.6340445999995</v>
      </c>
      <c r="AL158" s="27">
        <f t="shared" si="108"/>
        <v>2645.3418676000001</v>
      </c>
      <c r="AM158" s="244"/>
      <c r="AN158" s="27">
        <f>SUMIFS('Rate Design (Consol)'!K:K,'Rate Design (Consol)'!A:A,K158,'Rate Design (Consol)'!D:D,G158)</f>
        <v>35</v>
      </c>
      <c r="AO158" s="23">
        <f>SUMIFS('Rate Design (Consol)'!L:L,'Rate Design (Consol)'!A:A,K158,'Rate Design (Consol)'!D:D,G158)</f>
        <v>5.7619999999999998E-2</v>
      </c>
      <c r="AP158" s="24">
        <f t="shared" si="86"/>
        <v>2520</v>
      </c>
      <c r="AQ158" s="24">
        <f t="shared" si="87"/>
        <v>845.34186759999977</v>
      </c>
      <c r="AR158" s="25">
        <f t="shared" si="88"/>
        <v>3365.3418675999997</v>
      </c>
      <c r="AS158" s="149"/>
      <c r="AT158" s="53"/>
      <c r="AU158" s="53"/>
      <c r="AV158" s="272"/>
      <c r="AW158" s="199"/>
      <c r="AX158" s="53"/>
      <c r="AY158" s="53"/>
    </row>
    <row r="159" spans="1:51" x14ac:dyDescent="0.25">
      <c r="A159" s="23" t="s">
        <v>151</v>
      </c>
      <c r="B159" s="23" t="s">
        <v>156</v>
      </c>
      <c r="C159" s="23" t="s">
        <v>154</v>
      </c>
      <c r="D159" s="23" t="s">
        <v>101</v>
      </c>
      <c r="E159" s="90" t="str">
        <f>INDEX('Rate Design (Consol)'!$B$48:$B$66,MATCH('G2-8 Summary'!F159,'Rate Design (Consol)'!$C$48:$C$66,0))</f>
        <v>GS-3</v>
      </c>
      <c r="F159" s="23" t="s">
        <v>13</v>
      </c>
      <c r="G159" s="90" t="str">
        <f>INDEX('Rate Design (Consol)'!$D$48:$D$66,MATCH('G2-8 Summary'!H159,'Rate Design (Consol)'!$E$48:$E$66,0))</f>
        <v>GS-3</v>
      </c>
      <c r="H159" s="23" t="str">
        <f t="shared" si="75"/>
        <v>General Service - 3</v>
      </c>
      <c r="I159" s="23" t="str">
        <f t="shared" si="63"/>
        <v>FI_TS-2_General Service - 3</v>
      </c>
      <c r="J159" s="61" t="str">
        <f t="shared" si="89"/>
        <v>Indiantown-Indiantown - Transportation Service 2-GS-3</v>
      </c>
      <c r="K159" s="61" t="s">
        <v>154</v>
      </c>
      <c r="L159" s="146">
        <v>0.22727272727272727</v>
      </c>
      <c r="M159" s="146">
        <v>0.46134050257575165</v>
      </c>
      <c r="N159" s="90" t="str">
        <f>VLOOKUP(E159,'Rate Design (Consol)'!D:F,3,FALSE)</f>
        <v>&gt; 5,000 &lt; = 10,000</v>
      </c>
      <c r="O159" s="237">
        <f t="shared" si="76"/>
        <v>7470</v>
      </c>
      <c r="P159" s="171">
        <f t="shared" si="109"/>
        <v>5</v>
      </c>
      <c r="Q159" s="148">
        <f t="shared" si="100"/>
        <v>60</v>
      </c>
      <c r="R159" s="148">
        <v>59.318181818181813</v>
      </c>
      <c r="S159" s="151">
        <v>25</v>
      </c>
      <c r="T159" s="25"/>
      <c r="U159" s="148">
        <v>37348.719999999994</v>
      </c>
      <c r="V159" s="238">
        <v>5.7619999999999998E-2</v>
      </c>
      <c r="W159" s="25"/>
      <c r="X159" s="131">
        <f>VLOOKUP(CONCATENATE(C159,B159),'G2-7 Summary'!S:W,2,FALSE)</f>
        <v>0</v>
      </c>
      <c r="Y159" s="243">
        <f>VLOOKUP(CONCATENATE(C159,B159),'G2-7 Summary'!S:W,3,FALSE)</f>
        <v>1.1670000000000002E-2</v>
      </c>
      <c r="Z159" s="131">
        <f>VLOOKUP(CONCATENATE(C159,B159),'G2-7 Summary'!S:W,4,FALSE)</f>
        <v>0</v>
      </c>
      <c r="AA159" s="243">
        <f>VLOOKUP(CONCATENATE(C159,B159),'G2-7 Summary'!S:W,5,FALSE)</f>
        <v>0.14460000000000001</v>
      </c>
      <c r="AB159" s="25"/>
      <c r="AC159" s="149">
        <f t="shared" si="78"/>
        <v>1500</v>
      </c>
      <c r="AD159" s="149">
        <f t="shared" si="101"/>
        <v>2152.0332463999994</v>
      </c>
      <c r="AE159" s="149">
        <f t="shared" si="102"/>
        <v>0</v>
      </c>
      <c r="AF159" s="149"/>
      <c r="AG159" s="149">
        <f t="shared" si="103"/>
        <v>435.85956239999996</v>
      </c>
      <c r="AH159" s="149">
        <f t="shared" si="104"/>
        <v>0</v>
      </c>
      <c r="AI159" s="149">
        <f t="shared" si="105"/>
        <v>5400.6249119999993</v>
      </c>
      <c r="AJ159" s="119">
        <f t="shared" si="106"/>
        <v>9488.5177207999986</v>
      </c>
      <c r="AK159" s="27">
        <f t="shared" si="107"/>
        <v>-5836.4844743999993</v>
      </c>
      <c r="AL159" s="27">
        <f t="shared" si="108"/>
        <v>3652.0332463999994</v>
      </c>
      <c r="AM159" s="244"/>
      <c r="AN159" s="27">
        <f>SUMIFS('Rate Design (Consol)'!K:K,'Rate Design (Consol)'!A:A,K159,'Rate Design (Consol)'!D:D,G159)</f>
        <v>45</v>
      </c>
      <c r="AO159" s="23">
        <f>SUMIFS('Rate Design (Consol)'!L:L,'Rate Design (Consol)'!A:A,K159,'Rate Design (Consol)'!D:D,G159)</f>
        <v>5.7619999999999998E-2</v>
      </c>
      <c r="AP159" s="24">
        <f t="shared" si="86"/>
        <v>2700</v>
      </c>
      <c r="AQ159" s="24">
        <f t="shared" si="87"/>
        <v>2152.0332463999994</v>
      </c>
      <c r="AR159" s="25">
        <f t="shared" si="88"/>
        <v>4852.0332463999994</v>
      </c>
      <c r="AS159" s="149"/>
      <c r="AT159" s="53"/>
      <c r="AU159" s="53"/>
      <c r="AV159" s="272"/>
      <c r="AW159" s="199"/>
      <c r="AX159" s="53"/>
      <c r="AY159" s="53"/>
    </row>
    <row r="160" spans="1:51" x14ac:dyDescent="0.25">
      <c r="A160" s="23" t="s">
        <v>151</v>
      </c>
      <c r="B160" s="23" t="s">
        <v>156</v>
      </c>
      <c r="C160" s="23" t="s">
        <v>154</v>
      </c>
      <c r="D160" s="23" t="s">
        <v>101</v>
      </c>
      <c r="E160" s="90" t="str">
        <f>INDEX('Rate Design (Consol)'!$B$48:$B$66,MATCH('G2-8 Summary'!F160,'Rate Design (Consol)'!$C$48:$C$66,0))</f>
        <v>GS-4</v>
      </c>
      <c r="F160" s="23" t="s">
        <v>14</v>
      </c>
      <c r="G160" s="90" t="str">
        <f>INDEX('Rate Design (Consol)'!$D$48:$D$66,MATCH('G2-8 Summary'!H160,'Rate Design (Consol)'!$E$48:$E$66,0))</f>
        <v>GS-4</v>
      </c>
      <c r="H160" s="23" t="str">
        <f t="shared" si="75"/>
        <v>General Service - 4</v>
      </c>
      <c r="I160" s="23" t="str">
        <f t="shared" si="63"/>
        <v>FI_TS-2_General Service - 4</v>
      </c>
      <c r="J160" s="61" t="str">
        <f t="shared" si="89"/>
        <v>Indiantown-Indiantown - Transportation Service 2-GS-4</v>
      </c>
      <c r="K160" s="61" t="s">
        <v>154</v>
      </c>
      <c r="L160" s="146">
        <v>9.0909090909090912E-2</v>
      </c>
      <c r="M160" s="146">
        <v>0.30846036072258154</v>
      </c>
      <c r="N160" s="90" t="str">
        <f>VLOOKUP(E160,'Rate Design (Consol)'!D:F,3,FALSE)</f>
        <v>&gt; 10,000 &lt; = 50,000</v>
      </c>
      <c r="O160" s="237">
        <f t="shared" si="76"/>
        <v>12486</v>
      </c>
      <c r="P160" s="171">
        <f t="shared" si="109"/>
        <v>2</v>
      </c>
      <c r="Q160" s="148">
        <f t="shared" si="100"/>
        <v>24</v>
      </c>
      <c r="R160" s="148">
        <v>23.727272727272727</v>
      </c>
      <c r="S160" s="151">
        <v>25</v>
      </c>
      <c r="T160" s="25"/>
      <c r="U160" s="148">
        <v>24972.01</v>
      </c>
      <c r="V160" s="238">
        <v>5.7619999999999998E-2</v>
      </c>
      <c r="W160" s="25"/>
      <c r="X160" s="131">
        <f>VLOOKUP(CONCATENATE(C160,B160),'G2-7 Summary'!S:W,2,FALSE)</f>
        <v>0</v>
      </c>
      <c r="Y160" s="243">
        <f>VLOOKUP(CONCATENATE(C160,B160),'G2-7 Summary'!S:W,3,FALSE)</f>
        <v>1.1670000000000002E-2</v>
      </c>
      <c r="Z160" s="131">
        <f>VLOOKUP(CONCATENATE(C160,B160),'G2-7 Summary'!S:W,4,FALSE)</f>
        <v>0</v>
      </c>
      <c r="AA160" s="243">
        <f>VLOOKUP(CONCATENATE(C160,B160),'G2-7 Summary'!S:W,5,FALSE)</f>
        <v>0.14460000000000001</v>
      </c>
      <c r="AB160" s="25"/>
      <c r="AC160" s="149">
        <f t="shared" si="78"/>
        <v>600</v>
      </c>
      <c r="AD160" s="149">
        <f t="shared" si="101"/>
        <v>1438.8872161999998</v>
      </c>
      <c r="AE160" s="149">
        <f t="shared" si="102"/>
        <v>0</v>
      </c>
      <c r="AF160" s="149"/>
      <c r="AG160" s="149">
        <f t="shared" si="103"/>
        <v>291.4233567</v>
      </c>
      <c r="AH160" s="149">
        <f t="shared" si="104"/>
        <v>0</v>
      </c>
      <c r="AI160" s="149">
        <f t="shared" si="105"/>
        <v>3610.9526459999997</v>
      </c>
      <c r="AJ160" s="119">
        <f t="shared" si="106"/>
        <v>5941.2632188999996</v>
      </c>
      <c r="AK160" s="27">
        <f t="shared" si="107"/>
        <v>-3902.3760026999998</v>
      </c>
      <c r="AL160" s="27">
        <f t="shared" si="108"/>
        <v>2038.8872161999998</v>
      </c>
      <c r="AM160" s="244"/>
      <c r="AN160" s="27">
        <f>SUMIFS('Rate Design (Consol)'!K:K,'Rate Design (Consol)'!A:A,K160,'Rate Design (Consol)'!D:D,G160)</f>
        <v>55</v>
      </c>
      <c r="AO160" s="23">
        <f>SUMIFS('Rate Design (Consol)'!L:L,'Rate Design (Consol)'!A:A,K160,'Rate Design (Consol)'!D:D,G160)</f>
        <v>4.9619999999999997E-2</v>
      </c>
      <c r="AP160" s="24">
        <f t="shared" si="86"/>
        <v>1320</v>
      </c>
      <c r="AQ160" s="24">
        <f t="shared" si="87"/>
        <v>1239.1111361999999</v>
      </c>
      <c r="AR160" s="25">
        <f t="shared" si="88"/>
        <v>2559.1111362000001</v>
      </c>
      <c r="AS160" s="149"/>
      <c r="AT160" s="53"/>
      <c r="AU160" s="53"/>
      <c r="AV160" s="272"/>
      <c r="AW160" s="199"/>
      <c r="AX160" s="53"/>
      <c r="AY160" s="53"/>
    </row>
    <row r="161" spans="1:51" x14ac:dyDescent="0.25">
      <c r="A161" s="23" t="s">
        <v>151</v>
      </c>
      <c r="B161" s="23" t="s">
        <v>156</v>
      </c>
      <c r="C161" s="23" t="s">
        <v>154</v>
      </c>
      <c r="D161" s="23" t="s">
        <v>101</v>
      </c>
      <c r="E161" s="90" t="str">
        <f>INDEX('Rate Design (Consol)'!$B$48:$B$66,MATCH('G2-8 Summary'!F161,'Rate Design (Consol)'!$C$48:$C$66,0))</f>
        <v>GS-1</v>
      </c>
      <c r="F161" s="23" t="s">
        <v>11</v>
      </c>
      <c r="G161" s="90" t="str">
        <f>INDEX('Rate Design (Consol)'!$D$48:$D$66,MATCH('G2-8 Summary'!H161,'Rate Design (Consol)'!$E$48:$E$66,0))</f>
        <v>GS-1</v>
      </c>
      <c r="H161" s="23" t="str">
        <f t="shared" si="75"/>
        <v>General Service - 1</v>
      </c>
      <c r="I161" s="23" t="str">
        <f t="shared" si="63"/>
        <v>FI_TS-2_General Service - 1</v>
      </c>
      <c r="J161" s="61" t="str">
        <f t="shared" si="89"/>
        <v>Indiantown-Indiantown - Transportation Service 2-GS-1</v>
      </c>
      <c r="K161" s="61" t="s">
        <v>154</v>
      </c>
      <c r="L161" s="146">
        <v>0.40909090909090912</v>
      </c>
      <c r="M161" s="146">
        <v>4.8979612003663658E-2</v>
      </c>
      <c r="N161" s="90" t="str">
        <f>VLOOKUP(E161,'Rate Design (Consol)'!D:F,3,FALSE)</f>
        <v>&lt; = 1000</v>
      </c>
      <c r="O161" s="237">
        <f t="shared" si="76"/>
        <v>441</v>
      </c>
      <c r="P161" s="171">
        <f t="shared" si="109"/>
        <v>9</v>
      </c>
      <c r="Q161" s="148">
        <f t="shared" si="100"/>
        <v>108</v>
      </c>
      <c r="R161" s="148">
        <v>106.77272727272728</v>
      </c>
      <c r="S161" s="151">
        <v>25</v>
      </c>
      <c r="T161" s="25"/>
      <c r="U161" s="148">
        <v>3965.2399999999984</v>
      </c>
      <c r="V161" s="238">
        <v>5.7619999999999998E-2</v>
      </c>
      <c r="W161" s="25"/>
      <c r="X161" s="131">
        <f>VLOOKUP(CONCATENATE(C161,B161),'G2-7 Summary'!S:W,2,FALSE)</f>
        <v>0</v>
      </c>
      <c r="Y161" s="243">
        <f>VLOOKUP(CONCATENATE(C161,B161),'G2-7 Summary'!S:W,3,FALSE)</f>
        <v>1.1670000000000002E-2</v>
      </c>
      <c r="Z161" s="131">
        <f>VLOOKUP(CONCATENATE(C161,B161),'G2-7 Summary'!S:W,4,FALSE)</f>
        <v>0</v>
      </c>
      <c r="AA161" s="243">
        <f>VLOOKUP(CONCATENATE(C161,B161),'G2-7 Summary'!S:W,5,FALSE)</f>
        <v>0.14460000000000001</v>
      </c>
      <c r="AB161" s="25"/>
      <c r="AC161" s="149">
        <f t="shared" si="78"/>
        <v>2700</v>
      </c>
      <c r="AD161" s="149">
        <f t="shared" si="101"/>
        <v>228.47712879999989</v>
      </c>
      <c r="AE161" s="149">
        <f t="shared" si="102"/>
        <v>0</v>
      </c>
      <c r="AF161" s="149"/>
      <c r="AG161" s="149">
        <f t="shared" si="103"/>
        <v>46.274350799999986</v>
      </c>
      <c r="AH161" s="149">
        <f t="shared" si="104"/>
        <v>0</v>
      </c>
      <c r="AI161" s="149">
        <f t="shared" si="105"/>
        <v>573.37370399999975</v>
      </c>
      <c r="AJ161" s="119">
        <f t="shared" si="106"/>
        <v>3548.1251835999992</v>
      </c>
      <c r="AK161" s="27">
        <f t="shared" si="107"/>
        <v>-619.64805479999973</v>
      </c>
      <c r="AL161" s="27">
        <f t="shared" si="108"/>
        <v>2928.4771287999993</v>
      </c>
      <c r="AM161" s="244"/>
      <c r="AN161" s="27">
        <f>SUMIFS('Rate Design (Consol)'!K:K,'Rate Design (Consol)'!A:A,K161,'Rate Design (Consol)'!D:D,G161)</f>
        <v>25</v>
      </c>
      <c r="AO161" s="23">
        <f>SUMIFS('Rate Design (Consol)'!L:L,'Rate Design (Consol)'!A:A,K161,'Rate Design (Consol)'!D:D,G161)</f>
        <v>5.7619999999999998E-2</v>
      </c>
      <c r="AP161" s="24">
        <f t="shared" si="86"/>
        <v>2700</v>
      </c>
      <c r="AQ161" s="24">
        <f t="shared" si="87"/>
        <v>228.47712879999989</v>
      </c>
      <c r="AR161" s="25">
        <f t="shared" si="88"/>
        <v>2928.4771287999997</v>
      </c>
      <c r="AS161" s="149"/>
      <c r="AT161" s="53"/>
      <c r="AU161" s="53"/>
      <c r="AV161" s="272"/>
      <c r="AW161" s="199"/>
      <c r="AX161" s="53"/>
      <c r="AY161" s="53"/>
    </row>
    <row r="162" spans="1:51" x14ac:dyDescent="0.25">
      <c r="A162" s="23" t="s">
        <v>151</v>
      </c>
      <c r="B162" s="23" t="s">
        <v>157</v>
      </c>
      <c r="C162" s="23" t="s">
        <v>154</v>
      </c>
      <c r="D162" s="23" t="s">
        <v>112</v>
      </c>
      <c r="E162" s="90" t="str">
        <f>INDEX('Rate Design (Consol)'!$B$48:$B$66,MATCH('G2-8 Summary'!F162,'Rate Design (Consol)'!$C$48:$C$66,0))</f>
        <v>GS-3</v>
      </c>
      <c r="F162" s="23" t="s">
        <v>13</v>
      </c>
      <c r="G162" s="90" t="str">
        <f>INDEX('Rate Design (Consol)'!$D$48:$D$66,MATCH('G2-8 Summary'!H162,'Rate Design (Consol)'!$E$48:$E$66,0))</f>
        <v>GS-3</v>
      </c>
      <c r="H162" s="23" t="str">
        <f t="shared" si="75"/>
        <v>General Service - 3</v>
      </c>
      <c r="I162" s="23" t="str">
        <f t="shared" si="63"/>
        <v>FI_TS-3_General Service - 3</v>
      </c>
      <c r="J162" s="61" t="str">
        <f t="shared" si="89"/>
        <v>Indiantown-Indiantown - Transportation Service 3-GS-3</v>
      </c>
      <c r="K162" s="61" t="s">
        <v>154</v>
      </c>
      <c r="L162" s="146">
        <v>1</v>
      </c>
      <c r="M162" s="146">
        <v>1</v>
      </c>
      <c r="N162" s="90" t="str">
        <f>VLOOKUP(E162,'Rate Design (Consol)'!D:F,3,FALSE)</f>
        <v>&gt; 5,000 &lt; = 10,000</v>
      </c>
      <c r="O162" s="237">
        <f t="shared" si="76"/>
        <v>7986</v>
      </c>
      <c r="P162" s="171">
        <f t="shared" si="109"/>
        <v>1</v>
      </c>
      <c r="Q162" s="148">
        <v>12</v>
      </c>
      <c r="R162" s="148">
        <v>12</v>
      </c>
      <c r="S162" s="151">
        <v>60</v>
      </c>
      <c r="T162" s="25"/>
      <c r="U162" s="148">
        <v>7985.92</v>
      </c>
      <c r="V162" s="238">
        <v>4.7849999999999997E-2</v>
      </c>
      <c r="W162" s="25"/>
      <c r="X162" s="131">
        <f>VLOOKUP(CONCATENATE(C162,B162),'G2-7 Summary'!S:W,2,FALSE)</f>
        <v>0</v>
      </c>
      <c r="Y162" s="243">
        <f>VLOOKUP(CONCATENATE(C162,B162),'G2-7 Summary'!S:W,3,FALSE)</f>
        <v>1.6580000000000001E-2</v>
      </c>
      <c r="Z162" s="131">
        <f>VLOOKUP(CONCATENATE(C162,B162),'G2-7 Summary'!S:W,4,FALSE)</f>
        <v>0</v>
      </c>
      <c r="AA162" s="243">
        <f>VLOOKUP(CONCATENATE(C162,B162),'G2-7 Summary'!S:W,5,FALSE)</f>
        <v>0.18470000000000003</v>
      </c>
      <c r="AB162" s="25"/>
      <c r="AC162" s="149">
        <f t="shared" si="78"/>
        <v>720</v>
      </c>
      <c r="AD162" s="149">
        <f t="shared" si="101"/>
        <v>382.12627199999997</v>
      </c>
      <c r="AE162" s="149">
        <f t="shared" si="102"/>
        <v>0</v>
      </c>
      <c r="AF162" s="149"/>
      <c r="AG162" s="149">
        <f t="shared" si="103"/>
        <v>132.4065536</v>
      </c>
      <c r="AH162" s="149">
        <f t="shared" si="104"/>
        <v>0</v>
      </c>
      <c r="AI162" s="149">
        <f t="shared" si="105"/>
        <v>1474.9994240000003</v>
      </c>
      <c r="AJ162" s="119">
        <f t="shared" si="106"/>
        <v>2709.5322496000003</v>
      </c>
      <c r="AK162" s="27">
        <f t="shared" si="107"/>
        <v>-1607.4059776000004</v>
      </c>
      <c r="AL162" s="27">
        <f t="shared" si="108"/>
        <v>1102.126272</v>
      </c>
      <c r="AM162" s="244"/>
      <c r="AN162" s="27">
        <f>SUMIFS('Rate Design (Consol)'!K:K,'Rate Design (Consol)'!A:A,K162,'Rate Design (Consol)'!D:D,G162)</f>
        <v>45</v>
      </c>
      <c r="AO162" s="23">
        <f>SUMIFS('Rate Design (Consol)'!L:L,'Rate Design (Consol)'!A:A,K162,'Rate Design (Consol)'!D:D,G162)</f>
        <v>5.7619999999999998E-2</v>
      </c>
      <c r="AP162" s="24">
        <f t="shared" si="86"/>
        <v>540</v>
      </c>
      <c r="AQ162" s="24">
        <f t="shared" si="87"/>
        <v>460.14871039999997</v>
      </c>
      <c r="AR162" s="25">
        <f t="shared" si="88"/>
        <v>1000.1487104</v>
      </c>
      <c r="AS162" s="149"/>
      <c r="AT162" s="53"/>
      <c r="AU162" s="53"/>
      <c r="AV162" s="272"/>
      <c r="AW162" s="199"/>
      <c r="AX162" s="53"/>
      <c r="AY162" s="53"/>
    </row>
    <row r="163" spans="1:51" s="88" customFormat="1" x14ac:dyDescent="0.25">
      <c r="D163" s="88" t="s">
        <v>202</v>
      </c>
      <c r="E163" s="247"/>
      <c r="G163" s="247"/>
      <c r="I163" s="23"/>
      <c r="J163" s="248"/>
      <c r="K163" s="248"/>
      <c r="L163" s="249"/>
      <c r="M163" s="249"/>
      <c r="N163" s="249"/>
      <c r="O163" s="250"/>
      <c r="P163" s="76">
        <f>SUBTOTAL(9,P4:P162)</f>
        <v>94386</v>
      </c>
      <c r="Q163" s="76">
        <f>SUBTOTAL(9,Q4:Q162)</f>
        <v>1132632</v>
      </c>
      <c r="R163" s="76">
        <f>SUBTOTAL(9,R4:R162)</f>
        <v>1132600.5939773512</v>
      </c>
      <c r="S163" s="76"/>
      <c r="T163" s="25"/>
      <c r="U163" s="76">
        <f>SUBTOTAL(9,U4:U162)</f>
        <v>132344240.78597833</v>
      </c>
      <c r="V163" s="76"/>
      <c r="W163" s="76"/>
      <c r="X163" s="76"/>
      <c r="Y163" s="76"/>
      <c r="Z163" s="76"/>
      <c r="AA163" s="76"/>
      <c r="AB163" s="76">
        <f>SUBTOTAL(9,AB4:AB149)</f>
        <v>0</v>
      </c>
      <c r="AC163" s="76">
        <f>SUBTOTAL(9,AC4:AC162)</f>
        <v>20822642.16</v>
      </c>
      <c r="AD163" s="76">
        <f t="shared" ref="AD163:AL163" si="110">SUBTOTAL(9,AD4:AD162)</f>
        <v>37137391.172657281</v>
      </c>
      <c r="AE163" s="76">
        <f t="shared" si="110"/>
        <v>19755931.054005519</v>
      </c>
      <c r="AF163" s="76">
        <f t="shared" si="110"/>
        <v>0</v>
      </c>
      <c r="AG163" s="76">
        <f t="shared" si="110"/>
        <v>4799088.6677621948</v>
      </c>
      <c r="AH163" s="76">
        <f t="shared" si="110"/>
        <v>33922552.82720042</v>
      </c>
      <c r="AI163" s="76">
        <f t="shared" si="110"/>
        <v>14167737.691376839</v>
      </c>
      <c r="AJ163" s="76">
        <f t="shared" si="110"/>
        <v>130605343.57300219</v>
      </c>
      <c r="AK163" s="76">
        <f t="shared" si="110"/>
        <v>-52889379.18633946</v>
      </c>
      <c r="AL163" s="76">
        <f t="shared" si="110"/>
        <v>77715964.386662751</v>
      </c>
      <c r="AM163" s="76">
        <f t="shared" ref="AM163" si="111">SUBTOTAL(9,AM4:AM162)</f>
        <v>0</v>
      </c>
      <c r="AN163" s="76"/>
      <c r="AO163" s="76"/>
      <c r="AP163" s="76">
        <f t="shared" ref="AP163:AQ163" si="112">SUBTOTAL(9,AP4:AP162)</f>
        <v>35497584</v>
      </c>
      <c r="AQ163" s="76">
        <f t="shared" si="112"/>
        <v>66280337.240550913</v>
      </c>
      <c r="AR163" s="76">
        <f>SUBTOTAL(9,AR4:AR162)</f>
        <v>101777921.24055092</v>
      </c>
      <c r="AS163" s="76">
        <f t="shared" ref="AS163" si="113">SUBTOTAL(9,AS4:AS162)</f>
        <v>0</v>
      </c>
      <c r="AT163" s="273"/>
      <c r="AU163" s="273"/>
      <c r="AV163" s="274"/>
      <c r="AW163" s="274"/>
      <c r="AX163" s="53"/>
      <c r="AY163" s="53"/>
    </row>
    <row r="164" spans="1:51" x14ac:dyDescent="0.25">
      <c r="A164" s="23"/>
      <c r="L164" s="146"/>
      <c r="M164" s="146"/>
      <c r="N164" s="146"/>
      <c r="O164" s="62"/>
      <c r="P164" s="23"/>
      <c r="T164" s="25"/>
      <c r="W164" s="25"/>
      <c r="X164" s="131"/>
      <c r="Y164" s="131"/>
      <c r="Z164" s="131"/>
      <c r="AA164" s="131"/>
      <c r="AB164" s="25"/>
      <c r="AC164" s="26"/>
      <c r="AD164" s="26"/>
      <c r="AE164" s="26"/>
      <c r="AF164" s="26"/>
      <c r="AG164" s="26"/>
      <c r="AH164" s="26"/>
      <c r="AI164" s="26"/>
      <c r="AJ164" s="29"/>
      <c r="AM164" s="25"/>
      <c r="AN164" s="27"/>
      <c r="AP164" s="24"/>
      <c r="AQ164" s="24"/>
      <c r="AR164" s="25"/>
      <c r="AT164" s="53"/>
      <c r="AU164" s="53"/>
      <c r="AW164" s="199"/>
      <c r="AX164" s="53"/>
      <c r="AY164" s="53"/>
    </row>
    <row r="165" spans="1:51" x14ac:dyDescent="0.25">
      <c r="A165" s="23"/>
      <c r="C165" s="23" t="s">
        <v>159</v>
      </c>
      <c r="D165" s="23" t="s">
        <v>203</v>
      </c>
      <c r="L165" s="146"/>
      <c r="M165" s="146"/>
      <c r="N165" s="146"/>
      <c r="O165" s="62"/>
      <c r="P165" s="23"/>
      <c r="Q165" s="147">
        <f>SUMIF('G2-7 Summary'!$S:$S,CONCATENATE($C165,$D165),'G2-7 Summary'!D:D)</f>
        <v>0</v>
      </c>
      <c r="R165" s="147"/>
      <c r="S165" s="151"/>
      <c r="T165" s="25"/>
      <c r="U165" s="147">
        <f>SUMIFS('G2-7 Summary'!E:E,'G2-7 Summary'!A:A,'G2-8 Summary'!C165,'G2-7 Summary'!B:B,'G2-8 Summary'!D165)</f>
        <v>0</v>
      </c>
      <c r="V165" s="72"/>
      <c r="W165" s="25"/>
      <c r="X165" s="131"/>
      <c r="Y165" s="131"/>
      <c r="Z165" s="131"/>
      <c r="AA165" s="131"/>
      <c r="AB165" s="25"/>
      <c r="AC165" s="149">
        <f t="shared" ref="AC165:AC191" si="114">S165*Q165</f>
        <v>0</v>
      </c>
      <c r="AD165" s="149">
        <f t="shared" ref="AD165:AD191" si="115">U165*V165</f>
        <v>0</v>
      </c>
      <c r="AE165" s="149">
        <f t="shared" ref="AE165:AE191" si="116">X165*$U165</f>
        <v>0</v>
      </c>
      <c r="AF165" s="149">
        <f>SUMIFS('G2-7 Summary'!N:N,'G2-7 Summary'!A:A,'G2-8 Summary'!C165,'G2-7 Summary'!B:B,'G2-8 Summary'!D165)</f>
        <v>0</v>
      </c>
      <c r="AG165" s="149">
        <f t="shared" ref="AG165:AG191" si="117">Y165*$U165</f>
        <v>0</v>
      </c>
      <c r="AH165" s="149">
        <f t="shared" ref="AH165:AH191" si="118">Z165*$U165</f>
        <v>0</v>
      </c>
      <c r="AI165" s="149">
        <f t="shared" ref="AI165:AI191" si="119">AA165*$U165</f>
        <v>0</v>
      </c>
      <c r="AJ165" s="119">
        <f t="shared" ref="AJ165:AJ191" si="120">SUM(AC165:AI165)</f>
        <v>0</v>
      </c>
      <c r="AK165" s="27">
        <f>AL165-AJ165</f>
        <v>0</v>
      </c>
      <c r="AL165" s="27">
        <f>SUMIFS('G2-7 Summary'!P:P,'G2-7 Summary'!A:A,'G2-8 Summary'!C165,'G2-7 Summary'!B:B,'G2-8 Summary'!D165)</f>
        <v>0</v>
      </c>
      <c r="AN165" s="27">
        <f>SUMIFS('Rate Design (Consol)'!K:K,'Rate Design (Consol)'!A:A,K165,'Rate Design (Consol)'!D:D,G165)</f>
        <v>0</v>
      </c>
      <c r="AO165" s="23">
        <f>SUMIFS('Rate Design (Consol)'!L:L,'Rate Design (Consol)'!A:A,K165,'Rate Design (Consol)'!D:D,G165)</f>
        <v>0</v>
      </c>
      <c r="AP165" s="24">
        <f t="shared" si="86"/>
        <v>0</v>
      </c>
      <c r="AQ165" s="24">
        <f t="shared" si="87"/>
        <v>0</v>
      </c>
      <c r="AR165" s="25">
        <f>AL165</f>
        <v>0</v>
      </c>
      <c r="AS165" s="149"/>
      <c r="AT165" s="53"/>
      <c r="AU165" s="53"/>
      <c r="AW165" s="199"/>
      <c r="AX165" s="53"/>
      <c r="AY165" s="53"/>
    </row>
    <row r="166" spans="1:51" x14ac:dyDescent="0.25">
      <c r="A166" s="23"/>
      <c r="C166" s="23" t="s">
        <v>159</v>
      </c>
      <c r="D166" s="23" t="s">
        <v>204</v>
      </c>
      <c r="L166" s="146"/>
      <c r="M166" s="146"/>
      <c r="N166" s="146"/>
      <c r="O166" s="62"/>
      <c r="P166" s="23"/>
      <c r="Q166" s="147">
        <f>SUMIF('G2-7 Summary'!$S:$S,CONCATENATE($C166,$D166),'G2-7 Summary'!D:D)</f>
        <v>0</v>
      </c>
      <c r="R166" s="147"/>
      <c r="S166" s="151"/>
      <c r="T166" s="25"/>
      <c r="U166" s="147">
        <f>SUMIFS('G2-7 Summary'!E:E,'G2-7 Summary'!A:A,'G2-8 Summary'!C166,'G2-7 Summary'!B:B,'G2-8 Summary'!D166)</f>
        <v>0</v>
      </c>
      <c r="V166" s="72"/>
      <c r="W166" s="25"/>
      <c r="X166" s="131"/>
      <c r="Y166" s="131"/>
      <c r="Z166" s="131"/>
      <c r="AA166" s="131"/>
      <c r="AB166" s="25"/>
      <c r="AC166" s="149">
        <f t="shared" si="114"/>
        <v>0</v>
      </c>
      <c r="AD166" s="149">
        <f t="shared" si="115"/>
        <v>0</v>
      </c>
      <c r="AE166" s="149">
        <f t="shared" si="116"/>
        <v>0</v>
      </c>
      <c r="AF166" s="149">
        <f>SUMIFS('G2-7 Summary'!N:N,'G2-7 Summary'!A:A,'G2-8 Summary'!C166,'G2-7 Summary'!B:B,'G2-8 Summary'!D166)</f>
        <v>15384.000000000002</v>
      </c>
      <c r="AG166" s="149">
        <f t="shared" si="117"/>
        <v>0</v>
      </c>
      <c r="AH166" s="149">
        <f t="shared" si="118"/>
        <v>0</v>
      </c>
      <c r="AI166" s="149">
        <f t="shared" si="119"/>
        <v>0</v>
      </c>
      <c r="AJ166" s="119">
        <f t="shared" si="120"/>
        <v>15384.000000000002</v>
      </c>
      <c r="AK166" s="27">
        <f t="shared" ref="AK166:AK192" si="121">AL166-AJ166</f>
        <v>38</v>
      </c>
      <c r="AL166" s="27">
        <f>SUMIFS('G2-7 Summary'!P:P,'G2-7 Summary'!A:A,'G2-8 Summary'!C166,'G2-7 Summary'!B:B,'G2-8 Summary'!D166)</f>
        <v>15422.000000000002</v>
      </c>
      <c r="AN166" s="27">
        <f>SUMIFS('Rate Design (Consol)'!K:K,'Rate Design (Consol)'!A:A,K166,'Rate Design (Consol)'!D:D,G166)</f>
        <v>0</v>
      </c>
      <c r="AO166" s="23">
        <f>SUMIFS('Rate Design (Consol)'!L:L,'Rate Design (Consol)'!A:A,K166,'Rate Design (Consol)'!D:D,G166)</f>
        <v>0</v>
      </c>
      <c r="AP166" s="24">
        <f t="shared" si="86"/>
        <v>0</v>
      </c>
      <c r="AQ166" s="24">
        <f>AL166</f>
        <v>15422.000000000002</v>
      </c>
      <c r="AR166" s="25">
        <f t="shared" ref="AR166:AR192" si="122">AL166</f>
        <v>15422.000000000002</v>
      </c>
      <c r="AS166" s="149"/>
      <c r="AT166" s="53"/>
      <c r="AU166" s="53"/>
      <c r="AW166" s="199"/>
      <c r="AX166" s="53"/>
      <c r="AY166" s="53"/>
    </row>
    <row r="167" spans="1:51" x14ac:dyDescent="0.25">
      <c r="A167" s="23"/>
      <c r="C167" s="23" t="s">
        <v>159</v>
      </c>
      <c r="D167" s="23" t="s">
        <v>205</v>
      </c>
      <c r="L167" s="146"/>
      <c r="M167" s="146"/>
      <c r="N167" s="146"/>
      <c r="O167" s="62"/>
      <c r="P167" s="23"/>
      <c r="Q167" s="147">
        <f>SUMIF('G2-7 Summary'!$S:$S,CONCATENATE($C167,$D167),'G2-7 Summary'!D:D)</f>
        <v>0</v>
      </c>
      <c r="R167" s="147"/>
      <c r="S167" s="151"/>
      <c r="T167" s="25"/>
      <c r="U167" s="147">
        <f>SUMIFS('G2-7 Summary'!E:E,'G2-7 Summary'!A:A,'G2-8 Summary'!C167,'G2-7 Summary'!B:B,'G2-8 Summary'!D167)</f>
        <v>0</v>
      </c>
      <c r="V167" s="72"/>
      <c r="W167" s="25"/>
      <c r="X167" s="131"/>
      <c r="Y167" s="131"/>
      <c r="Z167" s="131"/>
      <c r="AA167" s="131"/>
      <c r="AB167" s="25"/>
      <c r="AC167" s="149">
        <f t="shared" si="114"/>
        <v>0</v>
      </c>
      <c r="AD167" s="149">
        <f t="shared" si="115"/>
        <v>0</v>
      </c>
      <c r="AE167" s="149">
        <f t="shared" si="116"/>
        <v>0</v>
      </c>
      <c r="AF167" s="149">
        <f>SUMIFS('G2-7 Summary'!N:N,'G2-7 Summary'!A:A,'G2-8 Summary'!C167,'G2-7 Summary'!B:B,'G2-8 Summary'!D167)</f>
        <v>21545.743203563175</v>
      </c>
      <c r="AG167" s="149">
        <f t="shared" si="117"/>
        <v>0</v>
      </c>
      <c r="AH167" s="149">
        <f t="shared" si="118"/>
        <v>0</v>
      </c>
      <c r="AI167" s="149">
        <f t="shared" si="119"/>
        <v>0</v>
      </c>
      <c r="AJ167" s="119">
        <f t="shared" si="120"/>
        <v>21545.743203563175</v>
      </c>
      <c r="AK167" s="27">
        <f t="shared" si="121"/>
        <v>-21545.743203563175</v>
      </c>
      <c r="AL167" s="27">
        <f>SUMIFS('G2-7 Summary'!P:P,'G2-7 Summary'!A:A,'G2-8 Summary'!C167,'G2-7 Summary'!B:B,'G2-8 Summary'!D167)</f>
        <v>0</v>
      </c>
      <c r="AN167" s="27">
        <f>SUMIFS('Rate Design (Consol)'!K:K,'Rate Design (Consol)'!A:A,K167,'Rate Design (Consol)'!D:D,G167)</f>
        <v>0</v>
      </c>
      <c r="AO167" s="23">
        <f>SUMIFS('Rate Design (Consol)'!L:L,'Rate Design (Consol)'!A:A,K167,'Rate Design (Consol)'!D:D,G167)</f>
        <v>0</v>
      </c>
      <c r="AP167" s="24">
        <f t="shared" si="86"/>
        <v>0</v>
      </c>
      <c r="AQ167" s="24">
        <f t="shared" ref="AQ167:AQ192" si="123">AL167</f>
        <v>0</v>
      </c>
      <c r="AR167" s="25">
        <f t="shared" si="122"/>
        <v>0</v>
      </c>
      <c r="AS167" s="149"/>
      <c r="AT167" s="53"/>
      <c r="AU167" s="53"/>
      <c r="AW167" s="199"/>
      <c r="AX167" s="53"/>
      <c r="AY167" s="53"/>
    </row>
    <row r="168" spans="1:51" x14ac:dyDescent="0.25">
      <c r="A168" s="23"/>
      <c r="C168" s="23" t="s">
        <v>159</v>
      </c>
      <c r="D168" s="23" t="s">
        <v>206</v>
      </c>
      <c r="L168" s="146"/>
      <c r="M168" s="146"/>
      <c r="N168" s="146"/>
      <c r="O168" s="62"/>
      <c r="P168" s="23"/>
      <c r="Q168" s="147">
        <f>SUMIF('G2-7 Summary'!$S:$S,CONCATENATE($C168,$D168),'G2-7 Summary'!D:D)</f>
        <v>0</v>
      </c>
      <c r="R168" s="147"/>
      <c r="S168" s="151"/>
      <c r="T168" s="25"/>
      <c r="U168" s="147">
        <f>SUMIFS('G2-7 Summary'!E:E,'G2-7 Summary'!A:A,'G2-8 Summary'!C168,'G2-7 Summary'!B:B,'G2-8 Summary'!D168)</f>
        <v>0</v>
      </c>
      <c r="V168" s="72"/>
      <c r="W168" s="25"/>
      <c r="X168" s="131"/>
      <c r="Y168" s="131"/>
      <c r="Z168" s="131"/>
      <c r="AA168" s="131"/>
      <c r="AB168" s="25"/>
      <c r="AC168" s="149">
        <f t="shared" si="114"/>
        <v>0</v>
      </c>
      <c r="AD168" s="149">
        <f t="shared" si="115"/>
        <v>0</v>
      </c>
      <c r="AE168" s="149">
        <f t="shared" si="116"/>
        <v>0</v>
      </c>
      <c r="AF168" s="149">
        <f>SUMIFS('G2-7 Summary'!N:N,'G2-7 Summary'!A:A,'G2-8 Summary'!C168,'G2-7 Summary'!B:B,'G2-8 Summary'!D168)</f>
        <v>0</v>
      </c>
      <c r="AG168" s="149">
        <f t="shared" si="117"/>
        <v>0</v>
      </c>
      <c r="AH168" s="149">
        <f t="shared" si="118"/>
        <v>0</v>
      </c>
      <c r="AI168" s="149">
        <f t="shared" si="119"/>
        <v>0</v>
      </c>
      <c r="AJ168" s="119">
        <f t="shared" si="120"/>
        <v>0</v>
      </c>
      <c r="AK168" s="27">
        <f t="shared" si="121"/>
        <v>0</v>
      </c>
      <c r="AL168" s="27">
        <f>SUMIFS('G2-7 Summary'!P:P,'G2-7 Summary'!A:A,'G2-8 Summary'!C168,'G2-7 Summary'!B:B,'G2-8 Summary'!D168)</f>
        <v>0</v>
      </c>
      <c r="AN168" s="27">
        <f>SUMIFS('Rate Design (Consol)'!K:K,'Rate Design (Consol)'!A:A,K168,'Rate Design (Consol)'!D:D,G168)</f>
        <v>0</v>
      </c>
      <c r="AO168" s="23">
        <f>SUMIFS('Rate Design (Consol)'!L:L,'Rate Design (Consol)'!A:A,K168,'Rate Design (Consol)'!D:D,G168)</f>
        <v>0</v>
      </c>
      <c r="AP168" s="24">
        <f t="shared" si="86"/>
        <v>0</v>
      </c>
      <c r="AQ168" s="24">
        <f t="shared" si="123"/>
        <v>0</v>
      </c>
      <c r="AR168" s="25">
        <f t="shared" si="122"/>
        <v>0</v>
      </c>
      <c r="AS168" s="149"/>
      <c r="AT168" s="53"/>
      <c r="AU168" s="53"/>
      <c r="AW168" s="199"/>
      <c r="AX168" s="53"/>
      <c r="AY168" s="53"/>
    </row>
    <row r="169" spans="1:51" x14ac:dyDescent="0.25">
      <c r="A169" s="23"/>
      <c r="C169" s="23" t="s">
        <v>159</v>
      </c>
      <c r="D169" s="23" t="s">
        <v>207</v>
      </c>
      <c r="L169" s="146"/>
      <c r="M169" s="146"/>
      <c r="N169" s="146"/>
      <c r="O169" s="62"/>
      <c r="P169" s="23"/>
      <c r="Q169" s="147">
        <f>SUMIF('G2-7 Summary'!$S:$S,CONCATENATE($C169,$D169),'G2-7 Summary'!D:D)</f>
        <v>0</v>
      </c>
      <c r="R169" s="147"/>
      <c r="S169" s="151"/>
      <c r="T169" s="25"/>
      <c r="U169" s="147">
        <f>SUMIFS('G2-7 Summary'!E:E,'G2-7 Summary'!A:A,'G2-8 Summary'!C169,'G2-7 Summary'!B:B,'G2-8 Summary'!D169)</f>
        <v>0</v>
      </c>
      <c r="V169" s="72"/>
      <c r="W169" s="25"/>
      <c r="X169" s="131"/>
      <c r="Y169" s="131"/>
      <c r="Z169" s="131"/>
      <c r="AA169" s="131"/>
      <c r="AB169" s="25"/>
      <c r="AC169" s="149">
        <f t="shared" si="114"/>
        <v>0</v>
      </c>
      <c r="AD169" s="149">
        <f t="shared" si="115"/>
        <v>0</v>
      </c>
      <c r="AE169" s="149">
        <f t="shared" si="116"/>
        <v>0</v>
      </c>
      <c r="AF169" s="149">
        <f>SUMIFS('G2-7 Summary'!N:N,'G2-7 Summary'!A:A,'G2-8 Summary'!C169,'G2-7 Summary'!B:B,'G2-8 Summary'!D169)</f>
        <v>0</v>
      </c>
      <c r="AG169" s="149">
        <f t="shared" si="117"/>
        <v>0</v>
      </c>
      <c r="AH169" s="149">
        <f t="shared" si="118"/>
        <v>0</v>
      </c>
      <c r="AI169" s="149">
        <f t="shared" si="119"/>
        <v>0</v>
      </c>
      <c r="AJ169" s="119">
        <f t="shared" si="120"/>
        <v>0</v>
      </c>
      <c r="AK169" s="27">
        <f t="shared" si="121"/>
        <v>0</v>
      </c>
      <c r="AL169" s="27">
        <f>SUMIFS('G2-7 Summary'!P:P,'G2-7 Summary'!A:A,'G2-8 Summary'!C169,'G2-7 Summary'!B:B,'G2-8 Summary'!D169)</f>
        <v>0</v>
      </c>
      <c r="AN169" s="27">
        <f>SUMIFS('Rate Design (Consol)'!K:K,'Rate Design (Consol)'!A:A,K169,'Rate Design (Consol)'!D:D,G169)</f>
        <v>0</v>
      </c>
      <c r="AO169" s="23">
        <f>SUMIFS('Rate Design (Consol)'!L:L,'Rate Design (Consol)'!A:A,K169,'Rate Design (Consol)'!D:D,G169)</f>
        <v>0</v>
      </c>
      <c r="AP169" s="24">
        <f t="shared" si="86"/>
        <v>0</v>
      </c>
      <c r="AQ169" s="24">
        <f t="shared" si="123"/>
        <v>0</v>
      </c>
      <c r="AR169" s="25">
        <f t="shared" si="122"/>
        <v>0</v>
      </c>
      <c r="AS169" s="149"/>
      <c r="AT169" s="53"/>
      <c r="AU169" s="53"/>
      <c r="AW169" s="199"/>
      <c r="AX169" s="53"/>
      <c r="AY169" s="53"/>
    </row>
    <row r="170" spans="1:51" x14ac:dyDescent="0.25">
      <c r="A170" s="23"/>
      <c r="C170" s="23" t="s">
        <v>159</v>
      </c>
      <c r="D170" s="23" t="s">
        <v>208</v>
      </c>
      <c r="L170" s="146"/>
      <c r="M170" s="146"/>
      <c r="N170" s="146"/>
      <c r="O170" s="62"/>
      <c r="P170" s="23"/>
      <c r="Q170" s="147">
        <f>SUMIF('G2-7 Summary'!$S:$S,CONCATENATE($C170,$D170),'G2-7 Summary'!D:D)</f>
        <v>0</v>
      </c>
      <c r="R170" s="147"/>
      <c r="S170" s="151"/>
      <c r="T170" s="25"/>
      <c r="U170" s="147">
        <f>SUMIFS('G2-7 Summary'!E:E,'G2-7 Summary'!A:A,'G2-8 Summary'!C170,'G2-7 Summary'!B:B,'G2-8 Summary'!D170)</f>
        <v>0</v>
      </c>
      <c r="V170" s="72"/>
      <c r="W170" s="25"/>
      <c r="X170" s="131"/>
      <c r="Y170" s="131"/>
      <c r="Z170" s="131"/>
      <c r="AA170" s="131"/>
      <c r="AB170" s="25"/>
      <c r="AC170" s="149">
        <f t="shared" si="114"/>
        <v>0</v>
      </c>
      <c r="AD170" s="149">
        <f t="shared" si="115"/>
        <v>0</v>
      </c>
      <c r="AE170" s="149">
        <f t="shared" si="116"/>
        <v>0</v>
      </c>
      <c r="AF170" s="149">
        <f>SUMIFS('G2-7 Summary'!N:N,'G2-7 Summary'!A:A,'G2-8 Summary'!C170,'G2-7 Summary'!B:B,'G2-8 Summary'!D170)</f>
        <v>0</v>
      </c>
      <c r="AG170" s="149">
        <f t="shared" si="117"/>
        <v>0</v>
      </c>
      <c r="AH170" s="149">
        <f t="shared" si="118"/>
        <v>0</v>
      </c>
      <c r="AI170" s="149">
        <f t="shared" si="119"/>
        <v>0</v>
      </c>
      <c r="AJ170" s="119">
        <f t="shared" si="120"/>
        <v>0</v>
      </c>
      <c r="AK170" s="27">
        <f t="shared" si="121"/>
        <v>0</v>
      </c>
      <c r="AL170" s="27">
        <f>SUMIFS('G2-7 Summary'!P:P,'G2-7 Summary'!A:A,'G2-8 Summary'!C170,'G2-7 Summary'!B:B,'G2-8 Summary'!D170)</f>
        <v>0</v>
      </c>
      <c r="AN170" s="27">
        <f>SUMIFS('Rate Design (Consol)'!K:K,'Rate Design (Consol)'!A:A,K170,'Rate Design (Consol)'!D:D,G170)</f>
        <v>0</v>
      </c>
      <c r="AO170" s="23">
        <f>SUMIFS('Rate Design (Consol)'!L:L,'Rate Design (Consol)'!A:A,K170,'Rate Design (Consol)'!D:D,G170)</f>
        <v>0</v>
      </c>
      <c r="AP170" s="24">
        <f t="shared" si="86"/>
        <v>0</v>
      </c>
      <c r="AQ170" s="24">
        <f t="shared" si="123"/>
        <v>0</v>
      </c>
      <c r="AR170" s="25">
        <f t="shared" si="122"/>
        <v>0</v>
      </c>
      <c r="AS170" s="149"/>
      <c r="AT170" s="53"/>
      <c r="AU170" s="53"/>
      <c r="AW170" s="199"/>
      <c r="AX170" s="53"/>
      <c r="AY170" s="53"/>
    </row>
    <row r="171" spans="1:51" x14ac:dyDescent="0.25">
      <c r="A171" s="23"/>
      <c r="C171" s="23" t="s">
        <v>159</v>
      </c>
      <c r="D171" s="23" t="s">
        <v>209</v>
      </c>
      <c r="L171" s="146"/>
      <c r="M171" s="146"/>
      <c r="N171" s="146"/>
      <c r="O171" s="62"/>
      <c r="P171" s="23"/>
      <c r="Q171" s="147">
        <f>SUMIF('G2-7 Summary'!$S:$S,CONCATENATE($C171,$D171),'G2-7 Summary'!D:D)</f>
        <v>0</v>
      </c>
      <c r="R171" s="147"/>
      <c r="S171" s="151"/>
      <c r="T171" s="25"/>
      <c r="U171" s="147">
        <f>SUMIFS('G2-7 Summary'!E:E,'G2-7 Summary'!A:A,'G2-8 Summary'!C171,'G2-7 Summary'!B:B,'G2-8 Summary'!D171)</f>
        <v>0</v>
      </c>
      <c r="V171" s="72"/>
      <c r="W171" s="25"/>
      <c r="X171" s="131"/>
      <c r="Y171" s="131"/>
      <c r="Z171" s="131"/>
      <c r="AA171" s="131"/>
      <c r="AB171" s="25"/>
      <c r="AC171" s="149">
        <f t="shared" si="114"/>
        <v>0</v>
      </c>
      <c r="AD171" s="149">
        <f t="shared" si="115"/>
        <v>0</v>
      </c>
      <c r="AE171" s="149">
        <f t="shared" si="116"/>
        <v>0</v>
      </c>
      <c r="AF171" s="149">
        <f>SUMIFS('G2-7 Summary'!N:N,'G2-7 Summary'!A:A,'G2-8 Summary'!C171,'G2-7 Summary'!B:B,'G2-8 Summary'!D171)</f>
        <v>0</v>
      </c>
      <c r="AG171" s="149">
        <f t="shared" si="117"/>
        <v>0</v>
      </c>
      <c r="AH171" s="149">
        <f t="shared" si="118"/>
        <v>0</v>
      </c>
      <c r="AI171" s="149">
        <f t="shared" si="119"/>
        <v>0</v>
      </c>
      <c r="AJ171" s="119">
        <f t="shared" si="120"/>
        <v>0</v>
      </c>
      <c r="AK171" s="27">
        <f t="shared" si="121"/>
        <v>0</v>
      </c>
      <c r="AL171" s="27">
        <f>SUMIFS('G2-7 Summary'!P:P,'G2-7 Summary'!A:A,'G2-8 Summary'!C171,'G2-7 Summary'!B:B,'G2-8 Summary'!D171)</f>
        <v>0</v>
      </c>
      <c r="AN171" s="27">
        <f>SUMIFS('Rate Design (Consol)'!K:K,'Rate Design (Consol)'!A:A,K171,'Rate Design (Consol)'!D:D,G171)</f>
        <v>0</v>
      </c>
      <c r="AO171" s="23">
        <f>SUMIFS('Rate Design (Consol)'!L:L,'Rate Design (Consol)'!A:A,K171,'Rate Design (Consol)'!D:D,G171)</f>
        <v>0</v>
      </c>
      <c r="AP171" s="24">
        <f t="shared" si="86"/>
        <v>0</v>
      </c>
      <c r="AQ171" s="24">
        <f t="shared" si="123"/>
        <v>0</v>
      </c>
      <c r="AR171" s="25">
        <f t="shared" si="122"/>
        <v>0</v>
      </c>
      <c r="AS171" s="149"/>
      <c r="AT171" s="53"/>
      <c r="AU171" s="53"/>
      <c r="AW171" s="199"/>
      <c r="AX171" s="53"/>
      <c r="AY171" s="53"/>
    </row>
    <row r="172" spans="1:51" x14ac:dyDescent="0.25">
      <c r="A172" s="23"/>
      <c r="C172" s="23" t="s">
        <v>166</v>
      </c>
      <c r="D172" s="23" t="s">
        <v>203</v>
      </c>
      <c r="L172" s="146"/>
      <c r="M172" s="146"/>
      <c r="N172" s="146"/>
      <c r="O172" s="62"/>
      <c r="P172" s="23"/>
      <c r="Q172" s="147">
        <f>SUMIF('G2-7 Summary'!$S:$S,CONCATENATE($C172,$D172),'G2-7 Summary'!D:D)</f>
        <v>72</v>
      </c>
      <c r="R172" s="147"/>
      <c r="S172" s="151"/>
      <c r="T172" s="25"/>
      <c r="U172" s="147">
        <f>SUMIFS('G2-7 Summary'!E:E,'G2-7 Summary'!A:A,'G2-8 Summary'!C172,'G2-7 Summary'!B:B,'G2-8 Summary'!D172)</f>
        <v>26824925.000000004</v>
      </c>
      <c r="V172" s="72"/>
      <c r="W172" s="25"/>
      <c r="X172" s="131"/>
      <c r="Y172" s="131"/>
      <c r="Z172" s="131"/>
      <c r="AA172" s="131"/>
      <c r="AB172" s="25"/>
      <c r="AC172" s="149">
        <f t="shared" si="114"/>
        <v>0</v>
      </c>
      <c r="AD172" s="149">
        <f t="shared" si="115"/>
        <v>0</v>
      </c>
      <c r="AE172" s="149">
        <f t="shared" si="116"/>
        <v>0</v>
      </c>
      <c r="AF172" s="149">
        <f>SUMIFS('G2-7 Summary'!N:N,'G2-7 Summary'!A:A,'G2-8 Summary'!C172,'G2-7 Summary'!B:B,'G2-8 Summary'!D172)</f>
        <v>2832740</v>
      </c>
      <c r="AG172" s="149">
        <f t="shared" si="117"/>
        <v>0</v>
      </c>
      <c r="AH172" s="149">
        <f t="shared" si="118"/>
        <v>0</v>
      </c>
      <c r="AI172" s="149">
        <f t="shared" si="119"/>
        <v>0</v>
      </c>
      <c r="AJ172" s="119">
        <f t="shared" si="120"/>
        <v>2832740</v>
      </c>
      <c r="AK172" s="27">
        <f t="shared" si="121"/>
        <v>-2832740</v>
      </c>
      <c r="AL172" s="27">
        <f>SUMIFS('G2-7 Summary'!P:P,'G2-7 Summary'!A:A,'G2-8 Summary'!C172,'G2-7 Summary'!B:B,'G2-8 Summary'!D172)</f>
        <v>0</v>
      </c>
      <c r="AN172" s="27">
        <f>SUMIFS('Rate Design (Consol)'!K:K,'Rate Design (Consol)'!A:A,K172,'Rate Design (Consol)'!D:D,G172)</f>
        <v>0</v>
      </c>
      <c r="AO172" s="23">
        <f>SUMIFS('Rate Design (Consol)'!L:L,'Rate Design (Consol)'!A:A,K172,'Rate Design (Consol)'!D:D,G172)</f>
        <v>0</v>
      </c>
      <c r="AP172" s="24">
        <f t="shared" si="86"/>
        <v>0</v>
      </c>
      <c r="AQ172" s="24">
        <f t="shared" si="123"/>
        <v>0</v>
      </c>
      <c r="AR172" s="25">
        <f t="shared" si="122"/>
        <v>0</v>
      </c>
      <c r="AS172" s="149"/>
      <c r="AT172" s="53"/>
      <c r="AU172" s="53"/>
      <c r="AW172" s="199"/>
      <c r="AX172" s="53"/>
      <c r="AY172" s="53"/>
    </row>
    <row r="173" spans="1:51" x14ac:dyDescent="0.25">
      <c r="A173" s="23"/>
      <c r="C173" s="23" t="s">
        <v>166</v>
      </c>
      <c r="D173" s="23" t="s">
        <v>210</v>
      </c>
      <c r="L173" s="146"/>
      <c r="M173" s="146"/>
      <c r="N173" s="146"/>
      <c r="O173" s="62"/>
      <c r="P173" s="23"/>
      <c r="Q173" s="147">
        <f>SUMIF('G2-7 Summary'!$S:$S,CONCATENATE($C173,$D173),'G2-7 Summary'!D:D)</f>
        <v>0</v>
      </c>
      <c r="R173" s="147"/>
      <c r="S173" s="151"/>
      <c r="T173" s="25"/>
      <c r="U173" s="147">
        <f>SUMIFS('G2-7 Summary'!E:E,'G2-7 Summary'!A:A,'G2-8 Summary'!C173,'G2-7 Summary'!B:B,'G2-8 Summary'!D173)</f>
        <v>0</v>
      </c>
      <c r="V173" s="72"/>
      <c r="W173" s="25"/>
      <c r="X173" s="131"/>
      <c r="Y173" s="131"/>
      <c r="Z173" s="131"/>
      <c r="AA173" s="131"/>
      <c r="AB173" s="25"/>
      <c r="AC173" s="149">
        <f t="shared" si="114"/>
        <v>0</v>
      </c>
      <c r="AD173" s="149">
        <f t="shared" si="115"/>
        <v>0</v>
      </c>
      <c r="AE173" s="149">
        <f t="shared" si="116"/>
        <v>0</v>
      </c>
      <c r="AF173" s="149">
        <f>SUMIFS('G2-7 Summary'!N:N,'G2-7 Summary'!A:A,'G2-8 Summary'!C173,'G2-7 Summary'!B:B,'G2-8 Summary'!D173)</f>
        <v>333538</v>
      </c>
      <c r="AG173" s="149">
        <f t="shared" si="117"/>
        <v>0</v>
      </c>
      <c r="AH173" s="149">
        <f t="shared" si="118"/>
        <v>0</v>
      </c>
      <c r="AI173" s="149">
        <f t="shared" si="119"/>
        <v>0</v>
      </c>
      <c r="AJ173" s="119">
        <f t="shared" si="120"/>
        <v>333538</v>
      </c>
      <c r="AK173" s="27">
        <f t="shared" si="121"/>
        <v>-333538</v>
      </c>
      <c r="AL173" s="27">
        <f>SUMIFS('G2-7 Summary'!P:P,'G2-7 Summary'!A:A,'G2-8 Summary'!C173,'G2-7 Summary'!B:B,'G2-8 Summary'!D173)</f>
        <v>0</v>
      </c>
      <c r="AN173" s="27">
        <f>SUMIFS('Rate Design (Consol)'!K:K,'Rate Design (Consol)'!A:A,K173,'Rate Design (Consol)'!D:D,G173)</f>
        <v>0</v>
      </c>
      <c r="AO173" s="23">
        <f>SUMIFS('Rate Design (Consol)'!L:L,'Rate Design (Consol)'!A:A,K173,'Rate Design (Consol)'!D:D,G173)</f>
        <v>0</v>
      </c>
      <c r="AP173" s="24">
        <f t="shared" si="86"/>
        <v>0</v>
      </c>
      <c r="AQ173" s="24">
        <f t="shared" si="123"/>
        <v>0</v>
      </c>
      <c r="AR173" s="25">
        <f t="shared" si="122"/>
        <v>0</v>
      </c>
      <c r="AS173" s="149"/>
      <c r="AT173" s="53"/>
      <c r="AU173" s="53"/>
      <c r="AW173" s="199"/>
      <c r="AX173" s="53"/>
      <c r="AY173" s="53"/>
    </row>
    <row r="174" spans="1:51" x14ac:dyDescent="0.25">
      <c r="A174" s="23"/>
      <c r="C174" s="23" t="s">
        <v>166</v>
      </c>
      <c r="D174" s="23" t="s">
        <v>205</v>
      </c>
      <c r="L174" s="146"/>
      <c r="M174" s="146"/>
      <c r="N174" s="146"/>
      <c r="O174" s="62"/>
      <c r="P174" s="23"/>
      <c r="Q174" s="147">
        <f>SUMIF('G2-7 Summary'!$S:$S,CONCATENATE($C174,$D174),'G2-7 Summary'!D:D)</f>
        <v>0</v>
      </c>
      <c r="R174" s="147"/>
      <c r="S174" s="151"/>
      <c r="T174" s="25"/>
      <c r="U174" s="147">
        <f>SUMIFS('G2-7 Summary'!E:E,'G2-7 Summary'!A:A,'G2-8 Summary'!C174,'G2-7 Summary'!B:B,'G2-8 Summary'!D174)</f>
        <v>0</v>
      </c>
      <c r="V174" s="72"/>
      <c r="W174" s="25"/>
      <c r="X174" s="131"/>
      <c r="Y174" s="131"/>
      <c r="Z174" s="131"/>
      <c r="AA174" s="131"/>
      <c r="AB174" s="25"/>
      <c r="AC174" s="149">
        <f t="shared" si="114"/>
        <v>0</v>
      </c>
      <c r="AD174" s="149">
        <f t="shared" si="115"/>
        <v>0</v>
      </c>
      <c r="AE174" s="149">
        <f t="shared" si="116"/>
        <v>0</v>
      </c>
      <c r="AF174" s="149">
        <f>SUMIFS('G2-7 Summary'!N:N,'G2-7 Summary'!A:A,'G2-8 Summary'!C174,'G2-7 Summary'!B:B,'G2-8 Summary'!D174)</f>
        <v>4617431.1557301823</v>
      </c>
      <c r="AG174" s="149">
        <f t="shared" si="117"/>
        <v>0</v>
      </c>
      <c r="AH174" s="149">
        <f t="shared" si="118"/>
        <v>0</v>
      </c>
      <c r="AI174" s="149">
        <f t="shared" si="119"/>
        <v>0</v>
      </c>
      <c r="AJ174" s="119">
        <f t="shared" si="120"/>
        <v>4617431.1557301823</v>
      </c>
      <c r="AK174" s="27">
        <f t="shared" si="121"/>
        <v>-4617431.1557301823</v>
      </c>
      <c r="AL174" s="27">
        <f>SUMIFS('G2-7 Summary'!P:P,'G2-7 Summary'!A:A,'G2-8 Summary'!C174,'G2-7 Summary'!B:B,'G2-8 Summary'!D174)</f>
        <v>0</v>
      </c>
      <c r="AN174" s="27">
        <f>SUMIFS('Rate Design (Consol)'!K:K,'Rate Design (Consol)'!A:A,K174,'Rate Design (Consol)'!D:D,G174)</f>
        <v>0</v>
      </c>
      <c r="AO174" s="23">
        <f>SUMIFS('Rate Design (Consol)'!L:L,'Rate Design (Consol)'!A:A,K174,'Rate Design (Consol)'!D:D,G174)</f>
        <v>0</v>
      </c>
      <c r="AP174" s="24">
        <f t="shared" si="86"/>
        <v>0</v>
      </c>
      <c r="AQ174" s="24">
        <f t="shared" si="123"/>
        <v>0</v>
      </c>
      <c r="AR174" s="25">
        <f t="shared" si="122"/>
        <v>0</v>
      </c>
      <c r="AS174" s="149"/>
      <c r="AT174" s="53"/>
      <c r="AU174" s="53"/>
      <c r="AW174" s="199"/>
      <c r="AX174" s="53"/>
      <c r="AY174" s="53"/>
    </row>
    <row r="175" spans="1:51" x14ac:dyDescent="0.25">
      <c r="A175" s="23"/>
      <c r="C175" s="23" t="s">
        <v>166</v>
      </c>
      <c r="D175" s="23" t="s">
        <v>206</v>
      </c>
      <c r="L175" s="146"/>
      <c r="M175" s="146"/>
      <c r="N175" s="146"/>
      <c r="O175" s="62"/>
      <c r="P175" s="23"/>
      <c r="Q175" s="147">
        <f>SUMIF('G2-7 Summary'!$S:$S,CONCATENATE($C175,$D175),'G2-7 Summary'!D:D)</f>
        <v>0</v>
      </c>
      <c r="R175" s="147"/>
      <c r="S175" s="151"/>
      <c r="T175" s="25"/>
      <c r="U175" s="147">
        <f>SUMIFS('G2-7 Summary'!E:E,'G2-7 Summary'!A:A,'G2-8 Summary'!C175,'G2-7 Summary'!B:B,'G2-8 Summary'!D175)</f>
        <v>0</v>
      </c>
      <c r="V175" s="72"/>
      <c r="W175" s="25"/>
      <c r="X175" s="131"/>
      <c r="Y175" s="131"/>
      <c r="Z175" s="131"/>
      <c r="AA175" s="131"/>
      <c r="AB175" s="25"/>
      <c r="AC175" s="149">
        <f t="shared" si="114"/>
        <v>0</v>
      </c>
      <c r="AD175" s="149">
        <f t="shared" si="115"/>
        <v>0</v>
      </c>
      <c r="AE175" s="149">
        <f t="shared" si="116"/>
        <v>0</v>
      </c>
      <c r="AF175" s="149">
        <f>SUMIFS('G2-7 Summary'!N:N,'G2-7 Summary'!A:A,'G2-8 Summary'!C175,'G2-7 Summary'!B:B,'G2-8 Summary'!D175)</f>
        <v>153438</v>
      </c>
      <c r="AG175" s="149">
        <f t="shared" si="117"/>
        <v>0</v>
      </c>
      <c r="AH175" s="149">
        <f t="shared" si="118"/>
        <v>0</v>
      </c>
      <c r="AI175" s="149">
        <f t="shared" si="119"/>
        <v>0</v>
      </c>
      <c r="AJ175" s="119">
        <f t="shared" si="120"/>
        <v>153438</v>
      </c>
      <c r="AK175" s="27">
        <f t="shared" si="121"/>
        <v>0</v>
      </c>
      <c r="AL175" s="27">
        <f>SUMIFS('G2-7 Summary'!P:P,'G2-7 Summary'!A:A,'G2-8 Summary'!C175,'G2-7 Summary'!B:B,'G2-8 Summary'!D175)</f>
        <v>153438</v>
      </c>
      <c r="AN175" s="27">
        <f>SUMIFS('Rate Design (Consol)'!K:K,'Rate Design (Consol)'!A:A,K175,'Rate Design (Consol)'!D:D,G175)</f>
        <v>0</v>
      </c>
      <c r="AO175" s="23">
        <f>SUMIFS('Rate Design (Consol)'!L:L,'Rate Design (Consol)'!A:A,K175,'Rate Design (Consol)'!D:D,G175)</f>
        <v>0</v>
      </c>
      <c r="AP175" s="24">
        <f t="shared" si="86"/>
        <v>0</v>
      </c>
      <c r="AQ175" s="24">
        <f t="shared" si="123"/>
        <v>153438</v>
      </c>
      <c r="AR175" s="25">
        <f t="shared" si="122"/>
        <v>153438</v>
      </c>
      <c r="AS175" s="149"/>
      <c r="AT175" s="53"/>
      <c r="AU175" s="53"/>
      <c r="AW175" s="199"/>
      <c r="AX175" s="53"/>
      <c r="AY175" s="53"/>
    </row>
    <row r="176" spans="1:51" x14ac:dyDescent="0.25">
      <c r="A176" s="23"/>
      <c r="C176" s="23" t="s">
        <v>166</v>
      </c>
      <c r="D176" s="23" t="s">
        <v>207</v>
      </c>
      <c r="L176" s="146"/>
      <c r="M176" s="146"/>
      <c r="N176" s="146"/>
      <c r="O176" s="62"/>
      <c r="P176" s="23"/>
      <c r="Q176" s="147">
        <f>SUMIF('G2-7 Summary'!$S:$S,CONCATENATE($C176,$D176),'G2-7 Summary'!D:D)</f>
        <v>0</v>
      </c>
      <c r="R176" s="147"/>
      <c r="S176" s="151"/>
      <c r="T176" s="25"/>
      <c r="U176" s="147">
        <f>SUMIFS('G2-7 Summary'!E:E,'G2-7 Summary'!A:A,'G2-8 Summary'!C176,'G2-7 Summary'!B:B,'G2-8 Summary'!D176)</f>
        <v>0</v>
      </c>
      <c r="V176" s="72"/>
      <c r="W176" s="25"/>
      <c r="X176" s="131"/>
      <c r="Y176" s="131"/>
      <c r="Z176" s="131"/>
      <c r="AA176" s="131"/>
      <c r="AB176" s="25"/>
      <c r="AC176" s="149">
        <f t="shared" si="114"/>
        <v>0</v>
      </c>
      <c r="AD176" s="149">
        <f t="shared" si="115"/>
        <v>0</v>
      </c>
      <c r="AE176" s="149">
        <f t="shared" si="116"/>
        <v>0</v>
      </c>
      <c r="AF176" s="149">
        <f>SUMIFS('G2-7 Summary'!N:N,'G2-7 Summary'!A:A,'G2-8 Summary'!C176,'G2-7 Summary'!B:B,'G2-8 Summary'!D176)</f>
        <v>21240</v>
      </c>
      <c r="AG176" s="149">
        <f t="shared" si="117"/>
        <v>0</v>
      </c>
      <c r="AH176" s="149">
        <f t="shared" si="118"/>
        <v>0</v>
      </c>
      <c r="AI176" s="149">
        <f t="shared" si="119"/>
        <v>0</v>
      </c>
      <c r="AJ176" s="119">
        <f t="shared" si="120"/>
        <v>21240</v>
      </c>
      <c r="AK176" s="27">
        <f t="shared" si="121"/>
        <v>0</v>
      </c>
      <c r="AL176" s="27">
        <f>SUMIFS('G2-7 Summary'!P:P,'G2-7 Summary'!A:A,'G2-8 Summary'!C176,'G2-7 Summary'!B:B,'G2-8 Summary'!D176)</f>
        <v>21240</v>
      </c>
      <c r="AN176" s="27">
        <f>SUMIFS('Rate Design (Consol)'!K:K,'Rate Design (Consol)'!A:A,K176,'Rate Design (Consol)'!D:D,G176)</f>
        <v>0</v>
      </c>
      <c r="AO176" s="23">
        <f>SUMIFS('Rate Design (Consol)'!L:L,'Rate Design (Consol)'!A:A,K176,'Rate Design (Consol)'!D:D,G176)</f>
        <v>0</v>
      </c>
      <c r="AP176" s="24">
        <f t="shared" si="86"/>
        <v>0</v>
      </c>
      <c r="AQ176" s="24">
        <f t="shared" si="123"/>
        <v>21240</v>
      </c>
      <c r="AR176" s="25">
        <f t="shared" si="122"/>
        <v>21240</v>
      </c>
      <c r="AS176" s="149"/>
      <c r="AT176" s="53"/>
      <c r="AU176" s="53"/>
      <c r="AW176" s="199"/>
      <c r="AX176" s="53"/>
      <c r="AY176" s="53"/>
    </row>
    <row r="177" spans="1:51" x14ac:dyDescent="0.25">
      <c r="A177" s="23"/>
      <c r="C177" s="23" t="s">
        <v>166</v>
      </c>
      <c r="D177" s="23" t="s">
        <v>208</v>
      </c>
      <c r="L177" s="146"/>
      <c r="M177" s="146"/>
      <c r="N177" s="146"/>
      <c r="O177" s="62"/>
      <c r="P177" s="23"/>
      <c r="Q177" s="147">
        <f>SUMIF('G2-7 Summary'!$S:$S,CONCATENATE($C177,$D177),'G2-7 Summary'!D:D)</f>
        <v>0</v>
      </c>
      <c r="R177" s="147"/>
      <c r="S177" s="151"/>
      <c r="T177" s="25"/>
      <c r="U177" s="147">
        <f>SUMIFS('G2-7 Summary'!E:E,'G2-7 Summary'!A:A,'G2-8 Summary'!C177,'G2-7 Summary'!B:B,'G2-8 Summary'!D177)</f>
        <v>0</v>
      </c>
      <c r="V177" s="72"/>
      <c r="W177" s="25"/>
      <c r="X177" s="131"/>
      <c r="Y177" s="131"/>
      <c r="Z177" s="131"/>
      <c r="AA177" s="131"/>
      <c r="AB177" s="25"/>
      <c r="AC177" s="149">
        <f t="shared" si="114"/>
        <v>0</v>
      </c>
      <c r="AD177" s="149">
        <f t="shared" si="115"/>
        <v>0</v>
      </c>
      <c r="AE177" s="149">
        <f t="shared" si="116"/>
        <v>0</v>
      </c>
      <c r="AF177" s="149">
        <f>SUMIFS('G2-7 Summary'!N:N,'G2-7 Summary'!A:A,'G2-8 Summary'!C177,'G2-7 Summary'!B:B,'G2-8 Summary'!D177)</f>
        <v>13200</v>
      </c>
      <c r="AG177" s="149">
        <f t="shared" si="117"/>
        <v>0</v>
      </c>
      <c r="AH177" s="149">
        <f t="shared" si="118"/>
        <v>0</v>
      </c>
      <c r="AI177" s="149">
        <f t="shared" si="119"/>
        <v>0</v>
      </c>
      <c r="AJ177" s="119">
        <f t="shared" si="120"/>
        <v>13200</v>
      </c>
      <c r="AK177" s="27">
        <f t="shared" si="121"/>
        <v>0</v>
      </c>
      <c r="AL177" s="27">
        <f>SUMIFS('G2-7 Summary'!P:P,'G2-7 Summary'!A:A,'G2-8 Summary'!C177,'G2-7 Summary'!B:B,'G2-8 Summary'!D177)</f>
        <v>13200</v>
      </c>
      <c r="AN177" s="27">
        <f>SUMIFS('Rate Design (Consol)'!K:K,'Rate Design (Consol)'!A:A,K177,'Rate Design (Consol)'!D:D,G177)</f>
        <v>0</v>
      </c>
      <c r="AO177" s="23">
        <f>SUMIFS('Rate Design (Consol)'!L:L,'Rate Design (Consol)'!A:A,K177,'Rate Design (Consol)'!D:D,G177)</f>
        <v>0</v>
      </c>
      <c r="AP177" s="24">
        <f t="shared" si="86"/>
        <v>0</v>
      </c>
      <c r="AQ177" s="24">
        <f t="shared" si="123"/>
        <v>13200</v>
      </c>
      <c r="AR177" s="25">
        <f t="shared" si="122"/>
        <v>13200</v>
      </c>
      <c r="AS177" s="149"/>
      <c r="AT177" s="53"/>
      <c r="AU177" s="53"/>
      <c r="AW177" s="199"/>
      <c r="AX177" s="53"/>
      <c r="AY177" s="53"/>
    </row>
    <row r="178" spans="1:51" x14ac:dyDescent="0.25">
      <c r="A178" s="23"/>
      <c r="C178" s="23" t="s">
        <v>166</v>
      </c>
      <c r="D178" s="23" t="s">
        <v>209</v>
      </c>
      <c r="L178" s="146"/>
      <c r="M178" s="146"/>
      <c r="N178" s="146"/>
      <c r="O178" s="62"/>
      <c r="P178" s="23"/>
      <c r="Q178" s="147">
        <f>SUMIF('G2-7 Summary'!$S:$S,CONCATENATE($C178,$D178),'G2-7 Summary'!D:D)</f>
        <v>0</v>
      </c>
      <c r="R178" s="147"/>
      <c r="S178" s="151"/>
      <c r="T178" s="25"/>
      <c r="U178" s="147">
        <f>SUMIFS('G2-7 Summary'!E:E,'G2-7 Summary'!A:A,'G2-8 Summary'!C178,'G2-7 Summary'!B:B,'G2-8 Summary'!D178)</f>
        <v>0</v>
      </c>
      <c r="V178" s="72"/>
      <c r="W178" s="25"/>
      <c r="X178" s="131"/>
      <c r="Y178" s="131"/>
      <c r="Z178" s="131"/>
      <c r="AA178" s="131"/>
      <c r="AB178" s="25"/>
      <c r="AC178" s="149">
        <f t="shared" si="114"/>
        <v>0</v>
      </c>
      <c r="AD178" s="149">
        <f t="shared" si="115"/>
        <v>0</v>
      </c>
      <c r="AE178" s="149">
        <f t="shared" si="116"/>
        <v>0</v>
      </c>
      <c r="AF178" s="149">
        <f>SUMIFS('G2-7 Summary'!N:N,'G2-7 Summary'!A:A,'G2-8 Summary'!C178,'G2-7 Summary'!B:B,'G2-8 Summary'!D178)</f>
        <v>1610022</v>
      </c>
      <c r="AG178" s="149">
        <f t="shared" si="117"/>
        <v>0</v>
      </c>
      <c r="AH178" s="149">
        <f t="shared" si="118"/>
        <v>0</v>
      </c>
      <c r="AI178" s="149">
        <f t="shared" si="119"/>
        <v>0</v>
      </c>
      <c r="AJ178" s="119">
        <f t="shared" si="120"/>
        <v>1610022</v>
      </c>
      <c r="AK178" s="27">
        <f t="shared" si="121"/>
        <v>13268</v>
      </c>
      <c r="AL178" s="27">
        <f>SUMIFS('G2-7 Summary'!P:P,'G2-7 Summary'!A:A,'G2-8 Summary'!C178,'G2-7 Summary'!B:B,'G2-8 Summary'!D178)</f>
        <v>1623290</v>
      </c>
      <c r="AN178" s="27">
        <f>SUMIFS('Rate Design (Consol)'!K:K,'Rate Design (Consol)'!A:A,K178,'Rate Design (Consol)'!D:D,G178)</f>
        <v>0</v>
      </c>
      <c r="AO178" s="23">
        <f>SUMIFS('Rate Design (Consol)'!L:L,'Rate Design (Consol)'!A:A,K178,'Rate Design (Consol)'!D:D,G178)</f>
        <v>0</v>
      </c>
      <c r="AP178" s="24">
        <f t="shared" si="86"/>
        <v>0</v>
      </c>
      <c r="AQ178" s="24">
        <f t="shared" si="123"/>
        <v>1623290</v>
      </c>
      <c r="AR178" s="25">
        <f t="shared" si="122"/>
        <v>1623290</v>
      </c>
      <c r="AS178" s="149"/>
      <c r="AT178" s="53"/>
      <c r="AU178" s="53"/>
      <c r="AW178" s="199"/>
      <c r="AX178" s="53"/>
      <c r="AY178" s="53"/>
    </row>
    <row r="179" spans="1:51" x14ac:dyDescent="0.25">
      <c r="A179" s="23"/>
      <c r="C179" s="23" t="s">
        <v>174</v>
      </c>
      <c r="D179" s="23" t="s">
        <v>203</v>
      </c>
      <c r="L179" s="146"/>
      <c r="M179" s="146"/>
      <c r="N179" s="146"/>
      <c r="O179" s="62"/>
      <c r="P179" s="23"/>
      <c r="Q179" s="147">
        <f>SUMIF('G2-7 Summary'!$S:$S,CONCATENATE($C179,$D179),'G2-7 Summary'!D:D)</f>
        <v>132</v>
      </c>
      <c r="R179" s="147"/>
      <c r="S179" s="151"/>
      <c r="T179" s="25"/>
      <c r="U179" s="147">
        <f>SUMIFS('G2-7 Summary'!E:E,'G2-7 Summary'!A:A,'G2-8 Summary'!C179,'G2-7 Summary'!B:B,'G2-8 Summary'!D179)</f>
        <v>242265015.00000003</v>
      </c>
      <c r="V179" s="72"/>
      <c r="W179" s="25"/>
      <c r="X179" s="131"/>
      <c r="Y179" s="131"/>
      <c r="Z179" s="131"/>
      <c r="AA179" s="131"/>
      <c r="AB179" s="25"/>
      <c r="AC179" s="149">
        <f t="shared" si="114"/>
        <v>0</v>
      </c>
      <c r="AD179" s="149">
        <f t="shared" si="115"/>
        <v>0</v>
      </c>
      <c r="AE179" s="149">
        <f t="shared" si="116"/>
        <v>0</v>
      </c>
      <c r="AF179" s="149">
        <f>SUMIFS('G2-7 Summary'!N:N,'G2-7 Summary'!A:A,'G2-8 Summary'!C179,'G2-7 Summary'!B:B,'G2-8 Summary'!D179)</f>
        <v>2720106</v>
      </c>
      <c r="AG179" s="149">
        <f t="shared" si="117"/>
        <v>0</v>
      </c>
      <c r="AH179" s="149">
        <f t="shared" si="118"/>
        <v>0</v>
      </c>
      <c r="AI179" s="149">
        <f t="shared" si="119"/>
        <v>0</v>
      </c>
      <c r="AJ179" s="119">
        <f t="shared" si="120"/>
        <v>2720106</v>
      </c>
      <c r="AK179" s="27">
        <f t="shared" si="121"/>
        <v>-2720106</v>
      </c>
      <c r="AL179" s="27">
        <f>SUMIFS('G2-7 Summary'!P:P,'G2-7 Summary'!A:A,'G2-8 Summary'!C179,'G2-7 Summary'!B:B,'G2-8 Summary'!D179)</f>
        <v>0</v>
      </c>
      <c r="AN179" s="27">
        <f>SUMIFS('Rate Design (Consol)'!K:K,'Rate Design (Consol)'!A:A,K179,'Rate Design (Consol)'!D:D,G179)</f>
        <v>0</v>
      </c>
      <c r="AO179" s="23">
        <f>SUMIFS('Rate Design (Consol)'!L:L,'Rate Design (Consol)'!A:A,K179,'Rate Design (Consol)'!D:D,G179)</f>
        <v>0</v>
      </c>
      <c r="AP179" s="24">
        <f t="shared" si="86"/>
        <v>0</v>
      </c>
      <c r="AQ179" s="24">
        <f t="shared" si="123"/>
        <v>0</v>
      </c>
      <c r="AR179" s="25">
        <f t="shared" si="122"/>
        <v>0</v>
      </c>
      <c r="AS179" s="149"/>
      <c r="AT179" s="53"/>
      <c r="AU179" s="53"/>
      <c r="AW179" s="199"/>
      <c r="AX179" s="53"/>
      <c r="AY179" s="53"/>
    </row>
    <row r="180" spans="1:51" x14ac:dyDescent="0.25">
      <c r="A180" s="23"/>
      <c r="C180" s="23" t="s">
        <v>174</v>
      </c>
      <c r="D180" s="23" t="s">
        <v>204</v>
      </c>
      <c r="L180" s="146"/>
      <c r="M180" s="146"/>
      <c r="N180" s="146"/>
      <c r="O180" s="62"/>
      <c r="P180" s="23"/>
      <c r="Q180" s="147">
        <f>SUMIF('G2-7 Summary'!$S:$S,CONCATENATE($C180,$D180),'G2-7 Summary'!D:D)</f>
        <v>0</v>
      </c>
      <c r="R180" s="147"/>
      <c r="S180" s="151"/>
      <c r="T180" s="25"/>
      <c r="U180" s="147">
        <f>SUMIFS('G2-7 Summary'!E:E,'G2-7 Summary'!A:A,'G2-8 Summary'!C180,'G2-7 Summary'!B:B,'G2-8 Summary'!D180)</f>
        <v>0</v>
      </c>
      <c r="V180" s="72"/>
      <c r="W180" s="25"/>
      <c r="X180" s="131"/>
      <c r="Y180" s="131"/>
      <c r="Z180" s="131"/>
      <c r="AA180" s="131"/>
      <c r="AB180" s="25"/>
      <c r="AC180" s="149">
        <f t="shared" si="114"/>
        <v>0</v>
      </c>
      <c r="AD180" s="149">
        <f t="shared" si="115"/>
        <v>0</v>
      </c>
      <c r="AE180" s="149">
        <f t="shared" si="116"/>
        <v>0</v>
      </c>
      <c r="AF180" s="149">
        <f>SUMIFS('G2-7 Summary'!N:N,'G2-7 Summary'!A:A,'G2-8 Summary'!C180,'G2-7 Summary'!B:B,'G2-8 Summary'!D180)</f>
        <v>0</v>
      </c>
      <c r="AG180" s="149">
        <f t="shared" si="117"/>
        <v>0</v>
      </c>
      <c r="AH180" s="149">
        <f t="shared" si="118"/>
        <v>0</v>
      </c>
      <c r="AI180" s="149">
        <f t="shared" si="119"/>
        <v>0</v>
      </c>
      <c r="AJ180" s="119">
        <f t="shared" si="120"/>
        <v>0</v>
      </c>
      <c r="AK180" s="27">
        <f t="shared" si="121"/>
        <v>0</v>
      </c>
      <c r="AL180" s="27">
        <f>SUMIFS('G2-7 Summary'!P:P,'G2-7 Summary'!A:A,'G2-8 Summary'!C180,'G2-7 Summary'!B:B,'G2-8 Summary'!D180)</f>
        <v>0</v>
      </c>
      <c r="AN180" s="27">
        <f>SUMIFS('Rate Design (Consol)'!K:K,'Rate Design (Consol)'!A:A,K180,'Rate Design (Consol)'!D:D,G180)</f>
        <v>0</v>
      </c>
      <c r="AO180" s="23">
        <f>SUMIFS('Rate Design (Consol)'!L:L,'Rate Design (Consol)'!A:A,K180,'Rate Design (Consol)'!D:D,G180)</f>
        <v>0</v>
      </c>
      <c r="AP180" s="24">
        <f t="shared" si="86"/>
        <v>0</v>
      </c>
      <c r="AQ180" s="24">
        <f t="shared" si="123"/>
        <v>0</v>
      </c>
      <c r="AR180" s="25">
        <f t="shared" si="122"/>
        <v>0</v>
      </c>
      <c r="AS180" s="149"/>
      <c r="AT180" s="53"/>
      <c r="AU180" s="53"/>
      <c r="AW180" s="199"/>
      <c r="AX180" s="53"/>
      <c r="AY180" s="53"/>
    </row>
    <row r="181" spans="1:51" x14ac:dyDescent="0.25">
      <c r="A181" s="23"/>
      <c r="C181" s="23" t="s">
        <v>174</v>
      </c>
      <c r="D181" s="23" t="s">
        <v>205</v>
      </c>
      <c r="L181" s="146"/>
      <c r="M181" s="146"/>
      <c r="N181" s="146"/>
      <c r="O181" s="62"/>
      <c r="P181" s="23"/>
      <c r="Q181" s="147">
        <f>SUMIF('G2-7 Summary'!$S:$S,CONCATENATE($C181,$D181),'G2-7 Summary'!D:D)</f>
        <v>0</v>
      </c>
      <c r="R181" s="147"/>
      <c r="S181" s="151"/>
      <c r="T181" s="25"/>
      <c r="U181" s="147">
        <f>SUMIFS('G2-7 Summary'!E:E,'G2-7 Summary'!A:A,'G2-8 Summary'!C181,'G2-7 Summary'!B:B,'G2-8 Summary'!D181)</f>
        <v>0</v>
      </c>
      <c r="V181" s="72"/>
      <c r="W181" s="25"/>
      <c r="X181" s="131"/>
      <c r="Y181" s="131"/>
      <c r="Z181" s="131"/>
      <c r="AA181" s="131"/>
      <c r="AB181" s="25"/>
      <c r="AC181" s="149">
        <f t="shared" si="114"/>
        <v>0</v>
      </c>
      <c r="AD181" s="149">
        <f t="shared" si="115"/>
        <v>0</v>
      </c>
      <c r="AE181" s="149">
        <f t="shared" si="116"/>
        <v>0</v>
      </c>
      <c r="AF181" s="149">
        <f>SUMIFS('G2-7 Summary'!N:N,'G2-7 Summary'!A:A,'G2-8 Summary'!C181,'G2-7 Summary'!B:B,'G2-8 Summary'!D181)</f>
        <v>757170.13836203632</v>
      </c>
      <c r="AG181" s="149">
        <f t="shared" si="117"/>
        <v>0</v>
      </c>
      <c r="AH181" s="149">
        <f t="shared" si="118"/>
        <v>0</v>
      </c>
      <c r="AI181" s="149">
        <f t="shared" si="119"/>
        <v>0</v>
      </c>
      <c r="AJ181" s="119">
        <f t="shared" si="120"/>
        <v>757170.13836203632</v>
      </c>
      <c r="AK181" s="27">
        <f t="shared" si="121"/>
        <v>-757170.13836203632</v>
      </c>
      <c r="AL181" s="27">
        <f>SUMIFS('G2-7 Summary'!P:P,'G2-7 Summary'!A:A,'G2-8 Summary'!C181,'G2-7 Summary'!B:B,'G2-8 Summary'!D181)</f>
        <v>0</v>
      </c>
      <c r="AN181" s="27">
        <f>SUMIFS('Rate Design (Consol)'!K:K,'Rate Design (Consol)'!A:A,K181,'Rate Design (Consol)'!D:D,G181)</f>
        <v>0</v>
      </c>
      <c r="AO181" s="23">
        <f>SUMIFS('Rate Design (Consol)'!L:L,'Rate Design (Consol)'!A:A,K181,'Rate Design (Consol)'!D:D,G181)</f>
        <v>0</v>
      </c>
      <c r="AP181" s="24">
        <f t="shared" si="86"/>
        <v>0</v>
      </c>
      <c r="AQ181" s="24">
        <f t="shared" si="123"/>
        <v>0</v>
      </c>
      <c r="AR181" s="25">
        <f t="shared" si="122"/>
        <v>0</v>
      </c>
      <c r="AS181" s="149"/>
      <c r="AT181" s="53"/>
      <c r="AU181" s="53"/>
      <c r="AW181" s="199"/>
      <c r="AX181" s="53"/>
      <c r="AY181" s="53"/>
    </row>
    <row r="182" spans="1:51" x14ac:dyDescent="0.25">
      <c r="A182" s="23"/>
      <c r="C182" s="23" t="s">
        <v>174</v>
      </c>
      <c r="D182" s="23" t="s">
        <v>206</v>
      </c>
      <c r="L182" s="146"/>
      <c r="M182" s="146"/>
      <c r="N182" s="146"/>
      <c r="O182" s="62"/>
      <c r="P182" s="23"/>
      <c r="Q182" s="147">
        <f>SUMIF('G2-7 Summary'!$S:$S,CONCATENATE($C182,$D182),'G2-7 Summary'!D:D)</f>
        <v>0</v>
      </c>
      <c r="R182" s="147"/>
      <c r="S182" s="151"/>
      <c r="T182" s="25"/>
      <c r="U182" s="147">
        <f>SUMIFS('G2-7 Summary'!E:E,'G2-7 Summary'!A:A,'G2-8 Summary'!C182,'G2-7 Summary'!B:B,'G2-8 Summary'!D182)</f>
        <v>0</v>
      </c>
      <c r="V182" s="72"/>
      <c r="W182" s="25"/>
      <c r="X182" s="131"/>
      <c r="Y182" s="131"/>
      <c r="Z182" s="131"/>
      <c r="AA182" s="131"/>
      <c r="AB182" s="25"/>
      <c r="AC182" s="149">
        <f t="shared" si="114"/>
        <v>0</v>
      </c>
      <c r="AD182" s="149">
        <f t="shared" si="115"/>
        <v>0</v>
      </c>
      <c r="AE182" s="149">
        <f t="shared" si="116"/>
        <v>0</v>
      </c>
      <c r="AF182" s="149">
        <f>SUMIFS('G2-7 Summary'!N:N,'G2-7 Summary'!A:A,'G2-8 Summary'!C182,'G2-7 Summary'!B:B,'G2-8 Summary'!D182)</f>
        <v>0</v>
      </c>
      <c r="AG182" s="149">
        <f t="shared" si="117"/>
        <v>0</v>
      </c>
      <c r="AH182" s="149">
        <f t="shared" si="118"/>
        <v>0</v>
      </c>
      <c r="AI182" s="149">
        <f t="shared" si="119"/>
        <v>0</v>
      </c>
      <c r="AJ182" s="119">
        <f t="shared" si="120"/>
        <v>0</v>
      </c>
      <c r="AK182" s="27">
        <f t="shared" si="121"/>
        <v>0</v>
      </c>
      <c r="AL182" s="27">
        <f>SUMIFS('G2-7 Summary'!P:P,'G2-7 Summary'!A:A,'G2-8 Summary'!C182,'G2-7 Summary'!B:B,'G2-8 Summary'!D182)</f>
        <v>0</v>
      </c>
      <c r="AN182" s="27">
        <f>SUMIFS('Rate Design (Consol)'!K:K,'Rate Design (Consol)'!A:A,K182,'Rate Design (Consol)'!D:D,G182)</f>
        <v>0</v>
      </c>
      <c r="AO182" s="23">
        <f>SUMIFS('Rate Design (Consol)'!L:L,'Rate Design (Consol)'!A:A,K182,'Rate Design (Consol)'!D:D,G182)</f>
        <v>0</v>
      </c>
      <c r="AP182" s="24">
        <f t="shared" si="86"/>
        <v>0</v>
      </c>
      <c r="AQ182" s="24">
        <f t="shared" si="123"/>
        <v>0</v>
      </c>
      <c r="AR182" s="25">
        <f t="shared" si="122"/>
        <v>0</v>
      </c>
      <c r="AS182" s="149"/>
      <c r="AT182" s="53"/>
      <c r="AU182" s="53"/>
      <c r="AW182" s="199"/>
      <c r="AX182" s="53"/>
      <c r="AY182" s="53"/>
    </row>
    <row r="183" spans="1:51" x14ac:dyDescent="0.25">
      <c r="A183" s="23"/>
      <c r="C183" s="23" t="s">
        <v>174</v>
      </c>
      <c r="D183" s="23" t="s">
        <v>207</v>
      </c>
      <c r="L183" s="146"/>
      <c r="M183" s="146"/>
      <c r="N183" s="146"/>
      <c r="O183" s="62"/>
      <c r="P183" s="23"/>
      <c r="Q183" s="147">
        <f>SUMIF('G2-7 Summary'!$S:$S,CONCATENATE($C183,$D183),'G2-7 Summary'!D:D)</f>
        <v>0</v>
      </c>
      <c r="R183" s="147"/>
      <c r="S183" s="151"/>
      <c r="T183" s="25"/>
      <c r="U183" s="147">
        <f>SUMIFS('G2-7 Summary'!E:E,'G2-7 Summary'!A:A,'G2-8 Summary'!C183,'G2-7 Summary'!B:B,'G2-8 Summary'!D183)</f>
        <v>0</v>
      </c>
      <c r="V183" s="72"/>
      <c r="W183" s="25"/>
      <c r="X183" s="131"/>
      <c r="Y183" s="131"/>
      <c r="Z183" s="131"/>
      <c r="AA183" s="131"/>
      <c r="AB183" s="25"/>
      <c r="AC183" s="149">
        <f t="shared" si="114"/>
        <v>0</v>
      </c>
      <c r="AD183" s="149">
        <f t="shared" si="115"/>
        <v>0</v>
      </c>
      <c r="AE183" s="149">
        <f t="shared" si="116"/>
        <v>0</v>
      </c>
      <c r="AF183" s="149">
        <f>SUMIFS('G2-7 Summary'!N:N,'G2-7 Summary'!A:A,'G2-8 Summary'!C183,'G2-7 Summary'!B:B,'G2-8 Summary'!D183)</f>
        <v>0</v>
      </c>
      <c r="AG183" s="149">
        <f t="shared" si="117"/>
        <v>0</v>
      </c>
      <c r="AH183" s="149">
        <f t="shared" si="118"/>
        <v>0</v>
      </c>
      <c r="AI183" s="149">
        <f t="shared" si="119"/>
        <v>0</v>
      </c>
      <c r="AJ183" s="119">
        <f t="shared" si="120"/>
        <v>0</v>
      </c>
      <c r="AK183" s="27">
        <f t="shared" si="121"/>
        <v>0</v>
      </c>
      <c r="AL183" s="27">
        <f>SUMIFS('G2-7 Summary'!P:P,'G2-7 Summary'!A:A,'G2-8 Summary'!C183,'G2-7 Summary'!B:B,'G2-8 Summary'!D183)</f>
        <v>0</v>
      </c>
      <c r="AN183" s="27">
        <f>SUMIFS('Rate Design (Consol)'!K:K,'Rate Design (Consol)'!A:A,K183,'Rate Design (Consol)'!D:D,G183)</f>
        <v>0</v>
      </c>
      <c r="AO183" s="23">
        <f>SUMIFS('Rate Design (Consol)'!L:L,'Rate Design (Consol)'!A:A,K183,'Rate Design (Consol)'!D:D,G183)</f>
        <v>0</v>
      </c>
      <c r="AP183" s="24">
        <f t="shared" si="86"/>
        <v>0</v>
      </c>
      <c r="AQ183" s="24">
        <f t="shared" si="123"/>
        <v>0</v>
      </c>
      <c r="AR183" s="25">
        <f t="shared" si="122"/>
        <v>0</v>
      </c>
      <c r="AS183" s="149"/>
      <c r="AT183" s="53"/>
      <c r="AU183" s="53"/>
      <c r="AW183" s="199"/>
      <c r="AX183" s="53"/>
      <c r="AY183" s="53"/>
    </row>
    <row r="184" spans="1:51" x14ac:dyDescent="0.25">
      <c r="A184" s="23"/>
      <c r="C184" s="23" t="s">
        <v>174</v>
      </c>
      <c r="D184" s="23" t="s">
        <v>208</v>
      </c>
      <c r="L184" s="146"/>
      <c r="M184" s="146"/>
      <c r="N184" s="146"/>
      <c r="O184" s="62"/>
      <c r="P184" s="23"/>
      <c r="Q184" s="147">
        <f>SUMIF('G2-7 Summary'!$S:$S,CONCATENATE($C184,$D184),'G2-7 Summary'!D:D)</f>
        <v>0</v>
      </c>
      <c r="R184" s="147"/>
      <c r="S184" s="151"/>
      <c r="T184" s="25"/>
      <c r="U184" s="147">
        <f>SUMIFS('G2-7 Summary'!E:E,'G2-7 Summary'!A:A,'G2-8 Summary'!C184,'G2-7 Summary'!B:B,'G2-8 Summary'!D184)</f>
        <v>0</v>
      </c>
      <c r="V184" s="72"/>
      <c r="W184" s="25"/>
      <c r="X184" s="131"/>
      <c r="Y184" s="131"/>
      <c r="Z184" s="131"/>
      <c r="AA184" s="131"/>
      <c r="AB184" s="25"/>
      <c r="AC184" s="149">
        <f t="shared" si="114"/>
        <v>0</v>
      </c>
      <c r="AD184" s="149">
        <f t="shared" si="115"/>
        <v>0</v>
      </c>
      <c r="AE184" s="149">
        <f t="shared" si="116"/>
        <v>0</v>
      </c>
      <c r="AF184" s="149">
        <f>SUMIFS('G2-7 Summary'!N:N,'G2-7 Summary'!A:A,'G2-8 Summary'!C184,'G2-7 Summary'!B:B,'G2-8 Summary'!D184)</f>
        <v>1477740</v>
      </c>
      <c r="AG184" s="149">
        <f t="shared" si="117"/>
        <v>0</v>
      </c>
      <c r="AH184" s="149">
        <f t="shared" si="118"/>
        <v>0</v>
      </c>
      <c r="AI184" s="149">
        <f t="shared" si="119"/>
        <v>0</v>
      </c>
      <c r="AJ184" s="119">
        <f t="shared" si="120"/>
        <v>1477740</v>
      </c>
      <c r="AK184" s="27">
        <f t="shared" si="121"/>
        <v>0</v>
      </c>
      <c r="AL184" s="27">
        <f>SUMIFS('G2-7 Summary'!P:P,'G2-7 Summary'!A:A,'G2-8 Summary'!C184,'G2-7 Summary'!B:B,'G2-8 Summary'!D184)</f>
        <v>1477740</v>
      </c>
      <c r="AN184" s="27">
        <f>SUMIFS('Rate Design (Consol)'!K:K,'Rate Design (Consol)'!A:A,K184,'Rate Design (Consol)'!D:D,G184)</f>
        <v>0</v>
      </c>
      <c r="AO184" s="23">
        <f>SUMIFS('Rate Design (Consol)'!L:L,'Rate Design (Consol)'!A:A,K184,'Rate Design (Consol)'!D:D,G184)</f>
        <v>0</v>
      </c>
      <c r="AP184" s="24">
        <f t="shared" si="86"/>
        <v>0</v>
      </c>
      <c r="AQ184" s="24">
        <f t="shared" si="123"/>
        <v>1477740</v>
      </c>
      <c r="AR184" s="25">
        <f t="shared" si="122"/>
        <v>1477740</v>
      </c>
      <c r="AS184" s="149"/>
      <c r="AT184" s="53"/>
      <c r="AU184" s="53"/>
      <c r="AW184" s="199"/>
      <c r="AX184" s="53"/>
      <c r="AY184" s="53"/>
    </row>
    <row r="185" spans="1:51" x14ac:dyDescent="0.25">
      <c r="A185" s="23"/>
      <c r="C185" s="23" t="s">
        <v>174</v>
      </c>
      <c r="D185" s="23" t="s">
        <v>209</v>
      </c>
      <c r="L185" s="146"/>
      <c r="M185" s="146"/>
      <c r="N185" s="146"/>
      <c r="O185" s="62"/>
      <c r="P185" s="23"/>
      <c r="Q185" s="147">
        <f>SUMIF('G2-7 Summary'!$S:$S,CONCATENATE($C185,$D185),'G2-7 Summary'!D:D)</f>
        <v>0</v>
      </c>
      <c r="R185" s="147"/>
      <c r="S185" s="151"/>
      <c r="T185" s="25"/>
      <c r="U185" s="147">
        <f>SUMIFS('G2-7 Summary'!E:E,'G2-7 Summary'!A:A,'G2-8 Summary'!C185,'G2-7 Summary'!B:B,'G2-8 Summary'!D185)</f>
        <v>0</v>
      </c>
      <c r="V185" s="72"/>
      <c r="W185" s="25"/>
      <c r="X185" s="131"/>
      <c r="Y185" s="131"/>
      <c r="Z185" s="131"/>
      <c r="AA185" s="131"/>
      <c r="AB185" s="25"/>
      <c r="AC185" s="149">
        <f t="shared" si="114"/>
        <v>0</v>
      </c>
      <c r="AD185" s="149">
        <f t="shared" si="115"/>
        <v>0</v>
      </c>
      <c r="AE185" s="149">
        <f t="shared" si="116"/>
        <v>0</v>
      </c>
      <c r="AF185" s="149">
        <f>SUMIFS('G2-7 Summary'!N:N,'G2-7 Summary'!A:A,'G2-8 Summary'!C185,'G2-7 Summary'!B:B,'G2-8 Summary'!D185)</f>
        <v>259821.99999999994</v>
      </c>
      <c r="AG185" s="149">
        <f t="shared" si="117"/>
        <v>0</v>
      </c>
      <c r="AH185" s="149">
        <f t="shared" si="118"/>
        <v>0</v>
      </c>
      <c r="AI185" s="149">
        <f t="shared" si="119"/>
        <v>0</v>
      </c>
      <c r="AJ185" s="119">
        <f t="shared" si="120"/>
        <v>259821.99999999994</v>
      </c>
      <c r="AK185" s="27">
        <f t="shared" si="121"/>
        <v>5829</v>
      </c>
      <c r="AL185" s="27">
        <f>SUMIFS('G2-7 Summary'!P:P,'G2-7 Summary'!A:A,'G2-8 Summary'!C185,'G2-7 Summary'!B:B,'G2-8 Summary'!D185)</f>
        <v>265650.99999999994</v>
      </c>
      <c r="AN185" s="27">
        <f>SUMIFS('Rate Design (Consol)'!K:K,'Rate Design (Consol)'!A:A,K185,'Rate Design (Consol)'!D:D,G185)</f>
        <v>0</v>
      </c>
      <c r="AO185" s="23">
        <f>SUMIFS('Rate Design (Consol)'!L:L,'Rate Design (Consol)'!A:A,K185,'Rate Design (Consol)'!D:D,G185)</f>
        <v>0</v>
      </c>
      <c r="AP185" s="24">
        <f t="shared" si="86"/>
        <v>0</v>
      </c>
      <c r="AQ185" s="24">
        <f t="shared" si="123"/>
        <v>265650.99999999994</v>
      </c>
      <c r="AR185" s="25">
        <f t="shared" si="122"/>
        <v>265650.99999999994</v>
      </c>
      <c r="AS185" s="149"/>
      <c r="AT185" s="53"/>
      <c r="AU185" s="53"/>
      <c r="AW185" s="199"/>
      <c r="AX185" s="53"/>
      <c r="AY185" s="53"/>
    </row>
    <row r="186" spans="1:51" x14ac:dyDescent="0.25">
      <c r="A186" s="23"/>
      <c r="C186" s="23" t="s">
        <v>154</v>
      </c>
      <c r="D186" s="23" t="s">
        <v>203</v>
      </c>
      <c r="L186" s="146"/>
      <c r="M186" s="146"/>
      <c r="N186" s="146"/>
      <c r="O186" s="62"/>
      <c r="P186" s="23"/>
      <c r="Q186" s="147">
        <f>SUMIF('G2-7 Summary'!$S:$S,CONCATENATE($C186,$D186),'G2-7 Summary'!D:D)</f>
        <v>0</v>
      </c>
      <c r="R186" s="147"/>
      <c r="S186" s="151"/>
      <c r="T186" s="25"/>
      <c r="U186" s="147">
        <f>SUMIFS('G2-7 Summary'!E:E,'G2-7 Summary'!A:A,'G2-8 Summary'!C186,'G2-7 Summary'!B:B,'G2-8 Summary'!D186)</f>
        <v>0</v>
      </c>
      <c r="V186" s="72"/>
      <c r="W186" s="25"/>
      <c r="X186" s="131"/>
      <c r="Y186" s="131"/>
      <c r="Z186" s="131"/>
      <c r="AA186" s="131"/>
      <c r="AB186" s="25"/>
      <c r="AC186" s="149">
        <f t="shared" si="114"/>
        <v>0</v>
      </c>
      <c r="AD186" s="149">
        <f t="shared" si="115"/>
        <v>0</v>
      </c>
      <c r="AE186" s="149">
        <f t="shared" si="116"/>
        <v>0</v>
      </c>
      <c r="AF186" s="149">
        <f>SUMIFS('G2-7 Summary'!N:N,'G2-7 Summary'!A:A,'G2-8 Summary'!C186,'G2-7 Summary'!B:B,'G2-8 Summary'!D186)</f>
        <v>0</v>
      </c>
      <c r="AG186" s="149">
        <f t="shared" si="117"/>
        <v>0</v>
      </c>
      <c r="AH186" s="149">
        <f t="shared" si="118"/>
        <v>0</v>
      </c>
      <c r="AI186" s="149">
        <f t="shared" si="119"/>
        <v>0</v>
      </c>
      <c r="AJ186" s="119">
        <f t="shared" si="120"/>
        <v>0</v>
      </c>
      <c r="AK186" s="27">
        <f t="shared" si="121"/>
        <v>0</v>
      </c>
      <c r="AL186" s="27">
        <f>SUMIFS('G2-7 Summary'!P:P,'G2-7 Summary'!A:A,'G2-8 Summary'!C186,'G2-7 Summary'!B:B,'G2-8 Summary'!D186)</f>
        <v>0</v>
      </c>
      <c r="AN186" s="27">
        <f>SUMIFS('Rate Design (Consol)'!K:K,'Rate Design (Consol)'!A:A,K186,'Rate Design (Consol)'!D:D,G186)</f>
        <v>0</v>
      </c>
      <c r="AO186" s="23">
        <f>SUMIFS('Rate Design (Consol)'!L:L,'Rate Design (Consol)'!A:A,K186,'Rate Design (Consol)'!D:D,G186)</f>
        <v>0</v>
      </c>
      <c r="AP186" s="24">
        <f t="shared" si="86"/>
        <v>0</v>
      </c>
      <c r="AQ186" s="24">
        <f t="shared" si="123"/>
        <v>0</v>
      </c>
      <c r="AR186" s="25">
        <f t="shared" si="122"/>
        <v>0</v>
      </c>
      <c r="AS186" s="149"/>
      <c r="AT186" s="53"/>
      <c r="AU186" s="53"/>
      <c r="AW186" s="199"/>
      <c r="AX186" s="53"/>
      <c r="AY186" s="53"/>
    </row>
    <row r="187" spans="1:51" x14ac:dyDescent="0.25">
      <c r="A187" s="23"/>
      <c r="C187" s="23" t="s">
        <v>154</v>
      </c>
      <c r="D187" s="23" t="s">
        <v>204</v>
      </c>
      <c r="L187" s="146"/>
      <c r="M187" s="146"/>
      <c r="N187" s="146"/>
      <c r="O187" s="62"/>
      <c r="P187" s="23"/>
      <c r="Q187" s="147">
        <f>SUMIF('G2-7 Summary'!$S:$S,CONCATENATE($C187,$D187),'G2-7 Summary'!D:D)</f>
        <v>0</v>
      </c>
      <c r="R187" s="147"/>
      <c r="S187" s="151"/>
      <c r="T187" s="25"/>
      <c r="U187" s="147">
        <f>SUMIFS('G2-7 Summary'!E:E,'G2-7 Summary'!A:A,'G2-8 Summary'!C187,'G2-7 Summary'!B:B,'G2-8 Summary'!D187)</f>
        <v>0</v>
      </c>
      <c r="V187" s="72"/>
      <c r="W187" s="25"/>
      <c r="X187" s="131"/>
      <c r="Y187" s="131"/>
      <c r="Z187" s="131"/>
      <c r="AA187" s="131"/>
      <c r="AB187" s="25"/>
      <c r="AC187" s="149">
        <f t="shared" si="114"/>
        <v>0</v>
      </c>
      <c r="AD187" s="149">
        <f t="shared" si="115"/>
        <v>0</v>
      </c>
      <c r="AE187" s="149">
        <f t="shared" si="116"/>
        <v>0</v>
      </c>
      <c r="AF187" s="149">
        <f>SUMIFS('G2-7 Summary'!N:N,'G2-7 Summary'!A:A,'G2-8 Summary'!C187,'G2-7 Summary'!B:B,'G2-8 Summary'!D187)</f>
        <v>19334.360000000004</v>
      </c>
      <c r="AG187" s="149">
        <f t="shared" si="117"/>
        <v>0</v>
      </c>
      <c r="AH187" s="149">
        <f t="shared" si="118"/>
        <v>0</v>
      </c>
      <c r="AI187" s="149">
        <f t="shared" si="119"/>
        <v>0</v>
      </c>
      <c r="AJ187" s="119">
        <f t="shared" si="120"/>
        <v>19334.360000000004</v>
      </c>
      <c r="AK187" s="27">
        <f t="shared" si="121"/>
        <v>38</v>
      </c>
      <c r="AL187" s="27">
        <f>SUMIFS('G2-7 Summary'!P:P,'G2-7 Summary'!A:A,'G2-8 Summary'!C187,'G2-7 Summary'!B:B,'G2-8 Summary'!D187)</f>
        <v>19372.360000000004</v>
      </c>
      <c r="AN187" s="27">
        <f>SUMIFS('Rate Design (Consol)'!K:K,'Rate Design (Consol)'!A:A,K187,'Rate Design (Consol)'!D:D,G187)</f>
        <v>0</v>
      </c>
      <c r="AO187" s="23">
        <f>SUMIFS('Rate Design (Consol)'!L:L,'Rate Design (Consol)'!A:A,K187,'Rate Design (Consol)'!D:D,G187)</f>
        <v>0</v>
      </c>
      <c r="AP187" s="24">
        <f t="shared" si="86"/>
        <v>0</v>
      </c>
      <c r="AQ187" s="24">
        <f t="shared" si="123"/>
        <v>19372.360000000004</v>
      </c>
      <c r="AR187" s="25">
        <f t="shared" si="122"/>
        <v>19372.360000000004</v>
      </c>
      <c r="AS187" s="149"/>
      <c r="AT187" s="53"/>
      <c r="AU187" s="53"/>
      <c r="AW187" s="199"/>
      <c r="AX187" s="53"/>
      <c r="AY187" s="53"/>
    </row>
    <row r="188" spans="1:51" x14ac:dyDescent="0.25">
      <c r="A188" s="23"/>
      <c r="C188" s="23" t="s">
        <v>154</v>
      </c>
      <c r="D188" s="23" t="s">
        <v>205</v>
      </c>
      <c r="L188" s="146"/>
      <c r="M188" s="146"/>
      <c r="N188" s="146"/>
      <c r="O188" s="62"/>
      <c r="P188" s="23"/>
      <c r="Q188" s="147">
        <f>SUMIF('G2-7 Summary'!$S:$S,CONCATENATE($C188,$D188),'G2-7 Summary'!D:D)</f>
        <v>0</v>
      </c>
      <c r="R188" s="147"/>
      <c r="S188" s="151"/>
      <c r="T188" s="25"/>
      <c r="U188" s="147">
        <f>SUMIFS('G2-7 Summary'!E:E,'G2-7 Summary'!A:A,'G2-8 Summary'!C188,'G2-7 Summary'!B:B,'G2-8 Summary'!D188)</f>
        <v>0</v>
      </c>
      <c r="V188" s="72"/>
      <c r="W188" s="25"/>
      <c r="X188" s="131"/>
      <c r="Y188" s="131"/>
      <c r="Z188" s="131"/>
      <c r="AA188" s="131"/>
      <c r="AB188" s="25"/>
      <c r="AC188" s="149">
        <f t="shared" si="114"/>
        <v>0</v>
      </c>
      <c r="AD188" s="149">
        <f t="shared" si="115"/>
        <v>0</v>
      </c>
      <c r="AE188" s="149">
        <f t="shared" si="116"/>
        <v>0</v>
      </c>
      <c r="AF188" s="149">
        <f>SUMIFS('G2-7 Summary'!N:N,'G2-7 Summary'!A:A,'G2-8 Summary'!C188,'G2-7 Summary'!B:B,'G2-8 Summary'!D188)</f>
        <v>0</v>
      </c>
      <c r="AG188" s="149">
        <f t="shared" si="117"/>
        <v>0</v>
      </c>
      <c r="AH188" s="149">
        <f t="shared" si="118"/>
        <v>0</v>
      </c>
      <c r="AI188" s="149">
        <f t="shared" si="119"/>
        <v>0</v>
      </c>
      <c r="AJ188" s="119">
        <f t="shared" si="120"/>
        <v>0</v>
      </c>
      <c r="AK188" s="27">
        <f t="shared" si="121"/>
        <v>0</v>
      </c>
      <c r="AL188" s="27">
        <f>SUMIFS('G2-7 Summary'!P:P,'G2-7 Summary'!A:A,'G2-8 Summary'!C188,'G2-7 Summary'!B:B,'G2-8 Summary'!D188)</f>
        <v>0</v>
      </c>
      <c r="AN188" s="27">
        <f>SUMIFS('Rate Design (Consol)'!K:K,'Rate Design (Consol)'!A:A,K188,'Rate Design (Consol)'!D:D,G188)</f>
        <v>0</v>
      </c>
      <c r="AO188" s="23">
        <f>SUMIFS('Rate Design (Consol)'!L:L,'Rate Design (Consol)'!A:A,K188,'Rate Design (Consol)'!D:D,G188)</f>
        <v>0</v>
      </c>
      <c r="AP188" s="24">
        <f t="shared" si="86"/>
        <v>0</v>
      </c>
      <c r="AQ188" s="24">
        <f t="shared" si="123"/>
        <v>0</v>
      </c>
      <c r="AR188" s="25">
        <f t="shared" si="122"/>
        <v>0</v>
      </c>
      <c r="AS188" s="149"/>
      <c r="AT188" s="53"/>
      <c r="AU188" s="53"/>
      <c r="AW188" s="199"/>
      <c r="AX188" s="53"/>
      <c r="AY188" s="53"/>
    </row>
    <row r="189" spans="1:51" x14ac:dyDescent="0.25">
      <c r="A189" s="23"/>
      <c r="C189" s="23" t="s">
        <v>154</v>
      </c>
      <c r="D189" s="23" t="s">
        <v>206</v>
      </c>
      <c r="L189" s="146"/>
      <c r="M189" s="146"/>
      <c r="N189" s="146"/>
      <c r="O189" s="62"/>
      <c r="P189" s="23"/>
      <c r="Q189" s="147">
        <f>SUMIF('G2-7 Summary'!$S:$S,CONCATENATE($C189,$D189),'G2-7 Summary'!D:D)</f>
        <v>0</v>
      </c>
      <c r="R189" s="147"/>
      <c r="S189" s="151"/>
      <c r="T189" s="25"/>
      <c r="U189" s="147">
        <f>SUMIFS('G2-7 Summary'!E:E,'G2-7 Summary'!A:A,'G2-8 Summary'!C189,'G2-7 Summary'!B:B,'G2-8 Summary'!D189)</f>
        <v>0</v>
      </c>
      <c r="V189" s="72"/>
      <c r="W189" s="25"/>
      <c r="X189" s="131"/>
      <c r="Y189" s="131"/>
      <c r="Z189" s="131"/>
      <c r="AA189" s="131"/>
      <c r="AB189" s="25"/>
      <c r="AC189" s="149">
        <f t="shared" si="114"/>
        <v>0</v>
      </c>
      <c r="AD189" s="149">
        <f t="shared" si="115"/>
        <v>0</v>
      </c>
      <c r="AE189" s="149">
        <f t="shared" si="116"/>
        <v>0</v>
      </c>
      <c r="AF189" s="149">
        <f>SUMIFS('G2-7 Summary'!N:N,'G2-7 Summary'!A:A,'G2-8 Summary'!C189,'G2-7 Summary'!B:B,'G2-8 Summary'!D189)</f>
        <v>0</v>
      </c>
      <c r="AG189" s="149">
        <f t="shared" si="117"/>
        <v>0</v>
      </c>
      <c r="AH189" s="149">
        <f t="shared" si="118"/>
        <v>0</v>
      </c>
      <c r="AI189" s="149">
        <f t="shared" si="119"/>
        <v>0</v>
      </c>
      <c r="AJ189" s="119">
        <f t="shared" si="120"/>
        <v>0</v>
      </c>
      <c r="AK189" s="27">
        <f t="shared" si="121"/>
        <v>0</v>
      </c>
      <c r="AL189" s="27">
        <f>SUMIFS('G2-7 Summary'!P:P,'G2-7 Summary'!A:A,'G2-8 Summary'!C189,'G2-7 Summary'!B:B,'G2-8 Summary'!D189)</f>
        <v>0</v>
      </c>
      <c r="AN189" s="27">
        <f>SUMIFS('Rate Design (Consol)'!K:K,'Rate Design (Consol)'!A:A,K189,'Rate Design (Consol)'!D:D,G189)</f>
        <v>0</v>
      </c>
      <c r="AO189" s="23">
        <f>SUMIFS('Rate Design (Consol)'!L:L,'Rate Design (Consol)'!A:A,K189,'Rate Design (Consol)'!D:D,G189)</f>
        <v>0</v>
      </c>
      <c r="AP189" s="24">
        <f t="shared" si="86"/>
        <v>0</v>
      </c>
      <c r="AQ189" s="24">
        <f t="shared" si="123"/>
        <v>0</v>
      </c>
      <c r="AR189" s="25">
        <f t="shared" si="122"/>
        <v>0</v>
      </c>
      <c r="AS189" s="149"/>
      <c r="AT189" s="53"/>
      <c r="AU189" s="53"/>
      <c r="AW189" s="199"/>
      <c r="AX189" s="53"/>
      <c r="AY189" s="53"/>
    </row>
    <row r="190" spans="1:51" x14ac:dyDescent="0.25">
      <c r="A190" s="23"/>
      <c r="C190" s="23" t="s">
        <v>154</v>
      </c>
      <c r="D190" s="23" t="s">
        <v>207</v>
      </c>
      <c r="L190" s="146"/>
      <c r="M190" s="146"/>
      <c r="N190" s="146"/>
      <c r="O190" s="62"/>
      <c r="P190" s="23"/>
      <c r="Q190" s="147">
        <f>SUMIF('G2-7 Summary'!$S:$S,CONCATENATE($C190,$D190),'G2-7 Summary'!D:D)</f>
        <v>0</v>
      </c>
      <c r="R190" s="147"/>
      <c r="S190" s="151"/>
      <c r="T190" s="25"/>
      <c r="U190" s="147">
        <f>SUMIFS('G2-7 Summary'!E:E,'G2-7 Summary'!A:A,'G2-8 Summary'!C190,'G2-7 Summary'!B:B,'G2-8 Summary'!D190)</f>
        <v>0</v>
      </c>
      <c r="V190" s="72"/>
      <c r="W190" s="25"/>
      <c r="X190" s="131"/>
      <c r="Y190" s="131"/>
      <c r="Z190" s="131"/>
      <c r="AA190" s="131"/>
      <c r="AB190" s="25"/>
      <c r="AC190" s="149">
        <f t="shared" si="114"/>
        <v>0</v>
      </c>
      <c r="AD190" s="149">
        <f t="shared" si="115"/>
        <v>0</v>
      </c>
      <c r="AE190" s="149">
        <f t="shared" si="116"/>
        <v>0</v>
      </c>
      <c r="AF190" s="149">
        <f>SUMIFS('G2-7 Summary'!N:N,'G2-7 Summary'!A:A,'G2-8 Summary'!C190,'G2-7 Summary'!B:B,'G2-8 Summary'!D190)</f>
        <v>0</v>
      </c>
      <c r="AG190" s="149">
        <f t="shared" si="117"/>
        <v>0</v>
      </c>
      <c r="AH190" s="149">
        <f t="shared" si="118"/>
        <v>0</v>
      </c>
      <c r="AI190" s="149">
        <f t="shared" si="119"/>
        <v>0</v>
      </c>
      <c r="AJ190" s="119">
        <f t="shared" si="120"/>
        <v>0</v>
      </c>
      <c r="AK190" s="27">
        <f t="shared" si="121"/>
        <v>0</v>
      </c>
      <c r="AL190" s="27">
        <f>SUMIFS('G2-7 Summary'!P:P,'G2-7 Summary'!A:A,'G2-8 Summary'!C190,'G2-7 Summary'!B:B,'G2-8 Summary'!D190)</f>
        <v>0</v>
      </c>
      <c r="AN190" s="27">
        <f>SUMIFS('Rate Design (Consol)'!K:K,'Rate Design (Consol)'!A:A,K190,'Rate Design (Consol)'!D:D,G190)</f>
        <v>0</v>
      </c>
      <c r="AO190" s="23">
        <f>SUMIFS('Rate Design (Consol)'!L:L,'Rate Design (Consol)'!A:A,K190,'Rate Design (Consol)'!D:D,G190)</f>
        <v>0</v>
      </c>
      <c r="AP190" s="24">
        <f t="shared" si="86"/>
        <v>0</v>
      </c>
      <c r="AQ190" s="24">
        <f t="shared" si="123"/>
        <v>0</v>
      </c>
      <c r="AR190" s="25">
        <f t="shared" si="122"/>
        <v>0</v>
      </c>
      <c r="AS190" s="149"/>
      <c r="AT190" s="53"/>
      <c r="AU190" s="53"/>
      <c r="AW190" s="199"/>
      <c r="AX190" s="53"/>
      <c r="AY190" s="53"/>
    </row>
    <row r="191" spans="1:51" x14ac:dyDescent="0.25">
      <c r="A191" s="23"/>
      <c r="C191" s="23" t="s">
        <v>154</v>
      </c>
      <c r="D191" s="23" t="s">
        <v>208</v>
      </c>
      <c r="L191" s="146"/>
      <c r="M191" s="146"/>
      <c r="N191" s="146"/>
      <c r="O191" s="62"/>
      <c r="P191" s="23"/>
      <c r="Q191" s="147">
        <f>SUMIF('G2-7 Summary'!$S:$S,CONCATENATE($C191,$D191),'G2-7 Summary'!D:D)</f>
        <v>0</v>
      </c>
      <c r="R191" s="147"/>
      <c r="S191" s="151"/>
      <c r="T191" s="25"/>
      <c r="U191" s="147">
        <f>SUMIFS('G2-7 Summary'!E:E,'G2-7 Summary'!A:A,'G2-8 Summary'!C191,'G2-7 Summary'!B:B,'G2-8 Summary'!D191)</f>
        <v>0</v>
      </c>
      <c r="V191" s="72"/>
      <c r="W191" s="25"/>
      <c r="X191" s="131"/>
      <c r="Y191" s="131"/>
      <c r="Z191" s="131"/>
      <c r="AA191" s="131"/>
      <c r="AB191" s="25"/>
      <c r="AC191" s="149">
        <f t="shared" si="114"/>
        <v>0</v>
      </c>
      <c r="AD191" s="149">
        <f t="shared" si="115"/>
        <v>0</v>
      </c>
      <c r="AE191" s="149">
        <f t="shared" si="116"/>
        <v>0</v>
      </c>
      <c r="AF191" s="149">
        <f>SUMIFS('G2-7 Summary'!N:N,'G2-7 Summary'!A:A,'G2-8 Summary'!C191,'G2-7 Summary'!B:B,'G2-8 Summary'!D191)</f>
        <v>0</v>
      </c>
      <c r="AG191" s="149">
        <f t="shared" si="117"/>
        <v>0</v>
      </c>
      <c r="AH191" s="149">
        <f t="shared" si="118"/>
        <v>0</v>
      </c>
      <c r="AI191" s="149">
        <f t="shared" si="119"/>
        <v>0</v>
      </c>
      <c r="AJ191" s="119">
        <f t="shared" si="120"/>
        <v>0</v>
      </c>
      <c r="AK191" s="27">
        <f t="shared" si="121"/>
        <v>0</v>
      </c>
      <c r="AL191" s="27">
        <f>SUMIFS('G2-7 Summary'!P:P,'G2-7 Summary'!A:A,'G2-8 Summary'!C191,'G2-7 Summary'!B:B,'G2-8 Summary'!D191)</f>
        <v>0</v>
      </c>
      <c r="AN191" s="27">
        <f>SUMIFS('Rate Design (Consol)'!K:K,'Rate Design (Consol)'!A:A,K191,'Rate Design (Consol)'!D:D,G191)</f>
        <v>0</v>
      </c>
      <c r="AO191" s="23">
        <f>SUMIFS('Rate Design (Consol)'!L:L,'Rate Design (Consol)'!A:A,K191,'Rate Design (Consol)'!D:D,G191)</f>
        <v>0</v>
      </c>
      <c r="AP191" s="24">
        <f t="shared" si="86"/>
        <v>0</v>
      </c>
      <c r="AQ191" s="24">
        <f t="shared" si="123"/>
        <v>0</v>
      </c>
      <c r="AR191" s="25">
        <f t="shared" si="122"/>
        <v>0</v>
      </c>
      <c r="AS191" s="149"/>
      <c r="AT191" s="53"/>
      <c r="AU191" s="53"/>
      <c r="AW191" s="199"/>
      <c r="AX191" s="53"/>
      <c r="AY191" s="53"/>
    </row>
    <row r="192" spans="1:51" s="251" customFormat="1" x14ac:dyDescent="0.25">
      <c r="A192" s="23"/>
      <c r="C192" s="23" t="s">
        <v>154</v>
      </c>
      <c r="D192" s="251" t="s">
        <v>209</v>
      </c>
      <c r="E192" s="252"/>
      <c r="G192" s="252"/>
      <c r="H192" s="23"/>
      <c r="I192" s="23"/>
      <c r="J192" s="253"/>
      <c r="K192" s="253"/>
      <c r="L192" s="254"/>
      <c r="M192" s="254"/>
      <c r="N192" s="254"/>
      <c r="O192" s="62"/>
      <c r="Q192" s="255">
        <f>SUMIF('G2-7 Summary'!$S:$S,CONCATENATE($C192,$D192),'G2-7 Summary'!D:D)</f>
        <v>0</v>
      </c>
      <c r="R192" s="255"/>
      <c r="S192" s="256"/>
      <c r="T192" s="25"/>
      <c r="U192" s="147">
        <f>SUMIFS('G2-7 Summary'!E:E,'G2-7 Summary'!A:A,'G2-8 Summary'!C192,'G2-7 Summary'!B:B,'G2-8 Summary'!D192)</f>
        <v>0</v>
      </c>
      <c r="V192" s="257"/>
      <c r="W192" s="258"/>
      <c r="X192" s="259"/>
      <c r="Y192" s="259"/>
      <c r="Z192" s="259"/>
      <c r="AA192" s="259"/>
      <c r="AB192" s="258"/>
      <c r="AC192" s="255"/>
      <c r="AD192" s="255"/>
      <c r="AE192" s="255"/>
      <c r="AF192" s="149">
        <f>SUMIFS('G2-7 Summary'!N:N,'G2-7 Summary'!A:A,'G2-8 Summary'!C192,'G2-7 Summary'!B:B,'G2-8 Summary'!D192)</f>
        <v>0</v>
      </c>
      <c r="AG192" s="255"/>
      <c r="AH192" s="255"/>
      <c r="AI192" s="255"/>
      <c r="AJ192" s="260"/>
      <c r="AK192" s="27">
        <f t="shared" si="121"/>
        <v>0</v>
      </c>
      <c r="AL192" s="27">
        <f>SUMIFS('G2-7 Summary'!P:P,'G2-7 Summary'!A:A,'G2-8 Summary'!C192,'G2-7 Summary'!B:B,'G2-8 Summary'!D192)</f>
        <v>0</v>
      </c>
      <c r="AN192" s="27">
        <f>SUMIFS('Rate Design (Consol)'!K:K,'Rate Design (Consol)'!A:A,K192,'Rate Design (Consol)'!D:D,G192)</f>
        <v>0</v>
      </c>
      <c r="AO192" s="23">
        <f>SUMIFS('Rate Design (Consol)'!L:L,'Rate Design (Consol)'!A:A,K192,'Rate Design (Consol)'!D:D,G192)</f>
        <v>0</v>
      </c>
      <c r="AP192" s="24">
        <f t="shared" si="86"/>
        <v>0</v>
      </c>
      <c r="AQ192" s="24">
        <f t="shared" si="123"/>
        <v>0</v>
      </c>
      <c r="AR192" s="25">
        <f t="shared" si="122"/>
        <v>0</v>
      </c>
      <c r="AS192" s="261"/>
      <c r="AT192" s="53"/>
      <c r="AU192" s="53"/>
      <c r="AV192" s="275"/>
      <c r="AW192" s="275"/>
      <c r="AX192" s="53"/>
      <c r="AY192" s="53"/>
    </row>
    <row r="193" spans="1:51" s="88" customFormat="1" x14ac:dyDescent="0.25">
      <c r="A193" s="76"/>
      <c r="D193" s="88" t="s">
        <v>34</v>
      </c>
      <c r="E193" s="247"/>
      <c r="G193" s="247"/>
      <c r="I193" s="23"/>
      <c r="J193" s="248"/>
      <c r="K193" s="248"/>
      <c r="L193" s="92"/>
      <c r="M193" s="92"/>
      <c r="N193" s="92"/>
      <c r="O193" s="76"/>
      <c r="P193" s="76">
        <f>SUBTOTAL(9,P4:P192)</f>
        <v>94386</v>
      </c>
      <c r="Q193" s="76">
        <f>SUBTOTAL(9,Q4:Q192)</f>
        <v>1132836</v>
      </c>
      <c r="R193" s="76"/>
      <c r="S193" s="76"/>
      <c r="T193" s="25"/>
      <c r="U193" s="76">
        <f>SUBTOTAL(9,U4:U192)</f>
        <v>401434180.78597838</v>
      </c>
      <c r="V193" s="76"/>
      <c r="W193" s="76"/>
      <c r="X193" s="76"/>
      <c r="Y193" s="76"/>
      <c r="Z193" s="76"/>
      <c r="AA193" s="76"/>
      <c r="AB193" s="76">
        <f t="shared" ref="AB193:AL193" si="124">SUBTOTAL(9,AB4:AB192)</f>
        <v>0</v>
      </c>
      <c r="AC193" s="76">
        <f t="shared" si="124"/>
        <v>20822642.16</v>
      </c>
      <c r="AD193" s="76">
        <f t="shared" si="124"/>
        <v>37137391.172657281</v>
      </c>
      <c r="AE193" s="76">
        <f t="shared" si="124"/>
        <v>19755931.054005519</v>
      </c>
      <c r="AF193" s="76">
        <f t="shared" si="124"/>
        <v>14852711.397295782</v>
      </c>
      <c r="AG193" s="76">
        <f t="shared" si="124"/>
        <v>4799088.6677621948</v>
      </c>
      <c r="AH193" s="76">
        <f t="shared" si="124"/>
        <v>33922552.82720042</v>
      </c>
      <c r="AI193" s="76">
        <f t="shared" si="124"/>
        <v>14167737.691376839</v>
      </c>
      <c r="AJ193" s="76">
        <f t="shared" si="124"/>
        <v>145458054.97029799</v>
      </c>
      <c r="AK193" s="76">
        <f t="shared" si="124"/>
        <v>-64152737.223635241</v>
      </c>
      <c r="AL193" s="76">
        <f t="shared" si="124"/>
        <v>81305317.746662751</v>
      </c>
      <c r="AM193" s="76">
        <f t="shared" ref="AM193" si="125">SUBTOTAL(9,AM4:AM192)</f>
        <v>0</v>
      </c>
      <c r="AN193" s="76"/>
      <c r="AO193" s="76"/>
      <c r="AP193" s="76">
        <f t="shared" ref="AP193" si="126">SUBTOTAL(9,AP4:AP192)</f>
        <v>35497584</v>
      </c>
      <c r="AQ193" s="76">
        <f t="shared" ref="AQ193" si="127">SUBTOTAL(9,AQ4:AQ192)</f>
        <v>69869690.600550905</v>
      </c>
      <c r="AR193" s="76">
        <f t="shared" ref="AR193" si="128">SUBTOTAL(9,AR4:AR192)</f>
        <v>105367274.60055092</v>
      </c>
      <c r="AS193" s="29"/>
      <c r="AT193" s="11"/>
      <c r="AU193" s="53"/>
      <c r="AV193" s="274"/>
      <c r="AW193" s="276"/>
      <c r="AX193" s="53"/>
      <c r="AY193" s="53"/>
    </row>
    <row r="194" spans="1:51" x14ac:dyDescent="0.25">
      <c r="A194" s="23"/>
      <c r="P194" s="23"/>
      <c r="Q194" s="23"/>
      <c r="R194" s="23"/>
      <c r="T194" s="25"/>
      <c r="U194" s="23"/>
      <c r="W194" s="23"/>
      <c r="X194" s="23"/>
      <c r="Y194" s="23"/>
      <c r="Z194" s="23"/>
      <c r="AA194" s="23"/>
      <c r="AB194" s="23"/>
      <c r="AC194" s="148"/>
      <c r="AD194" s="148"/>
      <c r="AE194" s="148"/>
      <c r="AF194" s="148"/>
      <c r="AG194" s="148"/>
      <c r="AH194" s="148"/>
      <c r="AI194" s="148"/>
      <c r="AP194" s="24"/>
      <c r="AQ194" s="24"/>
      <c r="AR194" s="25">
        <v>105367300.74473262</v>
      </c>
      <c r="AU194" s="53"/>
      <c r="AX194" s="53"/>
      <c r="AY194" s="53"/>
    </row>
    <row r="195" spans="1:51" x14ac:dyDescent="0.25">
      <c r="A195" s="23"/>
      <c r="P195" s="23"/>
      <c r="Q195" s="23"/>
      <c r="R195" s="23"/>
      <c r="T195" s="25"/>
      <c r="U195" s="23"/>
      <c r="W195" s="23"/>
      <c r="X195" s="23"/>
      <c r="Y195" s="23"/>
      <c r="Z195" s="23"/>
      <c r="AA195" s="23"/>
      <c r="AB195" s="23"/>
      <c r="AC195" s="26"/>
      <c r="AD195" s="26"/>
      <c r="AE195" s="78"/>
      <c r="AF195" s="26"/>
      <c r="AG195" s="26"/>
      <c r="AH195" s="26"/>
      <c r="AI195" s="26"/>
      <c r="AJ195" s="29"/>
      <c r="AP195" s="24"/>
      <c r="AQ195" s="24"/>
      <c r="AR195" s="25">
        <f>AR193-AR194</f>
        <v>-26.144181698560715</v>
      </c>
      <c r="AU195" s="53"/>
      <c r="AX195" s="53"/>
      <c r="AY195" s="53"/>
    </row>
    <row r="196" spans="1:51" x14ac:dyDescent="0.25">
      <c r="A196" s="23"/>
      <c r="P196" s="23"/>
      <c r="Q196" s="23"/>
      <c r="R196" s="23"/>
      <c r="T196" s="23"/>
      <c r="U196" s="23"/>
      <c r="W196" s="23"/>
      <c r="X196" s="23"/>
      <c r="Y196" s="23"/>
      <c r="Z196" s="23"/>
      <c r="AA196" s="23"/>
      <c r="AB196" s="23"/>
      <c r="AC196" s="26"/>
      <c r="AD196" s="26"/>
      <c r="AE196" s="26"/>
      <c r="AF196" s="26"/>
      <c r="AG196" s="26"/>
      <c r="AH196" s="26"/>
      <c r="AI196" s="26"/>
      <c r="AJ196" s="29"/>
    </row>
    <row r="197" spans="1:51" x14ac:dyDescent="0.25">
      <c r="A197" s="148">
        <v>0</v>
      </c>
      <c r="B197" s="23" t="s">
        <v>202</v>
      </c>
      <c r="C197" s="23" t="s">
        <v>159</v>
      </c>
      <c r="M197" s="148"/>
      <c r="N197" s="148"/>
      <c r="P197" s="148">
        <f>SUMIF($C$4:$C$162,$C197,P$4:P$162)</f>
        <v>531</v>
      </c>
      <c r="Q197" s="148">
        <f>SUMIF($C$4:$C$162,$C197,Q$4:Q$162)</f>
        <v>6372</v>
      </c>
      <c r="S197" s="148"/>
      <c r="U197" s="148">
        <f>SUMIF($C$4:$C$162,$C197,U$4:U$162)</f>
        <v>299892.55095466727</v>
      </c>
      <c r="V197" s="148"/>
      <c r="AC197" s="148">
        <f t="shared" ref="AC197:AR200" si="129">SUMIF($C$4:$C$162,$C197,AC$4:AC$162)</f>
        <v>65502</v>
      </c>
      <c r="AD197" s="148">
        <f t="shared" si="129"/>
        <v>109693.5413217497</v>
      </c>
      <c r="AE197" s="148">
        <f t="shared" si="129"/>
        <v>9756.5178978151307</v>
      </c>
      <c r="AF197" s="148">
        <f t="shared" si="129"/>
        <v>0</v>
      </c>
      <c r="AG197" s="148">
        <f t="shared" si="129"/>
        <v>14732.90034124528</v>
      </c>
      <c r="AH197" s="148">
        <f t="shared" si="129"/>
        <v>132107.69880511222</v>
      </c>
      <c r="AI197" s="148">
        <f t="shared" si="129"/>
        <v>6789.4991030583324</v>
      </c>
      <c r="AJ197" s="148">
        <f t="shared" si="129"/>
        <v>338582.15746898064</v>
      </c>
      <c r="AK197" s="148">
        <f t="shared" si="129"/>
        <v>-153630.09824941581</v>
      </c>
      <c r="AL197" s="148">
        <f t="shared" si="129"/>
        <v>184952.05921956481</v>
      </c>
      <c r="AM197" s="148">
        <f t="shared" si="129"/>
        <v>0</v>
      </c>
      <c r="AN197" s="148">
        <f t="shared" si="129"/>
        <v>1265.5</v>
      </c>
      <c r="AO197" s="148">
        <f t="shared" si="129"/>
        <v>5.7359799999999996</v>
      </c>
      <c r="AP197" s="148">
        <f t="shared" si="129"/>
        <v>102828</v>
      </c>
      <c r="AQ197" s="148">
        <f t="shared" si="129"/>
        <v>116341.42711705518</v>
      </c>
      <c r="AR197" s="148">
        <f t="shared" si="129"/>
        <v>219169.42711705517</v>
      </c>
      <c r="AS197" s="148"/>
      <c r="AT197" s="53"/>
      <c r="AU197" s="53"/>
    </row>
    <row r="198" spans="1:51" x14ac:dyDescent="0.25">
      <c r="A198" s="148">
        <v>0</v>
      </c>
      <c r="B198" s="23" t="s">
        <v>202</v>
      </c>
      <c r="C198" s="23" t="s">
        <v>166</v>
      </c>
      <c r="L198" s="148"/>
      <c r="M198" s="148"/>
      <c r="N198" s="148"/>
      <c r="P198" s="148">
        <f t="shared" ref="P198:Q200" si="130">SUMIF($C$4:$C$162,$C198,P$4:P$162)</f>
        <v>72006</v>
      </c>
      <c r="Q198" s="148">
        <f t="shared" si="130"/>
        <v>864072</v>
      </c>
      <c r="S198" s="148"/>
      <c r="U198" s="148">
        <f t="shared" ref="U198:U200" si="131">SUMIF($C$4:$C$162,$C198,U$4:U$162)</f>
        <v>81179369.34977974</v>
      </c>
      <c r="V198" s="148"/>
      <c r="AC198" s="148">
        <f t="shared" si="129"/>
        <v>12570770.16</v>
      </c>
      <c r="AD198" s="148">
        <f t="shared" si="129"/>
        <v>30246028.639538448</v>
      </c>
      <c r="AE198" s="148">
        <f t="shared" si="129"/>
        <v>16067871.038058106</v>
      </c>
      <c r="AF198" s="148">
        <f t="shared" si="129"/>
        <v>0</v>
      </c>
      <c r="AG198" s="148">
        <f t="shared" si="129"/>
        <v>3512455.1761209229</v>
      </c>
      <c r="AH198" s="148">
        <f t="shared" si="129"/>
        <v>33790445.128395304</v>
      </c>
      <c r="AI198" s="148">
        <f t="shared" si="129"/>
        <v>6132513.6152789677</v>
      </c>
      <c r="AJ198" s="148">
        <f t="shared" si="129"/>
        <v>102320083.75739175</v>
      </c>
      <c r="AK198" s="148">
        <f t="shared" si="129"/>
        <v>-43435413.919795185</v>
      </c>
      <c r="AL198" s="148">
        <f t="shared" si="129"/>
        <v>58884669.837596543</v>
      </c>
      <c r="AM198" s="148">
        <f t="shared" si="129"/>
        <v>0</v>
      </c>
      <c r="AN198" s="148">
        <f t="shared" si="129"/>
        <v>36899</v>
      </c>
      <c r="AO198" s="148">
        <f t="shared" si="129"/>
        <v>25.307919999999999</v>
      </c>
      <c r="AP198" s="148">
        <f t="shared" si="129"/>
        <v>26591280</v>
      </c>
      <c r="AQ198" s="148">
        <f t="shared" si="129"/>
        <v>45464006.312907353</v>
      </c>
      <c r="AR198" s="148">
        <f t="shared" si="129"/>
        <v>72055286.312907353</v>
      </c>
      <c r="AS198" s="148"/>
      <c r="AT198" s="53"/>
      <c r="AU198" s="53"/>
    </row>
    <row r="199" spans="1:51" x14ac:dyDescent="0.25">
      <c r="A199" s="148">
        <v>0</v>
      </c>
      <c r="B199" s="23" t="s">
        <v>202</v>
      </c>
      <c r="C199" s="23" t="s">
        <v>174</v>
      </c>
      <c r="I199" s="28"/>
      <c r="K199" s="28"/>
      <c r="L199" s="148"/>
      <c r="M199" s="148"/>
      <c r="N199" s="148"/>
      <c r="P199" s="148">
        <f t="shared" si="130"/>
        <v>21148</v>
      </c>
      <c r="Q199" s="148">
        <f t="shared" si="130"/>
        <v>253776</v>
      </c>
      <c r="S199" s="148"/>
      <c r="U199" s="148">
        <f t="shared" si="131"/>
        <v>50675788.340666018</v>
      </c>
      <c r="V199" s="148"/>
      <c r="AC199" s="148">
        <f t="shared" si="129"/>
        <v>8105826</v>
      </c>
      <c r="AD199" s="148">
        <f t="shared" si="129"/>
        <v>6738693.4183895225</v>
      </c>
      <c r="AE199" s="148">
        <f t="shared" si="129"/>
        <v>3678303.4980495935</v>
      </c>
      <c r="AF199" s="148">
        <f t="shared" si="129"/>
        <v>0</v>
      </c>
      <c r="AG199" s="148">
        <f t="shared" si="129"/>
        <v>1262407.6248591151</v>
      </c>
      <c r="AH199" s="148">
        <f t="shared" si="129"/>
        <v>0</v>
      </c>
      <c r="AI199" s="148">
        <f t="shared" si="129"/>
        <v>7999484.2433897126</v>
      </c>
      <c r="AJ199" s="148">
        <f t="shared" si="129"/>
        <v>27784714.784687944</v>
      </c>
      <c r="AK199" s="148">
        <f t="shared" si="129"/>
        <v>-9261891.8682488259</v>
      </c>
      <c r="AL199" s="148">
        <f t="shared" si="129"/>
        <v>18522822.91643912</v>
      </c>
      <c r="AM199" s="148">
        <f t="shared" si="129"/>
        <v>0</v>
      </c>
      <c r="AN199" s="148">
        <f t="shared" si="129"/>
        <v>79680.5</v>
      </c>
      <c r="AO199" s="148">
        <f t="shared" si="129"/>
        <v>58.653240000000054</v>
      </c>
      <c r="AP199" s="148">
        <f t="shared" si="129"/>
        <v>8688456</v>
      </c>
      <c r="AQ199" s="148">
        <f t="shared" si="129"/>
        <v>20661723.39591302</v>
      </c>
      <c r="AR199" s="148">
        <f t="shared" si="129"/>
        <v>29350179.395913016</v>
      </c>
      <c r="AS199" s="148"/>
      <c r="AT199" s="53"/>
      <c r="AU199" s="53"/>
    </row>
    <row r="200" spans="1:51" x14ac:dyDescent="0.25">
      <c r="A200" s="148">
        <v>0</v>
      </c>
      <c r="B200" s="23" t="s">
        <v>202</v>
      </c>
      <c r="C200" s="23" t="s">
        <v>154</v>
      </c>
      <c r="I200" s="28"/>
      <c r="K200" s="28"/>
      <c r="L200" s="148"/>
      <c r="M200" s="148"/>
      <c r="N200" s="148"/>
      <c r="P200" s="148">
        <f t="shared" si="130"/>
        <v>701</v>
      </c>
      <c r="Q200" s="148">
        <f t="shared" si="130"/>
        <v>8412</v>
      </c>
      <c r="S200" s="148"/>
      <c r="U200" s="148">
        <f t="shared" si="131"/>
        <v>189190.54457788888</v>
      </c>
      <c r="V200" s="148"/>
      <c r="AC200" s="148">
        <f t="shared" si="129"/>
        <v>80544</v>
      </c>
      <c r="AD200" s="148">
        <f t="shared" si="129"/>
        <v>42975.57340754426</v>
      </c>
      <c r="AE200" s="148">
        <f t="shared" si="129"/>
        <v>0</v>
      </c>
      <c r="AF200" s="148">
        <f t="shared" si="129"/>
        <v>0</v>
      </c>
      <c r="AG200" s="148">
        <f t="shared" si="129"/>
        <v>9492.9664409137713</v>
      </c>
      <c r="AH200" s="148">
        <f t="shared" si="129"/>
        <v>0</v>
      </c>
      <c r="AI200" s="148">
        <f t="shared" si="129"/>
        <v>28950.333605101925</v>
      </c>
      <c r="AJ200" s="148">
        <f t="shared" si="129"/>
        <v>161962.87345355994</v>
      </c>
      <c r="AK200" s="148">
        <f t="shared" si="129"/>
        <v>-38443.300046015691</v>
      </c>
      <c r="AL200" s="148">
        <f t="shared" si="129"/>
        <v>123519.57340754426</v>
      </c>
      <c r="AM200" s="148">
        <f t="shared" si="129"/>
        <v>0</v>
      </c>
      <c r="AN200" s="148">
        <f t="shared" si="129"/>
        <v>245.5</v>
      </c>
      <c r="AO200" s="148">
        <f t="shared" si="129"/>
        <v>1.2889999999999999</v>
      </c>
      <c r="AP200" s="148">
        <f t="shared" si="129"/>
        <v>115020</v>
      </c>
      <c r="AQ200" s="148">
        <f t="shared" si="129"/>
        <v>38266.104613486626</v>
      </c>
      <c r="AR200" s="148">
        <f t="shared" si="129"/>
        <v>153286.10461348662</v>
      </c>
      <c r="AS200" s="148"/>
      <c r="AT200" s="53"/>
      <c r="AU200" s="53"/>
    </row>
    <row r="201" spans="1:51" x14ac:dyDescent="0.25">
      <c r="A201" s="23"/>
      <c r="I201" s="28"/>
      <c r="K201" s="28"/>
      <c r="L201" s="77"/>
      <c r="M201" s="148"/>
      <c r="N201" s="77"/>
      <c r="P201" s="77">
        <f>SUM(P197:P200)</f>
        <v>94386</v>
      </c>
      <c r="Q201" s="77">
        <f>SUM(Q197:Q200)</f>
        <v>1132632</v>
      </c>
      <c r="R201" s="77"/>
      <c r="T201" s="23"/>
      <c r="U201" s="77">
        <f>SUM(U197:U200)</f>
        <v>132344240.7859783</v>
      </c>
      <c r="W201" s="23"/>
      <c r="X201" s="23"/>
      <c r="Y201" s="23"/>
      <c r="Z201" s="23"/>
      <c r="AA201" s="23"/>
      <c r="AB201" s="23"/>
      <c r="AC201" s="77">
        <f t="shared" ref="AC201:AR201" si="132">SUM(AC197:AC200)</f>
        <v>20822642.16</v>
      </c>
      <c r="AD201" s="77">
        <f t="shared" si="132"/>
        <v>37137391.172657266</v>
      </c>
      <c r="AE201" s="77">
        <f t="shared" si="132"/>
        <v>19755931.054005515</v>
      </c>
      <c r="AF201" s="77">
        <f t="shared" si="132"/>
        <v>0</v>
      </c>
      <c r="AG201" s="77">
        <f t="shared" si="132"/>
        <v>4799088.6677621976</v>
      </c>
      <c r="AH201" s="77">
        <f t="shared" si="132"/>
        <v>33922552.827200413</v>
      </c>
      <c r="AI201" s="77">
        <f t="shared" si="132"/>
        <v>14167737.691376841</v>
      </c>
      <c r="AJ201" s="77">
        <f t="shared" si="132"/>
        <v>130605343.57300222</v>
      </c>
      <c r="AK201" s="77">
        <f t="shared" si="132"/>
        <v>-52889379.186339445</v>
      </c>
      <c r="AL201" s="77">
        <f t="shared" si="132"/>
        <v>77715964.386662766</v>
      </c>
      <c r="AM201" s="77">
        <f t="shared" si="132"/>
        <v>0</v>
      </c>
      <c r="AN201" s="77">
        <f t="shared" si="132"/>
        <v>118090.5</v>
      </c>
      <c r="AO201" s="77">
        <f t="shared" si="132"/>
        <v>90.986140000000049</v>
      </c>
      <c r="AP201" s="77">
        <f t="shared" si="132"/>
        <v>35497584</v>
      </c>
      <c r="AQ201" s="77">
        <f t="shared" si="132"/>
        <v>66280337.240550913</v>
      </c>
      <c r="AR201" s="77">
        <f t="shared" si="132"/>
        <v>101777921.24055091</v>
      </c>
      <c r="AS201" s="77"/>
      <c r="AT201" s="277"/>
      <c r="AU201" s="277"/>
    </row>
    <row r="202" spans="1:51" x14ac:dyDescent="0.25">
      <c r="A202" s="23"/>
      <c r="I202" s="28"/>
      <c r="K202" s="28"/>
      <c r="L202" s="23"/>
      <c r="M202" s="148"/>
      <c r="N202" s="23"/>
      <c r="P202" s="23"/>
      <c r="Q202" s="23"/>
      <c r="R202" s="23"/>
      <c r="T202" s="23"/>
      <c r="U202" s="23"/>
      <c r="W202" s="23"/>
      <c r="X202" s="23"/>
      <c r="Y202" s="23"/>
      <c r="Z202" s="23"/>
      <c r="AA202" s="23"/>
      <c r="AB202" s="23"/>
      <c r="AJ202" s="23"/>
      <c r="AS202" s="23"/>
      <c r="AT202" s="199"/>
      <c r="AU202" s="199"/>
    </row>
    <row r="203" spans="1:51" x14ac:dyDescent="0.25">
      <c r="A203" s="23"/>
      <c r="I203" s="28"/>
      <c r="K203" s="28"/>
      <c r="L203" s="23"/>
      <c r="M203" s="148"/>
      <c r="N203" s="23"/>
      <c r="P203" s="23"/>
      <c r="Q203" s="23"/>
      <c r="R203" s="23"/>
      <c r="T203" s="23"/>
      <c r="U203" s="23"/>
      <c r="W203" s="23"/>
      <c r="X203" s="23"/>
      <c r="Y203" s="23"/>
      <c r="Z203" s="23"/>
      <c r="AA203" s="23"/>
      <c r="AB203" s="23"/>
      <c r="AJ203" s="23"/>
      <c r="AS203" s="23"/>
      <c r="AT203" s="199"/>
      <c r="AU203" s="199"/>
    </row>
    <row r="204" spans="1:51" x14ac:dyDescent="0.25">
      <c r="A204" s="23"/>
      <c r="I204" s="28"/>
      <c r="K204" s="28"/>
      <c r="L204" s="23"/>
      <c r="M204" s="148"/>
      <c r="N204" s="23"/>
      <c r="P204" s="23"/>
      <c r="Q204" s="23"/>
      <c r="R204" s="23"/>
      <c r="T204" s="23"/>
      <c r="U204" s="23"/>
      <c r="W204" s="23"/>
      <c r="X204" s="23"/>
      <c r="Y204" s="23"/>
      <c r="Z204" s="23"/>
      <c r="AA204" s="23"/>
      <c r="AB204" s="23"/>
      <c r="AJ204" s="23"/>
      <c r="AS204" s="23"/>
      <c r="AT204" s="199"/>
      <c r="AU204" s="199"/>
    </row>
    <row r="205" spans="1:51" x14ac:dyDescent="0.25">
      <c r="A205" s="147">
        <v>0</v>
      </c>
      <c r="B205" s="23" t="s">
        <v>34</v>
      </c>
      <c r="C205" s="23" t="s">
        <v>159</v>
      </c>
      <c r="I205" s="28"/>
      <c r="K205" s="28"/>
      <c r="L205" s="147"/>
      <c r="M205" s="148"/>
      <c r="N205" s="147"/>
      <c r="O205" s="147"/>
      <c r="P205" s="147">
        <f t="shared" ref="P205:Q208" si="133">SUMIF($C$4:$C$192,$C205,P$4:P$192)</f>
        <v>531</v>
      </c>
      <c r="Q205" s="147">
        <f t="shared" si="133"/>
        <v>6372</v>
      </c>
      <c r="R205" s="147"/>
      <c r="S205" s="147"/>
      <c r="T205" s="147"/>
      <c r="U205" s="147">
        <f>SUMIF($C$4:$C$192,$C205,U$4:U$192)</f>
        <v>299892.55095466727</v>
      </c>
      <c r="V205" s="147"/>
      <c r="W205" s="147"/>
      <c r="X205" s="147"/>
      <c r="Y205" s="147"/>
      <c r="Z205" s="147"/>
      <c r="AA205" s="147"/>
      <c r="AB205" s="147"/>
      <c r="AC205" s="147">
        <f t="shared" ref="AC205:AR208" si="134">SUMIF($C$4:$C$192,$C205,AC$4:AC$192)</f>
        <v>65502</v>
      </c>
      <c r="AD205" s="147">
        <f t="shared" si="134"/>
        <v>109693.5413217497</v>
      </c>
      <c r="AE205" s="147">
        <f t="shared" si="134"/>
        <v>9756.5178978151307</v>
      </c>
      <c r="AF205" s="147">
        <f t="shared" si="134"/>
        <v>36929.743203563179</v>
      </c>
      <c r="AG205" s="147">
        <f t="shared" si="134"/>
        <v>14732.90034124528</v>
      </c>
      <c r="AH205" s="147">
        <f t="shared" si="134"/>
        <v>132107.69880511222</v>
      </c>
      <c r="AI205" s="147">
        <f t="shared" si="134"/>
        <v>6789.4991030583324</v>
      </c>
      <c r="AJ205" s="147">
        <f t="shared" si="134"/>
        <v>375511.90067254379</v>
      </c>
      <c r="AK205" s="147">
        <f t="shared" si="134"/>
        <v>-175137.84145297899</v>
      </c>
      <c r="AL205" s="147">
        <f t="shared" si="134"/>
        <v>200374.05921956481</v>
      </c>
      <c r="AM205" s="147">
        <f t="shared" si="134"/>
        <v>0</v>
      </c>
      <c r="AN205" s="147">
        <f t="shared" si="134"/>
        <v>1265.5</v>
      </c>
      <c r="AO205" s="147">
        <f t="shared" si="134"/>
        <v>5.7359799999999996</v>
      </c>
      <c r="AP205" s="147">
        <f t="shared" si="134"/>
        <v>102828</v>
      </c>
      <c r="AQ205" s="147">
        <f t="shared" si="134"/>
        <v>131763.42711705519</v>
      </c>
      <c r="AR205" s="147">
        <f t="shared" si="134"/>
        <v>234591.42711705517</v>
      </c>
      <c r="AS205" s="147"/>
      <c r="AT205" s="206"/>
      <c r="AU205" s="206"/>
    </row>
    <row r="206" spans="1:51" x14ac:dyDescent="0.25">
      <c r="A206" s="147">
        <v>0</v>
      </c>
      <c r="B206" s="23" t="s">
        <v>34</v>
      </c>
      <c r="C206" s="23" t="s">
        <v>166</v>
      </c>
      <c r="I206" s="28"/>
      <c r="K206" s="28"/>
      <c r="L206" s="147"/>
      <c r="M206" s="148"/>
      <c r="N206" s="147"/>
      <c r="O206" s="147"/>
      <c r="P206" s="147">
        <f t="shared" si="133"/>
        <v>72006</v>
      </c>
      <c r="Q206" s="147">
        <f t="shared" si="133"/>
        <v>864144</v>
      </c>
      <c r="R206" s="147"/>
      <c r="S206" s="147"/>
      <c r="T206" s="147"/>
      <c r="U206" s="147">
        <f>SUMIF($C$4:$C$192,$C206,U$4:U$192)</f>
        <v>108004294.34977974</v>
      </c>
      <c r="V206" s="147"/>
      <c r="W206" s="147"/>
      <c r="X206" s="147"/>
      <c r="Y206" s="147"/>
      <c r="Z206" s="147"/>
      <c r="AA206" s="147"/>
      <c r="AB206" s="147"/>
      <c r="AC206" s="147">
        <f t="shared" si="134"/>
        <v>12570770.16</v>
      </c>
      <c r="AD206" s="147">
        <f t="shared" si="134"/>
        <v>30246028.639538448</v>
      </c>
      <c r="AE206" s="147">
        <f t="shared" si="134"/>
        <v>16067871.038058106</v>
      </c>
      <c r="AF206" s="147">
        <f t="shared" si="134"/>
        <v>9581609.1557301823</v>
      </c>
      <c r="AG206" s="147">
        <f t="shared" si="134"/>
        <v>3512455.1761209229</v>
      </c>
      <c r="AH206" s="147">
        <f t="shared" si="134"/>
        <v>33790445.128395304</v>
      </c>
      <c r="AI206" s="147">
        <f t="shared" si="134"/>
        <v>6132513.6152789677</v>
      </c>
      <c r="AJ206" s="147">
        <f t="shared" si="134"/>
        <v>111901692.91312194</v>
      </c>
      <c r="AK206" s="147">
        <f t="shared" si="134"/>
        <v>-51205855.075525366</v>
      </c>
      <c r="AL206" s="147">
        <f t="shared" si="134"/>
        <v>60695837.837596543</v>
      </c>
      <c r="AM206" s="147">
        <f t="shared" si="134"/>
        <v>0</v>
      </c>
      <c r="AN206" s="147">
        <f t="shared" si="134"/>
        <v>36899</v>
      </c>
      <c r="AO206" s="147">
        <f t="shared" si="134"/>
        <v>25.307919999999999</v>
      </c>
      <c r="AP206" s="147">
        <f t="shared" si="134"/>
        <v>26591280</v>
      </c>
      <c r="AQ206" s="147">
        <f t="shared" si="134"/>
        <v>47275174.312907353</v>
      </c>
      <c r="AR206" s="147">
        <f t="shared" si="134"/>
        <v>73866454.312907353</v>
      </c>
      <c r="AS206" s="147"/>
      <c r="AT206" s="206"/>
      <c r="AU206" s="206"/>
    </row>
    <row r="207" spans="1:51" x14ac:dyDescent="0.25">
      <c r="A207" s="147">
        <v>0</v>
      </c>
      <c r="B207" s="23" t="s">
        <v>34</v>
      </c>
      <c r="C207" s="23" t="s">
        <v>174</v>
      </c>
      <c r="H207" s="148"/>
      <c r="I207" s="28"/>
      <c r="K207" s="28"/>
      <c r="L207" s="147"/>
      <c r="M207" s="148"/>
      <c r="N207" s="147"/>
      <c r="O207" s="147"/>
      <c r="P207" s="147">
        <f t="shared" si="133"/>
        <v>21148</v>
      </c>
      <c r="Q207" s="147">
        <f t="shared" si="133"/>
        <v>253908</v>
      </c>
      <c r="R207" s="147"/>
      <c r="S207" s="147"/>
      <c r="T207" s="147"/>
      <c r="U207" s="147">
        <f>SUMIF($C$4:$C$192,$C207,U$4:U$192)</f>
        <v>292940803.34066606</v>
      </c>
      <c r="V207" s="147"/>
      <c r="W207" s="147"/>
      <c r="X207" s="147"/>
      <c r="Y207" s="147"/>
      <c r="Z207" s="147"/>
      <c r="AA207" s="147"/>
      <c r="AB207" s="147"/>
      <c r="AC207" s="147">
        <f t="shared" si="134"/>
        <v>8105826</v>
      </c>
      <c r="AD207" s="147">
        <f t="shared" si="134"/>
        <v>6738693.4183895225</v>
      </c>
      <c r="AE207" s="147">
        <f t="shared" si="134"/>
        <v>3678303.4980495935</v>
      </c>
      <c r="AF207" s="147">
        <f t="shared" si="134"/>
        <v>5214838.1383620361</v>
      </c>
      <c r="AG207" s="147">
        <f t="shared" si="134"/>
        <v>1262407.6248591151</v>
      </c>
      <c r="AH207" s="147">
        <f t="shared" si="134"/>
        <v>0</v>
      </c>
      <c r="AI207" s="147">
        <f t="shared" si="134"/>
        <v>7999484.2433897126</v>
      </c>
      <c r="AJ207" s="147">
        <f t="shared" si="134"/>
        <v>32999552.923049979</v>
      </c>
      <c r="AK207" s="147">
        <f t="shared" si="134"/>
        <v>-12733339.006610863</v>
      </c>
      <c r="AL207" s="147">
        <f t="shared" si="134"/>
        <v>20266213.91643912</v>
      </c>
      <c r="AM207" s="147">
        <f t="shared" si="134"/>
        <v>0</v>
      </c>
      <c r="AN207" s="147">
        <f t="shared" si="134"/>
        <v>79680.5</v>
      </c>
      <c r="AO207" s="147">
        <f t="shared" si="134"/>
        <v>58.653240000000054</v>
      </c>
      <c r="AP207" s="147">
        <f t="shared" si="134"/>
        <v>8688456</v>
      </c>
      <c r="AQ207" s="147">
        <f t="shared" si="134"/>
        <v>22405114.39591302</v>
      </c>
      <c r="AR207" s="147">
        <f t="shared" si="134"/>
        <v>31093570.395913016</v>
      </c>
      <c r="AS207" s="147"/>
      <c r="AT207" s="206"/>
      <c r="AU207" s="206"/>
    </row>
    <row r="208" spans="1:51" x14ac:dyDescent="0.25">
      <c r="A208" s="147">
        <v>0</v>
      </c>
      <c r="B208" s="23" t="s">
        <v>34</v>
      </c>
      <c r="C208" s="23" t="s">
        <v>154</v>
      </c>
      <c r="H208" s="148"/>
      <c r="I208" s="28"/>
      <c r="L208" s="147"/>
      <c r="M208" s="147"/>
      <c r="N208" s="147"/>
      <c r="O208" s="147"/>
      <c r="P208" s="147">
        <f t="shared" si="133"/>
        <v>701</v>
      </c>
      <c r="Q208" s="147">
        <f t="shared" si="133"/>
        <v>8412</v>
      </c>
      <c r="R208" s="147"/>
      <c r="S208" s="147"/>
      <c r="T208" s="147"/>
      <c r="U208" s="147">
        <f>SUMIF($C$4:$C$192,$C208,U$4:U$192)</f>
        <v>189190.54457788888</v>
      </c>
      <c r="V208" s="147"/>
      <c r="W208" s="147"/>
      <c r="X208" s="147"/>
      <c r="Y208" s="147"/>
      <c r="Z208" s="147"/>
      <c r="AA208" s="147"/>
      <c r="AB208" s="147"/>
      <c r="AC208" s="147">
        <f t="shared" si="134"/>
        <v>80544</v>
      </c>
      <c r="AD208" s="147">
        <f t="shared" si="134"/>
        <v>42975.57340754426</v>
      </c>
      <c r="AE208" s="147">
        <f t="shared" si="134"/>
        <v>0</v>
      </c>
      <c r="AF208" s="147">
        <f t="shared" si="134"/>
        <v>19334.360000000004</v>
      </c>
      <c r="AG208" s="147">
        <f t="shared" si="134"/>
        <v>9492.9664409137713</v>
      </c>
      <c r="AH208" s="147">
        <f t="shared" si="134"/>
        <v>0</v>
      </c>
      <c r="AI208" s="147">
        <f t="shared" si="134"/>
        <v>28950.333605101925</v>
      </c>
      <c r="AJ208" s="147">
        <f t="shared" si="134"/>
        <v>181297.23345355995</v>
      </c>
      <c r="AK208" s="147">
        <f t="shared" si="134"/>
        <v>-38405.300046015691</v>
      </c>
      <c r="AL208" s="147">
        <f t="shared" si="134"/>
        <v>142891.93340754427</v>
      </c>
      <c r="AM208" s="147">
        <f t="shared" si="134"/>
        <v>0</v>
      </c>
      <c r="AN208" s="147">
        <f t="shared" si="134"/>
        <v>245.5</v>
      </c>
      <c r="AO208" s="147">
        <f t="shared" si="134"/>
        <v>1.2889999999999999</v>
      </c>
      <c r="AP208" s="147">
        <f t="shared" si="134"/>
        <v>115020</v>
      </c>
      <c r="AQ208" s="147">
        <f t="shared" si="134"/>
        <v>57638.464613486634</v>
      </c>
      <c r="AR208" s="147">
        <f t="shared" si="134"/>
        <v>172658.46461348663</v>
      </c>
      <c r="AS208" s="147"/>
      <c r="AT208" s="206"/>
      <c r="AU208" s="206"/>
    </row>
    <row r="209" spans="1:51" x14ac:dyDescent="0.25">
      <c r="A209" s="23"/>
      <c r="H209" s="148"/>
      <c r="I209" s="28"/>
      <c r="L209" s="77"/>
      <c r="M209" s="77"/>
      <c r="N209" s="77"/>
      <c r="O209" s="147"/>
      <c r="P209" s="77">
        <f>SUM(P205:P208)</f>
        <v>94386</v>
      </c>
      <c r="Q209" s="77">
        <f>SUM(Q205:Q208)</f>
        <v>1132836</v>
      </c>
      <c r="R209" s="77"/>
      <c r="S209" s="151"/>
      <c r="T209" s="23"/>
      <c r="U209" s="77">
        <f>SUM(U205:U208)</f>
        <v>401434180.78597838</v>
      </c>
      <c r="V209" s="72"/>
      <c r="W209" s="23"/>
      <c r="X209" s="23"/>
      <c r="Y209" s="23"/>
      <c r="Z209" s="23"/>
      <c r="AA209" s="23"/>
      <c r="AB209" s="23"/>
      <c r="AC209" s="77">
        <f t="shared" ref="AC209:AR209" si="135">SUM(AC205:AC208)</f>
        <v>20822642.16</v>
      </c>
      <c r="AD209" s="77">
        <f t="shared" si="135"/>
        <v>37137391.172657266</v>
      </c>
      <c r="AE209" s="77">
        <f t="shared" si="135"/>
        <v>19755931.054005515</v>
      </c>
      <c r="AF209" s="77">
        <f t="shared" si="135"/>
        <v>14852711.39729578</v>
      </c>
      <c r="AG209" s="77">
        <f t="shared" si="135"/>
        <v>4799088.6677621976</v>
      </c>
      <c r="AH209" s="77">
        <f t="shared" si="135"/>
        <v>33922552.827200413</v>
      </c>
      <c r="AI209" s="77">
        <f t="shared" si="135"/>
        <v>14167737.691376841</v>
      </c>
      <c r="AJ209" s="77">
        <f t="shared" si="135"/>
        <v>145458054.97029802</v>
      </c>
      <c r="AK209" s="77">
        <f t="shared" si="135"/>
        <v>-64152737.223635226</v>
      </c>
      <c r="AL209" s="77">
        <f t="shared" si="135"/>
        <v>81305317.746662766</v>
      </c>
      <c r="AM209" s="77">
        <f t="shared" si="135"/>
        <v>0</v>
      </c>
      <c r="AN209" s="77">
        <f t="shared" si="135"/>
        <v>118090.5</v>
      </c>
      <c r="AO209" s="77">
        <f t="shared" si="135"/>
        <v>90.986140000000049</v>
      </c>
      <c r="AP209" s="77">
        <f t="shared" si="135"/>
        <v>35497584</v>
      </c>
      <c r="AQ209" s="77">
        <f t="shared" si="135"/>
        <v>69869690.600550905</v>
      </c>
      <c r="AR209" s="77">
        <f t="shared" si="135"/>
        <v>105367274.6005509</v>
      </c>
      <c r="AS209" s="77"/>
      <c r="AT209" s="277"/>
      <c r="AU209" s="277"/>
    </row>
    <row r="210" spans="1:51" x14ac:dyDescent="0.25">
      <c r="A210" s="23"/>
      <c r="H210" s="148"/>
      <c r="L210" s="146"/>
      <c r="M210" s="146"/>
      <c r="N210" s="146"/>
      <c r="O210" s="147"/>
      <c r="P210" s="23"/>
      <c r="Q210" s="23"/>
      <c r="R210" s="23"/>
      <c r="S210" s="151"/>
      <c r="T210" s="23"/>
      <c r="U210" s="23"/>
      <c r="V210" s="72"/>
      <c r="W210" s="23"/>
      <c r="X210" s="23"/>
      <c r="Y210" s="23"/>
      <c r="Z210" s="23"/>
      <c r="AA210" s="23"/>
      <c r="AB210" s="23"/>
      <c r="AC210" s="149"/>
      <c r="AD210" s="149"/>
      <c r="AE210" s="149"/>
      <c r="AF210" s="149"/>
      <c r="AG210" s="149"/>
      <c r="AH210" s="149"/>
      <c r="AI210" s="149"/>
      <c r="AJ210" s="119"/>
      <c r="AM210" s="262">
        <f>AL209-AM209</f>
        <v>81305317.746662766</v>
      </c>
      <c r="AS210" s="149"/>
      <c r="AT210" s="10"/>
      <c r="AU210" s="10"/>
    </row>
    <row r="211" spans="1:51" s="61" customFormat="1" x14ac:dyDescent="0.25">
      <c r="E211" s="174"/>
      <c r="G211" s="174"/>
      <c r="L211" s="156"/>
      <c r="M211" s="156"/>
      <c r="N211" s="156"/>
      <c r="O211" s="262"/>
      <c r="S211" s="263"/>
      <c r="V211" s="264"/>
      <c r="AC211" s="262"/>
      <c r="AD211" s="262"/>
      <c r="AF211" s="262"/>
      <c r="AG211" s="262"/>
      <c r="AJ211" s="248"/>
      <c r="AS211" s="265"/>
      <c r="AT211" s="34"/>
      <c r="AU211" s="34"/>
      <c r="AV211" s="33"/>
      <c r="AW211" s="169"/>
      <c r="AX211" s="33"/>
      <c r="AY211" s="33"/>
    </row>
    <row r="212" spans="1:51" s="61" customFormat="1" x14ac:dyDescent="0.25">
      <c r="E212" s="174"/>
      <c r="G212" s="174"/>
      <c r="L212" s="156"/>
      <c r="M212" s="156"/>
      <c r="N212" s="156"/>
      <c r="O212" s="262"/>
      <c r="Q212" s="262"/>
      <c r="S212" s="263"/>
      <c r="U212" s="262"/>
      <c r="V212" s="264"/>
      <c r="AC212" s="262"/>
      <c r="AD212" s="262"/>
      <c r="AF212" s="262"/>
      <c r="AG212" s="262"/>
      <c r="AI212" s="266"/>
      <c r="AJ212" s="267"/>
      <c r="AM212" s="262"/>
      <c r="AS212" s="265"/>
      <c r="AT212" s="34"/>
      <c r="AU212" s="34"/>
      <c r="AV212" s="33"/>
      <c r="AW212" s="169"/>
      <c r="AX212" s="33"/>
      <c r="AY212" s="33"/>
    </row>
    <row r="213" spans="1:51" s="61" customFormat="1" ht="16.5" customHeight="1" x14ac:dyDescent="0.25">
      <c r="E213" s="174"/>
      <c r="G213" s="174"/>
      <c r="L213" s="156"/>
      <c r="M213" s="156"/>
      <c r="N213" s="156"/>
      <c r="O213" s="262"/>
      <c r="Q213" s="262"/>
      <c r="R213" s="262"/>
      <c r="S213" s="262"/>
      <c r="T213" s="262"/>
      <c r="U213" s="262"/>
      <c r="V213" s="264"/>
      <c r="AC213" s="262"/>
      <c r="AD213" s="262"/>
      <c r="AF213" s="262"/>
      <c r="AG213" s="262"/>
      <c r="AJ213" s="267"/>
      <c r="AL213" s="268"/>
      <c r="AM213" s="262"/>
      <c r="AS213" s="265"/>
      <c r="AT213" s="34"/>
      <c r="AU213" s="34"/>
      <c r="AV213" s="33"/>
      <c r="AW213" s="169"/>
      <c r="AX213" s="33"/>
      <c r="AY213" s="33"/>
    </row>
    <row r="214" spans="1:51" s="61" customFormat="1" x14ac:dyDescent="0.25">
      <c r="E214" s="174"/>
      <c r="G214" s="174"/>
      <c r="L214" s="156"/>
      <c r="M214" s="156"/>
      <c r="N214" s="156"/>
      <c r="O214" s="262"/>
      <c r="Q214" s="262"/>
      <c r="R214" s="262"/>
      <c r="S214" s="262"/>
      <c r="T214" s="262"/>
      <c r="U214" s="262"/>
      <c r="V214" s="264"/>
      <c r="AC214" s="262"/>
      <c r="AD214" s="262"/>
      <c r="AF214" s="262"/>
      <c r="AG214" s="262"/>
      <c r="AJ214" s="267"/>
      <c r="AM214" s="262"/>
      <c r="AS214" s="265"/>
      <c r="AT214" s="34"/>
      <c r="AU214" s="34"/>
      <c r="AV214" s="33"/>
      <c r="AW214" s="169"/>
      <c r="AX214" s="33"/>
      <c r="AY214" s="33"/>
    </row>
    <row r="215" spans="1:51" s="61" customFormat="1" x14ac:dyDescent="0.25">
      <c r="E215" s="174"/>
      <c r="G215" s="174"/>
      <c r="L215" s="156"/>
      <c r="M215" s="156"/>
      <c r="N215" s="156"/>
      <c r="O215" s="262"/>
      <c r="Q215" s="262"/>
      <c r="R215" s="262"/>
      <c r="S215" s="262"/>
      <c r="T215" s="262"/>
      <c r="U215" s="262"/>
      <c r="V215" s="264"/>
      <c r="AC215" s="262"/>
      <c r="AD215" s="262"/>
      <c r="AF215" s="262"/>
      <c r="AG215" s="262"/>
      <c r="AJ215" s="267"/>
      <c r="AM215" s="268"/>
      <c r="AS215" s="265"/>
      <c r="AT215" s="34"/>
      <c r="AU215" s="34"/>
      <c r="AV215" s="33"/>
      <c r="AW215" s="169"/>
      <c r="AX215" s="33"/>
      <c r="AY215" s="33"/>
    </row>
    <row r="216" spans="1:51" s="61" customFormat="1" ht="15.75" customHeight="1" x14ac:dyDescent="0.25">
      <c r="E216" s="174"/>
      <c r="G216" s="174"/>
      <c r="L216" s="156"/>
      <c r="M216" s="156"/>
      <c r="N216" s="156"/>
      <c r="O216" s="262"/>
      <c r="S216" s="263"/>
      <c r="V216" s="264"/>
      <c r="AC216" s="262"/>
      <c r="AD216" s="262"/>
      <c r="AF216" s="262"/>
      <c r="AG216" s="262"/>
      <c r="AJ216" s="248"/>
      <c r="AS216" s="265"/>
      <c r="AT216" s="34"/>
      <c r="AU216" s="34"/>
      <c r="AV216" s="33"/>
      <c r="AW216" s="169"/>
      <c r="AX216" s="33"/>
      <c r="AY216" s="33"/>
    </row>
    <row r="217" spans="1:51" s="61" customFormat="1" x14ac:dyDescent="0.25">
      <c r="E217" s="174"/>
      <c r="G217" s="174"/>
      <c r="L217" s="156"/>
      <c r="M217" s="156"/>
      <c r="N217" s="156"/>
      <c r="O217" s="262"/>
      <c r="Q217" s="268"/>
      <c r="S217" s="263"/>
      <c r="U217" s="268"/>
      <c r="V217" s="264"/>
      <c r="AC217" s="262"/>
      <c r="AD217" s="262"/>
      <c r="AF217" s="262"/>
      <c r="AG217" s="262"/>
      <c r="AJ217" s="269"/>
      <c r="AS217" s="265"/>
      <c r="AT217" s="34"/>
      <c r="AU217" s="34"/>
      <c r="AV217" s="33"/>
      <c r="AW217" s="169"/>
      <c r="AX217" s="33"/>
      <c r="AY217" s="33"/>
    </row>
    <row r="218" spans="1:51" s="61" customFormat="1" x14ac:dyDescent="0.25">
      <c r="E218" s="174"/>
      <c r="G218" s="174"/>
      <c r="L218" s="156"/>
      <c r="M218" s="156"/>
      <c r="N218" s="156"/>
      <c r="O218" s="262"/>
      <c r="Q218" s="268"/>
      <c r="S218" s="263"/>
      <c r="U218" s="268"/>
      <c r="V218" s="264"/>
      <c r="AC218" s="262"/>
      <c r="AD218" s="262"/>
      <c r="AF218" s="262"/>
      <c r="AG218" s="262"/>
      <c r="AJ218" s="269"/>
      <c r="AS218" s="265"/>
      <c r="AT218" s="34"/>
      <c r="AU218" s="34"/>
      <c r="AV218" s="33"/>
      <c r="AW218" s="169"/>
      <c r="AX218" s="33"/>
      <c r="AY218" s="33"/>
    </row>
    <row r="219" spans="1:51" s="61" customFormat="1" x14ac:dyDescent="0.25">
      <c r="E219" s="174"/>
      <c r="G219" s="174"/>
      <c r="L219" s="156"/>
      <c r="M219" s="156"/>
      <c r="N219" s="156"/>
      <c r="O219" s="262"/>
      <c r="Q219" s="268"/>
      <c r="S219" s="263"/>
      <c r="U219" s="268"/>
      <c r="V219" s="264"/>
      <c r="AC219" s="262"/>
      <c r="AD219" s="262"/>
      <c r="AF219" s="262"/>
      <c r="AG219" s="262"/>
      <c r="AJ219" s="269"/>
      <c r="AS219" s="265"/>
      <c r="AT219" s="34"/>
      <c r="AU219" s="34"/>
      <c r="AV219" s="33"/>
      <c r="AW219" s="169"/>
      <c r="AX219" s="33"/>
      <c r="AY219" s="33"/>
    </row>
    <row r="220" spans="1:51" s="61" customFormat="1" x14ac:dyDescent="0.25">
      <c r="E220" s="174"/>
      <c r="G220" s="174"/>
      <c r="L220" s="156"/>
      <c r="M220" s="156"/>
      <c r="N220" s="156"/>
      <c r="O220" s="262"/>
      <c r="Q220" s="268"/>
      <c r="S220" s="263"/>
      <c r="U220" s="268"/>
      <c r="V220" s="264"/>
      <c r="AC220" s="262"/>
      <c r="AD220" s="262"/>
      <c r="AF220" s="262"/>
      <c r="AG220" s="262"/>
      <c r="AJ220" s="269"/>
      <c r="AS220" s="265"/>
      <c r="AT220" s="34"/>
      <c r="AU220" s="34"/>
      <c r="AV220" s="33"/>
      <c r="AW220" s="169"/>
      <c r="AX220" s="33"/>
      <c r="AY220" s="33"/>
    </row>
    <row r="221" spans="1:51" x14ac:dyDescent="0.25">
      <c r="A221" s="23"/>
      <c r="L221" s="146"/>
      <c r="M221" s="146"/>
      <c r="N221" s="146"/>
      <c r="O221" s="147"/>
      <c r="P221" s="23"/>
      <c r="Q221" s="23"/>
      <c r="R221" s="23"/>
      <c r="S221" s="151"/>
      <c r="T221" s="23"/>
      <c r="U221" s="23"/>
      <c r="V221" s="72"/>
      <c r="W221" s="23"/>
      <c r="X221" s="23"/>
      <c r="Y221" s="23"/>
      <c r="Z221" s="23"/>
      <c r="AA221" s="23"/>
      <c r="AB221" s="23"/>
      <c r="AC221" s="147"/>
      <c r="AD221" s="147"/>
      <c r="AF221" s="147"/>
      <c r="AG221" s="147"/>
      <c r="AS221" s="149"/>
      <c r="AT221" s="10"/>
      <c r="AU221" s="10"/>
    </row>
    <row r="222" spans="1:51" x14ac:dyDescent="0.25">
      <c r="A222" s="23"/>
      <c r="L222" s="146"/>
      <c r="M222" s="146"/>
      <c r="N222" s="146"/>
      <c r="O222" s="147"/>
      <c r="P222" s="23"/>
      <c r="Q222" s="23"/>
      <c r="R222" s="23"/>
      <c r="S222" s="151"/>
      <c r="T222" s="23"/>
      <c r="U222" s="23"/>
      <c r="V222" s="72"/>
      <c r="W222" s="23"/>
      <c r="X222" s="23"/>
      <c r="Y222" s="23"/>
      <c r="Z222" s="23"/>
      <c r="AA222" s="23"/>
      <c r="AB222" s="23"/>
      <c r="AC222" s="147"/>
      <c r="AD222" s="147"/>
      <c r="AF222" s="147"/>
      <c r="AG222" s="147"/>
      <c r="AS222" s="149"/>
      <c r="AT222" s="10"/>
      <c r="AU222" s="10"/>
    </row>
    <row r="223" spans="1:51" x14ac:dyDescent="0.25">
      <c r="A223" s="23"/>
      <c r="P223" s="23"/>
      <c r="Q223" s="23"/>
      <c r="R223" s="23"/>
      <c r="T223" s="23"/>
      <c r="U223" s="23"/>
      <c r="W223" s="23"/>
      <c r="X223" s="23"/>
      <c r="Y223" s="23"/>
      <c r="Z223" s="23"/>
      <c r="AA223" s="23"/>
      <c r="AB223" s="23"/>
      <c r="AC223" s="148"/>
      <c r="AD223" s="148"/>
      <c r="AF223" s="148"/>
      <c r="AG223" s="148"/>
    </row>
    <row r="224" spans="1:51" x14ac:dyDescent="0.25">
      <c r="A224" s="23"/>
      <c r="P224" s="23"/>
      <c r="Q224" s="23"/>
      <c r="R224" s="23"/>
      <c r="T224" s="23"/>
      <c r="U224" s="23"/>
      <c r="W224" s="23"/>
      <c r="X224" s="23"/>
      <c r="Y224" s="23"/>
      <c r="Z224" s="23"/>
      <c r="AA224" s="23"/>
      <c r="AB224" s="23"/>
      <c r="AC224" s="148"/>
      <c r="AD224" s="148"/>
      <c r="AF224" s="148"/>
      <c r="AG224" s="148"/>
    </row>
    <row r="225" spans="1:33" x14ac:dyDescent="0.25">
      <c r="A225" s="23"/>
      <c r="P225" s="23"/>
      <c r="Q225" s="23"/>
      <c r="R225" s="23"/>
      <c r="T225" s="23"/>
      <c r="U225" s="23"/>
      <c r="W225" s="23"/>
      <c r="X225" s="23"/>
      <c r="Y225" s="23"/>
      <c r="Z225" s="23"/>
      <c r="AA225" s="23"/>
      <c r="AB225" s="23"/>
      <c r="AC225" s="148"/>
      <c r="AD225" s="148"/>
      <c r="AF225" s="148"/>
      <c r="AG225" s="148"/>
    </row>
    <row r="226" spans="1:33" x14ac:dyDescent="0.25">
      <c r="A226" s="23"/>
      <c r="P226" s="23"/>
      <c r="Q226" s="23"/>
      <c r="R226" s="23"/>
      <c r="T226" s="23"/>
      <c r="U226" s="23"/>
      <c r="W226" s="23"/>
      <c r="X226" s="23"/>
      <c r="Y226" s="23"/>
      <c r="Z226" s="23"/>
      <c r="AA226" s="23"/>
      <c r="AB226" s="23"/>
      <c r="AC226" s="148"/>
      <c r="AD226" s="148"/>
      <c r="AF226" s="148"/>
      <c r="AG226" s="148"/>
    </row>
    <row r="227" spans="1:33" x14ac:dyDescent="0.25">
      <c r="A227" s="23"/>
      <c r="P227" s="23"/>
      <c r="Q227" s="23"/>
      <c r="R227" s="23"/>
      <c r="T227" s="23"/>
      <c r="U227" s="23"/>
      <c r="W227" s="23"/>
      <c r="X227" s="23"/>
      <c r="Y227" s="23"/>
      <c r="Z227" s="23"/>
      <c r="AA227" s="23"/>
      <c r="AB227" s="23"/>
      <c r="AC227" s="148"/>
      <c r="AD227" s="148"/>
      <c r="AF227" s="148"/>
      <c r="AG227" s="148"/>
    </row>
    <row r="228" spans="1:33" x14ac:dyDescent="0.25">
      <c r="A228" s="23"/>
      <c r="P228" s="23"/>
      <c r="Q228" s="23"/>
      <c r="R228" s="23"/>
      <c r="T228" s="23"/>
      <c r="U228" s="23"/>
      <c r="W228" s="23"/>
      <c r="X228" s="23"/>
      <c r="Y228" s="23"/>
      <c r="Z228" s="23"/>
      <c r="AA228" s="23"/>
      <c r="AB228" s="23"/>
      <c r="AC228" s="148"/>
      <c r="AD228" s="148"/>
      <c r="AF228" s="148"/>
      <c r="AG228" s="148"/>
    </row>
    <row r="229" spans="1:33" x14ac:dyDescent="0.25">
      <c r="A229" s="23"/>
      <c r="P229" s="23"/>
      <c r="Q229" s="23"/>
      <c r="R229" s="23"/>
      <c r="T229" s="23"/>
      <c r="U229" s="23"/>
      <c r="W229" s="23"/>
      <c r="X229" s="23"/>
      <c r="Y229" s="23"/>
      <c r="Z229" s="23"/>
      <c r="AA229" s="23"/>
      <c r="AB229" s="23"/>
      <c r="AC229" s="148"/>
      <c r="AD229" s="148"/>
      <c r="AF229" s="148"/>
      <c r="AG229" s="148"/>
    </row>
    <row r="230" spans="1:33" x14ac:dyDescent="0.25">
      <c r="A230" s="23"/>
      <c r="P230" s="23"/>
      <c r="Q230" s="23"/>
      <c r="R230" s="23"/>
      <c r="T230" s="23"/>
      <c r="U230" s="23"/>
      <c r="W230" s="23"/>
      <c r="X230" s="23"/>
      <c r="Y230" s="23"/>
      <c r="Z230" s="23"/>
      <c r="AA230" s="23"/>
      <c r="AB230" s="23"/>
      <c r="AC230" s="148"/>
      <c r="AD230" s="148"/>
      <c r="AF230" s="148"/>
      <c r="AG230" s="148"/>
    </row>
    <row r="231" spans="1:33" x14ac:dyDescent="0.25">
      <c r="A231" s="23"/>
      <c r="P231" s="23"/>
      <c r="Q231" s="23"/>
      <c r="R231" s="23"/>
      <c r="T231" s="23"/>
      <c r="U231" s="23"/>
      <c r="W231" s="23"/>
      <c r="X231" s="23"/>
      <c r="Y231" s="23"/>
      <c r="Z231" s="23"/>
      <c r="AA231" s="23"/>
      <c r="AB231" s="23"/>
      <c r="AC231" s="148"/>
      <c r="AD231" s="148"/>
      <c r="AF231" s="148"/>
      <c r="AG231" s="148"/>
    </row>
    <row r="232" spans="1:33" x14ac:dyDescent="0.25">
      <c r="A232" s="23"/>
      <c r="P232" s="23"/>
      <c r="Q232" s="23"/>
      <c r="R232" s="23"/>
      <c r="T232" s="23"/>
      <c r="U232" s="23"/>
      <c r="W232" s="23"/>
      <c r="X232" s="23"/>
      <c r="Y232" s="23"/>
      <c r="Z232" s="23"/>
      <c r="AA232" s="23"/>
      <c r="AB232" s="23"/>
      <c r="AC232" s="148"/>
      <c r="AD232" s="148"/>
      <c r="AF232" s="148"/>
      <c r="AG232" s="148"/>
    </row>
    <row r="233" spans="1:33" x14ac:dyDescent="0.25">
      <c r="A233" s="23"/>
      <c r="P233" s="23"/>
      <c r="Q233" s="23"/>
      <c r="R233" s="23"/>
      <c r="T233" s="23"/>
      <c r="U233" s="23"/>
      <c r="W233" s="23"/>
      <c r="X233" s="23"/>
      <c r="Y233" s="23"/>
      <c r="Z233" s="23"/>
      <c r="AA233" s="23"/>
      <c r="AB233" s="23"/>
      <c r="AC233" s="148"/>
      <c r="AD233" s="148"/>
      <c r="AF233" s="148"/>
      <c r="AG233" s="148"/>
    </row>
    <row r="234" spans="1:33" x14ac:dyDescent="0.25">
      <c r="A234" s="23"/>
      <c r="P234" s="23"/>
      <c r="Q234" s="23"/>
      <c r="R234" s="23"/>
      <c r="T234" s="23"/>
      <c r="U234" s="23"/>
      <c r="W234" s="23"/>
      <c r="X234" s="23"/>
      <c r="Y234" s="23"/>
      <c r="Z234" s="23"/>
      <c r="AA234" s="23"/>
      <c r="AB234" s="23"/>
      <c r="AC234" s="148"/>
      <c r="AD234" s="148"/>
      <c r="AF234" s="148"/>
      <c r="AG234" s="148"/>
    </row>
    <row r="235" spans="1:33" x14ac:dyDescent="0.25">
      <c r="A235" s="23"/>
      <c r="P235" s="23"/>
      <c r="Q235" s="23"/>
      <c r="R235" s="23"/>
      <c r="T235" s="23"/>
      <c r="U235" s="23"/>
      <c r="W235" s="23"/>
      <c r="X235" s="23"/>
      <c r="Y235" s="23"/>
      <c r="Z235" s="23"/>
      <c r="AA235" s="23"/>
      <c r="AB235" s="23"/>
      <c r="AC235" s="148"/>
      <c r="AD235" s="148"/>
      <c r="AF235" s="148"/>
      <c r="AG235" s="148"/>
    </row>
    <row r="236" spans="1:33" x14ac:dyDescent="0.25">
      <c r="A236" s="23"/>
      <c r="P236" s="23"/>
      <c r="Q236" s="23"/>
      <c r="R236" s="23"/>
      <c r="T236" s="23"/>
      <c r="U236" s="23"/>
      <c r="W236" s="23"/>
      <c r="X236" s="23"/>
      <c r="Y236" s="23"/>
      <c r="Z236" s="23"/>
      <c r="AA236" s="23"/>
      <c r="AB236" s="23"/>
      <c r="AC236" s="148"/>
      <c r="AD236" s="148"/>
      <c r="AF236" s="148"/>
      <c r="AG236" s="148"/>
    </row>
    <row r="237" spans="1:33" x14ac:dyDescent="0.25">
      <c r="A237" s="23"/>
      <c r="P237" s="23"/>
      <c r="Q237" s="23"/>
      <c r="R237" s="23"/>
      <c r="T237" s="23"/>
      <c r="U237" s="23"/>
      <c r="W237" s="23"/>
      <c r="X237" s="23"/>
      <c r="Y237" s="23"/>
      <c r="Z237" s="23"/>
      <c r="AA237" s="23"/>
      <c r="AB237" s="23"/>
      <c r="AC237" s="148"/>
      <c r="AD237" s="148"/>
      <c r="AF237" s="148"/>
      <c r="AG237" s="148"/>
    </row>
    <row r="238" spans="1:33" x14ac:dyDescent="0.25">
      <c r="A238" s="23"/>
      <c r="P238" s="23"/>
      <c r="Q238" s="23"/>
      <c r="R238" s="23"/>
      <c r="T238" s="23"/>
      <c r="U238" s="23"/>
      <c r="W238" s="23"/>
      <c r="X238" s="23"/>
      <c r="Y238" s="23"/>
      <c r="Z238" s="23"/>
      <c r="AA238" s="23"/>
      <c r="AB238" s="23"/>
      <c r="AC238" s="148"/>
      <c r="AD238" s="148"/>
      <c r="AF238" s="148"/>
      <c r="AG238" s="148"/>
    </row>
    <row r="239" spans="1:33" x14ac:dyDescent="0.25">
      <c r="A239" s="23"/>
      <c r="P239" s="23"/>
      <c r="Q239" s="23"/>
      <c r="R239" s="23"/>
      <c r="T239" s="23"/>
      <c r="U239" s="23"/>
      <c r="W239" s="23"/>
      <c r="X239" s="23"/>
      <c r="Y239" s="23"/>
      <c r="Z239" s="23"/>
      <c r="AA239" s="23"/>
      <c r="AB239" s="23"/>
      <c r="AC239" s="148"/>
      <c r="AD239" s="148"/>
      <c r="AF239" s="148"/>
      <c r="AG239" s="148"/>
    </row>
    <row r="240" spans="1:33" x14ac:dyDescent="0.25">
      <c r="A240" s="23"/>
      <c r="P240" s="23"/>
      <c r="Q240" s="23"/>
      <c r="R240" s="23"/>
      <c r="T240" s="23"/>
      <c r="U240" s="23"/>
      <c r="W240" s="23"/>
      <c r="X240" s="23"/>
      <c r="Y240" s="23"/>
      <c r="Z240" s="23"/>
      <c r="AA240" s="23"/>
      <c r="AB240" s="23"/>
      <c r="AC240" s="148"/>
      <c r="AD240" s="148"/>
      <c r="AF240" s="148"/>
      <c r="AG240" s="148"/>
    </row>
    <row r="241" spans="1:33" x14ac:dyDescent="0.25">
      <c r="A241" s="23"/>
      <c r="P241" s="23"/>
      <c r="Q241" s="23"/>
      <c r="R241" s="23"/>
      <c r="T241" s="23"/>
      <c r="U241" s="23"/>
      <c r="W241" s="23"/>
      <c r="X241" s="23"/>
      <c r="Y241" s="23"/>
      <c r="Z241" s="23"/>
      <c r="AA241" s="23"/>
      <c r="AB241" s="23"/>
      <c r="AC241" s="148"/>
      <c r="AD241" s="148"/>
      <c r="AF241" s="148"/>
      <c r="AG241" s="148"/>
    </row>
    <row r="242" spans="1:33" x14ac:dyDescent="0.25">
      <c r="A242" s="23"/>
      <c r="P242" s="23"/>
      <c r="Q242" s="23"/>
      <c r="R242" s="23"/>
      <c r="T242" s="23"/>
      <c r="U242" s="23"/>
      <c r="W242" s="23"/>
      <c r="X242" s="23"/>
      <c r="Y242" s="23"/>
      <c r="Z242" s="23"/>
      <c r="AA242" s="23"/>
      <c r="AB242" s="23"/>
      <c r="AC242" s="148"/>
      <c r="AD242" s="148"/>
      <c r="AF242" s="148"/>
      <c r="AG242" s="148"/>
    </row>
    <row r="243" spans="1:33" x14ac:dyDescent="0.25">
      <c r="A243" s="23"/>
      <c r="P243" s="23"/>
      <c r="Q243" s="23"/>
      <c r="R243" s="23"/>
      <c r="T243" s="23"/>
      <c r="U243" s="23"/>
      <c r="W243" s="23"/>
      <c r="X243" s="23"/>
      <c r="Y243" s="23"/>
      <c r="Z243" s="23"/>
      <c r="AA243" s="23"/>
      <c r="AB243" s="23"/>
      <c r="AC243" s="148"/>
      <c r="AD243" s="148"/>
      <c r="AF243" s="148"/>
      <c r="AG243" s="148"/>
    </row>
    <row r="244" spans="1:33" x14ac:dyDescent="0.25">
      <c r="A244" s="23"/>
      <c r="P244" s="23"/>
      <c r="Q244" s="23"/>
      <c r="R244" s="23"/>
      <c r="T244" s="23"/>
      <c r="U244" s="23"/>
      <c r="W244" s="23"/>
      <c r="X244" s="23"/>
      <c r="Y244" s="23"/>
      <c r="Z244" s="23"/>
      <c r="AA244" s="23"/>
      <c r="AB244" s="23"/>
      <c r="AC244" s="148"/>
      <c r="AD244" s="148"/>
      <c r="AF244" s="148"/>
      <c r="AG244" s="148"/>
    </row>
    <row r="245" spans="1:33" x14ac:dyDescent="0.25">
      <c r="A245" s="23"/>
      <c r="P245" s="23"/>
      <c r="Q245" s="23"/>
      <c r="R245" s="23"/>
      <c r="T245" s="23"/>
      <c r="U245" s="23"/>
      <c r="W245" s="23"/>
      <c r="X245" s="23"/>
      <c r="Y245" s="23"/>
      <c r="Z245" s="23"/>
      <c r="AA245" s="23"/>
      <c r="AB245" s="23"/>
      <c r="AC245" s="148"/>
      <c r="AD245" s="148"/>
      <c r="AF245" s="148"/>
      <c r="AG245" s="148"/>
    </row>
    <row r="246" spans="1:33" x14ac:dyDescent="0.25">
      <c r="A246" s="23"/>
      <c r="P246" s="23"/>
      <c r="Q246" s="23"/>
      <c r="R246" s="23"/>
      <c r="T246" s="23"/>
      <c r="U246" s="23"/>
      <c r="W246" s="23"/>
      <c r="X246" s="23"/>
      <c r="Y246" s="23"/>
      <c r="Z246" s="23"/>
      <c r="AA246" s="23"/>
      <c r="AB246" s="23"/>
      <c r="AC246" s="148"/>
      <c r="AD246" s="148"/>
      <c r="AF246" s="148"/>
      <c r="AG246" s="148"/>
    </row>
    <row r="247" spans="1:33" x14ac:dyDescent="0.25">
      <c r="A247" s="23"/>
      <c r="P247" s="23"/>
      <c r="Q247" s="23"/>
      <c r="R247" s="23"/>
      <c r="T247" s="23"/>
      <c r="U247" s="23"/>
      <c r="W247" s="23"/>
      <c r="X247" s="23"/>
      <c r="Y247" s="23"/>
      <c r="Z247" s="23"/>
      <c r="AA247" s="23"/>
      <c r="AB247" s="23"/>
      <c r="AC247" s="148"/>
      <c r="AD247" s="148"/>
      <c r="AF247" s="148"/>
      <c r="AG247" s="148"/>
    </row>
    <row r="248" spans="1:33" x14ac:dyDescent="0.25">
      <c r="A248" s="23"/>
      <c r="P248" s="23"/>
      <c r="Q248" s="23"/>
      <c r="R248" s="23"/>
      <c r="T248" s="23"/>
      <c r="U248" s="23"/>
      <c r="W248" s="23"/>
      <c r="X248" s="23"/>
      <c r="Y248" s="23"/>
      <c r="Z248" s="23"/>
      <c r="AA248" s="23"/>
      <c r="AB248" s="23"/>
      <c r="AC248" s="148"/>
      <c r="AD248" s="148"/>
      <c r="AF248" s="148"/>
      <c r="AG248" s="148"/>
    </row>
    <row r="249" spans="1:33" x14ac:dyDescent="0.25">
      <c r="A249" s="23"/>
      <c r="P249" s="23"/>
      <c r="Q249" s="23"/>
      <c r="R249" s="23"/>
      <c r="T249" s="23"/>
      <c r="U249" s="23"/>
      <c r="W249" s="23"/>
      <c r="X249" s="23"/>
      <c r="Y249" s="23"/>
      <c r="Z249" s="23"/>
      <c r="AA249" s="23"/>
      <c r="AB249" s="23"/>
      <c r="AC249" s="148"/>
      <c r="AD249" s="148"/>
      <c r="AF249" s="148"/>
      <c r="AG249" s="148"/>
    </row>
    <row r="250" spans="1:33" x14ac:dyDescent="0.25">
      <c r="A250" s="23"/>
      <c r="P250" s="23"/>
      <c r="Q250" s="23"/>
      <c r="R250" s="23"/>
      <c r="T250" s="23"/>
      <c r="U250" s="23"/>
      <c r="W250" s="23"/>
      <c r="X250" s="23"/>
      <c r="Y250" s="23"/>
      <c r="Z250" s="23"/>
      <c r="AA250" s="23"/>
      <c r="AB250" s="23"/>
      <c r="AC250" s="148"/>
      <c r="AD250" s="148"/>
      <c r="AF250" s="148"/>
      <c r="AG250" s="148"/>
    </row>
    <row r="251" spans="1:33" x14ac:dyDescent="0.25">
      <c r="A251" s="23"/>
      <c r="P251" s="23"/>
      <c r="Q251" s="23"/>
      <c r="R251" s="23"/>
      <c r="T251" s="23"/>
      <c r="U251" s="23"/>
      <c r="W251" s="23"/>
      <c r="X251" s="23"/>
      <c r="Y251" s="23"/>
      <c r="Z251" s="23"/>
      <c r="AA251" s="23"/>
      <c r="AB251" s="23"/>
      <c r="AC251" s="148"/>
      <c r="AD251" s="148"/>
      <c r="AF251" s="148"/>
      <c r="AG251" s="148"/>
    </row>
    <row r="252" spans="1:33" x14ac:dyDescent="0.25">
      <c r="A252" s="23"/>
      <c r="P252" s="23"/>
      <c r="Q252" s="23"/>
      <c r="R252" s="23"/>
      <c r="T252" s="23"/>
      <c r="U252" s="23"/>
      <c r="W252" s="23"/>
      <c r="X252" s="23"/>
      <c r="Y252" s="23"/>
      <c r="Z252" s="23"/>
      <c r="AA252" s="23"/>
      <c r="AB252" s="23"/>
      <c r="AC252" s="148"/>
      <c r="AD252" s="148"/>
      <c r="AF252" s="148"/>
    </row>
    <row r="253" spans="1:33" x14ac:dyDescent="0.25">
      <c r="AD253" s="148"/>
      <c r="AF253" s="148"/>
    </row>
  </sheetData>
  <autoFilter ref="A3:AY195" xr:uid="{6FB47401-4E37-4264-BA56-A4DADDEEA34F}"/>
  <sortState xmlns:xlrd2="http://schemas.microsoft.com/office/spreadsheetml/2017/richdata2" ref="A4:M149">
    <sortCondition ref="C4:C149"/>
    <sortCondition ref="B4:B149"/>
  </sortState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649C-057E-458D-99BD-2B1B15529982}">
  <sheetPr codeName="Sheet1"/>
  <dimension ref="A2:AD136"/>
  <sheetViews>
    <sheetView zoomScale="85" zoomScaleNormal="85" workbookViewId="0">
      <pane xSplit="2" ySplit="2" topLeftCell="C3" activePane="bottomRight" state="frozen"/>
      <selection activeCell="A3" sqref="A3:XFD12"/>
      <selection pane="topRight" activeCell="A3" sqref="A3:XFD12"/>
      <selection pane="bottomLeft" activeCell="A3" sqref="A3:XFD12"/>
      <selection pane="bottomRight" activeCell="Z1" sqref="Z1:AA1048576"/>
    </sheetView>
  </sheetViews>
  <sheetFormatPr defaultColWidth="9.140625" defaultRowHeight="15" x14ac:dyDescent="0.25"/>
  <cols>
    <col min="1" max="1" width="9.140625" style="167"/>
    <col min="2" max="2" width="40.7109375" style="167" customWidth="1"/>
    <col min="3" max="3" width="8" style="167" customWidth="1"/>
    <col min="4" max="4" width="17.28515625" style="167" bestFit="1" customWidth="1"/>
    <col min="5" max="5" width="18.140625" style="167" bestFit="1" customWidth="1"/>
    <col min="6" max="6" width="7.42578125" style="167" bestFit="1" customWidth="1"/>
    <col min="7" max="7" width="18.140625" style="135" bestFit="1" customWidth="1"/>
    <col min="8" max="8" width="17.7109375" style="135" bestFit="1" customWidth="1"/>
    <col min="9" max="9" width="18.140625" style="135" bestFit="1" customWidth="1"/>
    <col min="10" max="10" width="17.7109375" style="135" bestFit="1" customWidth="1"/>
    <col min="11" max="11" width="17.140625" style="10" customWidth="1"/>
    <col min="12" max="12" width="18.140625" style="10" bestFit="1" customWidth="1"/>
    <col min="13" max="13" width="17.28515625" style="10" bestFit="1" customWidth="1"/>
    <col min="14" max="14" width="19.140625" style="135" bestFit="1" customWidth="1"/>
    <col min="15" max="15" width="18.85546875" style="135" bestFit="1" customWidth="1"/>
    <col min="16" max="16" width="17.7109375" style="135" bestFit="1" customWidth="1"/>
    <col min="17" max="17" width="17.7109375" style="135" customWidth="1"/>
    <col min="18" max="19" width="13.140625" style="167" customWidth="1"/>
    <col min="20" max="20" width="13.5703125" style="167" customWidth="1"/>
    <col min="21" max="23" width="9.140625" style="167" customWidth="1"/>
    <col min="24" max="24" width="12.42578125" style="167" customWidth="1"/>
    <col min="25" max="25" width="14.85546875" style="167" customWidth="1"/>
    <col min="26" max="26" width="14.28515625" style="167" customWidth="1"/>
    <col min="27" max="27" width="12.28515625" style="167" customWidth="1"/>
    <col min="28" max="29" width="9.140625" style="167"/>
    <col min="30" max="30" width="15.7109375" style="167" bestFit="1" customWidth="1"/>
    <col min="31" max="16384" width="9.140625" style="167"/>
  </cols>
  <sheetData>
    <row r="2" spans="1:29" s="203" customFormat="1" ht="30" x14ac:dyDescent="0.25">
      <c r="D2" s="200" t="s">
        <v>211</v>
      </c>
      <c r="E2" s="200" t="s">
        <v>212</v>
      </c>
      <c r="F2" s="200"/>
      <c r="G2" s="204" t="s">
        <v>213</v>
      </c>
      <c r="H2" s="204" t="s">
        <v>214</v>
      </c>
      <c r="I2" s="204" t="s">
        <v>215</v>
      </c>
      <c r="J2" s="204" t="s">
        <v>192</v>
      </c>
      <c r="K2" s="205" t="s">
        <v>216</v>
      </c>
      <c r="L2" s="205" t="s">
        <v>148</v>
      </c>
      <c r="M2" s="205" t="s">
        <v>149</v>
      </c>
      <c r="N2" s="204" t="s">
        <v>34</v>
      </c>
      <c r="O2" s="204" t="s">
        <v>217</v>
      </c>
      <c r="P2" s="204" t="s">
        <v>201</v>
      </c>
      <c r="Q2" s="204"/>
      <c r="T2" s="203" t="s">
        <v>218</v>
      </c>
      <c r="U2" s="203" t="s">
        <v>216</v>
      </c>
      <c r="V2" s="203" t="s">
        <v>148</v>
      </c>
      <c r="W2" s="205" t="s">
        <v>149</v>
      </c>
    </row>
    <row r="3" spans="1:29" x14ac:dyDescent="0.25">
      <c r="A3" s="121" t="s">
        <v>166</v>
      </c>
      <c r="B3" s="167" t="s">
        <v>163</v>
      </c>
      <c r="D3" s="138">
        <v>775596</v>
      </c>
      <c r="E3" s="138">
        <v>16203409</v>
      </c>
      <c r="G3" s="138">
        <v>8531556</v>
      </c>
      <c r="H3" s="138">
        <v>8073834.6365200002</v>
      </c>
      <c r="I3" s="138">
        <v>0</v>
      </c>
      <c r="J3" s="138">
        <v>5127082.6757800002</v>
      </c>
      <c r="K3" s="206">
        <v>1397868.0944300003</v>
      </c>
      <c r="L3" s="206">
        <v>17020060.813599996</v>
      </c>
      <c r="M3" s="206">
        <v>0</v>
      </c>
      <c r="N3" s="135">
        <f t="shared" ref="N3:N17" si="0">SUM(G3:M3)</f>
        <v>40150402.22033</v>
      </c>
      <c r="O3" s="135">
        <f>-(K3+L3+M3)</f>
        <v>-18417928.908029996</v>
      </c>
      <c r="P3" s="135">
        <f>N3+O3</f>
        <v>21732473.312300004</v>
      </c>
      <c r="R3" s="167" t="s">
        <v>163</v>
      </c>
      <c r="S3" s="167" t="str">
        <f>CONCATENATE(A3,R3)</f>
        <v>FNRS</v>
      </c>
      <c r="T3" s="167">
        <f>IFERROR(J3/E3,0)</f>
        <v>0.31642000000000003</v>
      </c>
      <c r="U3" s="167">
        <f>IFERROR(K3/E3,0)</f>
        <v>8.6270000000000013E-2</v>
      </c>
      <c r="V3" s="167">
        <f>IFERROR(L3/E3,0)</f>
        <v>1.0503999999999998</v>
      </c>
      <c r="W3" s="167">
        <f>IFERROR(M3/E3,0)</f>
        <v>0</v>
      </c>
      <c r="X3" s="167">
        <f>IFERROR((H3+I3)/E3,0)</f>
        <v>0.49828</v>
      </c>
      <c r="Y3" s="113"/>
      <c r="Z3" s="138"/>
      <c r="AA3" s="138"/>
      <c r="AC3" s="207"/>
    </row>
    <row r="4" spans="1:29" x14ac:dyDescent="0.25">
      <c r="A4" s="121" t="s">
        <v>166</v>
      </c>
      <c r="B4" s="167" t="s">
        <v>171</v>
      </c>
      <c r="D4" s="138">
        <v>10596</v>
      </c>
      <c r="E4" s="138">
        <v>96298.999999999985</v>
      </c>
      <c r="G4" s="138">
        <v>225165</v>
      </c>
      <c r="H4" s="138">
        <v>47983.865719999994</v>
      </c>
      <c r="I4" s="138">
        <v>0</v>
      </c>
      <c r="J4" s="138">
        <v>30470.929579999996</v>
      </c>
      <c r="K4" s="206">
        <v>8307.7147299999997</v>
      </c>
      <c r="L4" s="206">
        <v>101152.46959999997</v>
      </c>
      <c r="M4" s="206">
        <v>0</v>
      </c>
      <c r="N4" s="135">
        <f t="shared" si="0"/>
        <v>413079.97962999996</v>
      </c>
      <c r="O4" s="135">
        <f t="shared" ref="O4:O17" si="1">-(K4+L4+M4)</f>
        <v>-109460.18432999996</v>
      </c>
      <c r="P4" s="135">
        <f t="shared" ref="P4:P28" si="2">N4+O4</f>
        <v>303619.7953</v>
      </c>
      <c r="R4" s="167" t="s">
        <v>171</v>
      </c>
      <c r="S4" s="167" t="str">
        <f t="shared" ref="S4:S67" si="3">CONCATENATE(A4,R4)</f>
        <v>FNRS-GS</v>
      </c>
      <c r="T4" s="167">
        <f t="shared" ref="T4:T67" si="4">IFERROR(J4/E4,0)</f>
        <v>0.31642000000000003</v>
      </c>
      <c r="U4" s="167">
        <f t="shared" ref="U4:U67" si="5">IFERROR(K4/E4,0)</f>
        <v>8.6270000000000013E-2</v>
      </c>
      <c r="V4" s="167">
        <f t="shared" ref="V4:V67" si="6">IFERROR(L4/E4,0)</f>
        <v>1.0503999999999998</v>
      </c>
      <c r="W4" s="167">
        <f t="shared" ref="W4:W67" si="7">IFERROR(M4/E4,0)</f>
        <v>0</v>
      </c>
      <c r="X4" s="167">
        <f t="shared" ref="X4:X17" si="8">IFERROR((H4+I4)/E4,0)</f>
        <v>0.49828</v>
      </c>
      <c r="Y4" s="113"/>
      <c r="Z4" s="138"/>
      <c r="AA4" s="138"/>
      <c r="AC4" s="207"/>
    </row>
    <row r="5" spans="1:29" x14ac:dyDescent="0.25">
      <c r="A5" s="121" t="s">
        <v>166</v>
      </c>
      <c r="B5" s="167" t="s">
        <v>47</v>
      </c>
      <c r="D5" s="138">
        <v>9852</v>
      </c>
      <c r="E5" s="138">
        <v>994478</v>
      </c>
      <c r="G5" s="138">
        <v>197040</v>
      </c>
      <c r="H5" s="138">
        <v>389198.91007999994</v>
      </c>
      <c r="I5" s="138">
        <v>0</v>
      </c>
      <c r="J5" s="138">
        <v>228391.81748</v>
      </c>
      <c r="K5" s="206">
        <v>54676.400439999998</v>
      </c>
      <c r="L5" s="206">
        <v>1044599.6912</v>
      </c>
      <c r="M5" s="206">
        <v>0</v>
      </c>
      <c r="N5" s="135">
        <f t="shared" si="0"/>
        <v>1913906.8191999998</v>
      </c>
      <c r="O5" s="135">
        <f t="shared" si="1"/>
        <v>-1099276.09164</v>
      </c>
      <c r="P5" s="135">
        <f t="shared" si="2"/>
        <v>814630.7275599998</v>
      </c>
      <c r="R5" s="167" t="s">
        <v>47</v>
      </c>
      <c r="S5" s="167" t="str">
        <f t="shared" si="3"/>
        <v>FNGS-1</v>
      </c>
      <c r="T5" s="167">
        <f t="shared" si="4"/>
        <v>0.22966</v>
      </c>
      <c r="U5" s="167">
        <f t="shared" si="5"/>
        <v>5.4979999999999994E-2</v>
      </c>
      <c r="V5" s="167">
        <f t="shared" si="6"/>
        <v>1.0504</v>
      </c>
      <c r="W5" s="167">
        <f t="shared" si="7"/>
        <v>0</v>
      </c>
      <c r="X5" s="167">
        <f t="shared" si="8"/>
        <v>0.39135999999999993</v>
      </c>
      <c r="Y5" s="113"/>
      <c r="Z5" s="138"/>
      <c r="AA5" s="138"/>
      <c r="AC5" s="207"/>
    </row>
    <row r="6" spans="1:29" x14ac:dyDescent="0.25">
      <c r="A6" s="121" t="s">
        <v>166</v>
      </c>
      <c r="B6" s="167" t="s">
        <v>219</v>
      </c>
      <c r="D6" s="138">
        <v>2448</v>
      </c>
      <c r="E6" s="138">
        <v>712722.99999999988</v>
      </c>
      <c r="G6" s="138">
        <v>48960</v>
      </c>
      <c r="H6" s="138">
        <v>0</v>
      </c>
      <c r="I6" s="138">
        <v>278931.27327999996</v>
      </c>
      <c r="J6" s="138">
        <v>163683.96417999995</v>
      </c>
      <c r="K6" s="206">
        <v>39185.510540000003</v>
      </c>
      <c r="L6" s="206">
        <v>0</v>
      </c>
      <c r="M6" s="206">
        <v>123372.35129999999</v>
      </c>
      <c r="N6" s="135">
        <f t="shared" si="0"/>
        <v>654133.09929999989</v>
      </c>
      <c r="O6" s="135">
        <f t="shared" si="1"/>
        <v>-162557.86184</v>
      </c>
      <c r="P6" s="135">
        <f t="shared" si="2"/>
        <v>491575.23745999986</v>
      </c>
      <c r="R6" s="167" t="s">
        <v>160</v>
      </c>
      <c r="S6" s="167" t="str">
        <f t="shared" si="3"/>
        <v>FNGSTS1</v>
      </c>
      <c r="T6" s="167">
        <f t="shared" si="4"/>
        <v>0.22965999999999998</v>
      </c>
      <c r="U6" s="167">
        <f t="shared" si="5"/>
        <v>5.4980000000000015E-2</v>
      </c>
      <c r="V6" s="167">
        <f t="shared" si="6"/>
        <v>0</v>
      </c>
      <c r="W6" s="167">
        <f t="shared" si="7"/>
        <v>0.17310000000000003</v>
      </c>
      <c r="X6" s="167">
        <f t="shared" si="8"/>
        <v>0.39136000000000004</v>
      </c>
      <c r="Y6" s="113"/>
      <c r="Z6" s="138"/>
      <c r="AA6" s="138"/>
      <c r="AC6" s="207"/>
    </row>
    <row r="7" spans="1:29" x14ac:dyDescent="0.25">
      <c r="A7" s="121" t="s">
        <v>166</v>
      </c>
      <c r="B7" s="167" t="s">
        <v>49</v>
      </c>
      <c r="D7" s="138">
        <v>27204</v>
      </c>
      <c r="E7" s="138">
        <v>6614701</v>
      </c>
      <c r="G7" s="138">
        <v>897732</v>
      </c>
      <c r="H7" s="138">
        <v>2588729.3833599999</v>
      </c>
      <c r="I7" s="138">
        <v>0</v>
      </c>
      <c r="J7" s="138">
        <v>1519132.2316599996</v>
      </c>
      <c r="K7" s="206">
        <v>270541.27089999994</v>
      </c>
      <c r="L7" s="206">
        <v>6948081.930399999</v>
      </c>
      <c r="M7" s="206">
        <v>0</v>
      </c>
      <c r="N7" s="135">
        <f t="shared" si="0"/>
        <v>12224216.816319998</v>
      </c>
      <c r="O7" s="135">
        <f t="shared" si="1"/>
        <v>-7218623.2012999989</v>
      </c>
      <c r="P7" s="135">
        <f t="shared" si="2"/>
        <v>5005593.6150199994</v>
      </c>
      <c r="R7" s="167" t="s">
        <v>49</v>
      </c>
      <c r="S7" s="167" t="str">
        <f t="shared" si="3"/>
        <v>FNGS-2</v>
      </c>
      <c r="T7" s="167">
        <f t="shared" si="4"/>
        <v>0.22965999999999995</v>
      </c>
      <c r="U7" s="167">
        <f t="shared" si="5"/>
        <v>4.0899999999999992E-2</v>
      </c>
      <c r="V7" s="167">
        <f t="shared" si="6"/>
        <v>1.0503999999999998</v>
      </c>
      <c r="W7" s="167">
        <f t="shared" si="7"/>
        <v>0</v>
      </c>
      <c r="X7" s="167">
        <f t="shared" si="8"/>
        <v>0.39135999999999999</v>
      </c>
      <c r="Y7" s="113"/>
      <c r="Z7" s="138"/>
      <c r="AA7" s="138"/>
      <c r="AC7" s="207"/>
    </row>
    <row r="8" spans="1:29" x14ac:dyDescent="0.25">
      <c r="A8" s="121" t="s">
        <v>166</v>
      </c>
      <c r="B8" s="167" t="s">
        <v>220</v>
      </c>
      <c r="D8" s="138">
        <v>10464</v>
      </c>
      <c r="E8" s="138">
        <v>5703452</v>
      </c>
      <c r="G8" s="138">
        <v>345312</v>
      </c>
      <c r="H8" s="138">
        <v>0</v>
      </c>
      <c r="I8" s="138">
        <v>2232102.9747200003</v>
      </c>
      <c r="J8" s="138">
        <v>1309854.78632</v>
      </c>
      <c r="K8" s="206">
        <v>233271.18680000002</v>
      </c>
      <c r="L8" s="206">
        <v>0</v>
      </c>
      <c r="M8" s="206">
        <v>952476.48400000005</v>
      </c>
      <c r="N8" s="135">
        <f t="shared" si="0"/>
        <v>5073017.4318400007</v>
      </c>
      <c r="O8" s="135">
        <f t="shared" si="1"/>
        <v>-1185747.6708</v>
      </c>
      <c r="P8" s="135">
        <f t="shared" si="2"/>
        <v>3887269.7610400007</v>
      </c>
      <c r="R8" s="167" t="s">
        <v>168</v>
      </c>
      <c r="S8" s="167" t="str">
        <f t="shared" si="3"/>
        <v>FNGSTS2</v>
      </c>
      <c r="T8" s="167">
        <f t="shared" si="4"/>
        <v>0.22966</v>
      </c>
      <c r="U8" s="167">
        <f t="shared" si="5"/>
        <v>4.0900000000000006E-2</v>
      </c>
      <c r="V8" s="167">
        <f t="shared" si="6"/>
        <v>0</v>
      </c>
      <c r="W8" s="167">
        <f t="shared" si="7"/>
        <v>0.16700000000000001</v>
      </c>
      <c r="X8" s="167">
        <f t="shared" si="8"/>
        <v>0.39136000000000004</v>
      </c>
      <c r="Y8" s="113"/>
      <c r="Z8" s="138"/>
      <c r="AA8" s="138"/>
      <c r="AC8" s="207"/>
    </row>
    <row r="9" spans="1:29" x14ac:dyDescent="0.25">
      <c r="A9" s="121" t="s">
        <v>166</v>
      </c>
      <c r="B9" s="167" t="s">
        <v>165</v>
      </c>
      <c r="D9" s="138">
        <v>3636</v>
      </c>
      <c r="E9" s="138">
        <v>62692.999999999985</v>
      </c>
      <c r="G9" s="138">
        <v>130205.15999999997</v>
      </c>
      <c r="H9" s="138">
        <v>24535.532479999994</v>
      </c>
      <c r="I9" s="138">
        <v>0</v>
      </c>
      <c r="J9" s="138">
        <v>14398.074379999998</v>
      </c>
      <c r="K9" s="206">
        <v>3446.86114</v>
      </c>
      <c r="L9" s="206">
        <v>65852.727199999994</v>
      </c>
      <c r="M9" s="206">
        <v>0</v>
      </c>
      <c r="N9" s="135">
        <f t="shared" si="0"/>
        <v>238438.35519999996</v>
      </c>
      <c r="O9" s="135">
        <f t="shared" si="1"/>
        <v>-69299.588339999988</v>
      </c>
      <c r="P9" s="135">
        <f t="shared" si="2"/>
        <v>169138.76685999997</v>
      </c>
      <c r="R9" s="167" t="s">
        <v>165</v>
      </c>
      <c r="S9" s="167" t="str">
        <f t="shared" si="3"/>
        <v>FNCS-GS</v>
      </c>
      <c r="T9" s="167">
        <f t="shared" si="4"/>
        <v>0.22966000000000003</v>
      </c>
      <c r="U9" s="167">
        <f t="shared" si="5"/>
        <v>5.4980000000000015E-2</v>
      </c>
      <c r="V9" s="167">
        <f t="shared" si="6"/>
        <v>1.0504000000000002</v>
      </c>
      <c r="W9" s="167">
        <f t="shared" si="7"/>
        <v>0</v>
      </c>
      <c r="X9" s="167">
        <f t="shared" si="8"/>
        <v>0.39135999999999999</v>
      </c>
      <c r="Y9" s="113"/>
      <c r="Z9" s="138"/>
      <c r="AA9" s="138"/>
      <c r="AC9" s="207"/>
    </row>
    <row r="10" spans="1:29" x14ac:dyDescent="0.25">
      <c r="A10" s="121" t="s">
        <v>166</v>
      </c>
      <c r="B10" s="167" t="s">
        <v>161</v>
      </c>
      <c r="D10" s="138">
        <v>8076</v>
      </c>
      <c r="E10" s="138">
        <v>8097819</v>
      </c>
      <c r="G10" s="138">
        <v>726840</v>
      </c>
      <c r="H10" s="138">
        <v>2863874.6675400003</v>
      </c>
      <c r="I10" s="138">
        <v>0</v>
      </c>
      <c r="J10" s="138">
        <v>1296298.86552</v>
      </c>
      <c r="K10" s="206">
        <v>275892.69333000004</v>
      </c>
      <c r="L10" s="206">
        <v>8505949.0776000004</v>
      </c>
      <c r="M10" s="206">
        <v>0</v>
      </c>
      <c r="N10" s="135">
        <f t="shared" si="0"/>
        <v>13668855.303990001</v>
      </c>
      <c r="O10" s="135">
        <f t="shared" si="1"/>
        <v>-8781841.7709299996</v>
      </c>
      <c r="P10" s="135">
        <f t="shared" si="2"/>
        <v>4887013.5330600012</v>
      </c>
      <c r="R10" s="167" t="s">
        <v>161</v>
      </c>
      <c r="S10" s="167" t="str">
        <f t="shared" si="3"/>
        <v>FNLVS</v>
      </c>
      <c r="T10" s="167">
        <f t="shared" si="4"/>
        <v>0.16008</v>
      </c>
      <c r="U10" s="167">
        <f t="shared" si="5"/>
        <v>3.4070000000000003E-2</v>
      </c>
      <c r="V10" s="167">
        <f t="shared" si="6"/>
        <v>1.0504</v>
      </c>
      <c r="W10" s="167">
        <f t="shared" si="7"/>
        <v>0</v>
      </c>
      <c r="X10" s="167">
        <f t="shared" si="8"/>
        <v>0.35366000000000003</v>
      </c>
      <c r="Y10" s="113"/>
      <c r="Z10" s="138"/>
      <c r="AA10" s="138"/>
      <c r="AC10" s="207"/>
    </row>
    <row r="11" spans="1:29" x14ac:dyDescent="0.25">
      <c r="A11" s="121" t="s">
        <v>166</v>
      </c>
      <c r="B11" s="167" t="s">
        <v>162</v>
      </c>
      <c r="D11" s="138">
        <v>15612</v>
      </c>
      <c r="E11" s="138">
        <v>32126205.999999996</v>
      </c>
      <c r="G11" s="138">
        <v>1405080</v>
      </c>
      <c r="H11" s="138">
        <v>0</v>
      </c>
      <c r="I11" s="138">
        <v>11361754.013959996</v>
      </c>
      <c r="J11" s="138">
        <v>5142763.0564799998</v>
      </c>
      <c r="K11" s="206">
        <v>1094539.8384200002</v>
      </c>
      <c r="L11" s="206">
        <v>0</v>
      </c>
      <c r="M11" s="206">
        <v>5056664.8244000003</v>
      </c>
      <c r="N11" s="135">
        <f t="shared" si="0"/>
        <v>24060801.733259995</v>
      </c>
      <c r="O11" s="135">
        <f t="shared" si="1"/>
        <v>-6151204.6628200002</v>
      </c>
      <c r="P11" s="135">
        <f t="shared" si="2"/>
        <v>17909597.070439994</v>
      </c>
      <c r="R11" s="167" t="s">
        <v>162</v>
      </c>
      <c r="S11" s="167" t="str">
        <f t="shared" si="3"/>
        <v>FNLVTS</v>
      </c>
      <c r="T11" s="167">
        <f t="shared" si="4"/>
        <v>0.16008</v>
      </c>
      <c r="U11" s="167">
        <f t="shared" si="5"/>
        <v>3.407000000000001E-2</v>
      </c>
      <c r="V11" s="167">
        <f t="shared" si="6"/>
        <v>0</v>
      </c>
      <c r="W11" s="167">
        <f t="shared" si="7"/>
        <v>0.15740000000000004</v>
      </c>
      <c r="X11" s="167">
        <f t="shared" si="8"/>
        <v>0.35365999999999992</v>
      </c>
      <c r="Y11" s="113"/>
      <c r="Z11" s="138"/>
      <c r="AA11" s="138"/>
      <c r="AC11" s="207"/>
    </row>
    <row r="12" spans="1:29" x14ac:dyDescent="0.25">
      <c r="A12" s="121" t="s">
        <v>166</v>
      </c>
      <c r="B12" s="167" t="s">
        <v>221</v>
      </c>
      <c r="D12" s="138">
        <v>0</v>
      </c>
      <c r="E12" s="138">
        <v>0</v>
      </c>
      <c r="G12" s="138">
        <v>0</v>
      </c>
      <c r="H12" s="138">
        <v>0</v>
      </c>
      <c r="I12" s="138">
        <v>0</v>
      </c>
      <c r="J12" s="138">
        <v>0</v>
      </c>
      <c r="K12" s="206">
        <v>0</v>
      </c>
      <c r="L12" s="206">
        <v>0</v>
      </c>
      <c r="M12" s="206">
        <v>0</v>
      </c>
      <c r="N12" s="135">
        <f t="shared" si="0"/>
        <v>0</v>
      </c>
      <c r="O12" s="135">
        <f t="shared" si="1"/>
        <v>0</v>
      </c>
      <c r="P12" s="135">
        <f t="shared" si="2"/>
        <v>0</v>
      </c>
      <c r="R12" s="167" t="s">
        <v>221</v>
      </c>
      <c r="S12" s="167" t="str">
        <f t="shared" si="3"/>
        <v>FNIS</v>
      </c>
      <c r="T12" s="167">
        <f t="shared" si="4"/>
        <v>0</v>
      </c>
      <c r="U12" s="167">
        <f t="shared" si="5"/>
        <v>0</v>
      </c>
      <c r="V12" s="167">
        <f t="shared" si="6"/>
        <v>0</v>
      </c>
      <c r="W12" s="167">
        <f t="shared" si="7"/>
        <v>0</v>
      </c>
      <c r="X12" s="167">
        <f t="shared" si="8"/>
        <v>0</v>
      </c>
      <c r="Y12" s="113"/>
      <c r="Z12" s="138"/>
      <c r="AA12" s="138"/>
      <c r="AC12" s="207"/>
    </row>
    <row r="13" spans="1:29" x14ac:dyDescent="0.25">
      <c r="A13" s="121" t="s">
        <v>166</v>
      </c>
      <c r="B13" s="167" t="s">
        <v>169</v>
      </c>
      <c r="D13" s="138">
        <v>216</v>
      </c>
      <c r="E13" s="138">
        <v>9545719.9999999981</v>
      </c>
      <c r="G13" s="138">
        <v>60480</v>
      </c>
      <c r="H13" s="138">
        <v>0</v>
      </c>
      <c r="I13" s="138">
        <v>2203152.176</v>
      </c>
      <c r="J13" s="138">
        <v>910279.85919999983</v>
      </c>
      <c r="K13" s="206">
        <v>0</v>
      </c>
      <c r="L13" s="206">
        <v>0</v>
      </c>
      <c r="M13" s="206">
        <v>0</v>
      </c>
      <c r="N13" s="135">
        <f t="shared" si="0"/>
        <v>3173912.0351999998</v>
      </c>
      <c r="O13" s="135">
        <f t="shared" si="1"/>
        <v>0</v>
      </c>
      <c r="P13" s="135">
        <f t="shared" si="2"/>
        <v>3173912.0351999998</v>
      </c>
      <c r="R13" s="167" t="s">
        <v>169</v>
      </c>
      <c r="S13" s="167" t="str">
        <f t="shared" si="3"/>
        <v>FNITS</v>
      </c>
      <c r="T13" s="167">
        <f t="shared" si="4"/>
        <v>9.536E-2</v>
      </c>
      <c r="U13" s="167">
        <f t="shared" si="5"/>
        <v>0</v>
      </c>
      <c r="V13" s="167">
        <f t="shared" si="6"/>
        <v>0</v>
      </c>
      <c r="W13" s="167">
        <f t="shared" si="7"/>
        <v>0</v>
      </c>
      <c r="X13" s="167">
        <f t="shared" si="8"/>
        <v>0.23080000000000003</v>
      </c>
      <c r="Y13" s="113"/>
      <c r="Z13" s="138"/>
      <c r="AA13" s="138"/>
      <c r="AC13" s="207"/>
    </row>
    <row r="14" spans="1:29" x14ac:dyDescent="0.25">
      <c r="A14" s="121" t="s">
        <v>166</v>
      </c>
      <c r="B14" s="167" t="s">
        <v>167</v>
      </c>
      <c r="D14" s="138">
        <v>348</v>
      </c>
      <c r="E14" s="138">
        <v>99722.999999999985</v>
      </c>
      <c r="G14" s="138">
        <v>0</v>
      </c>
      <c r="H14" s="138">
        <v>24142.938300000002</v>
      </c>
      <c r="I14" s="138">
        <v>0</v>
      </c>
      <c r="J14" s="138">
        <v>113735.07873000001</v>
      </c>
      <c r="K14" s="206">
        <v>0</v>
      </c>
      <c r="L14" s="206">
        <v>104749.0392</v>
      </c>
      <c r="M14" s="206">
        <v>0</v>
      </c>
      <c r="N14" s="135">
        <f t="shared" si="0"/>
        <v>242627.05623000002</v>
      </c>
      <c r="O14" s="135">
        <f t="shared" si="1"/>
        <v>-104749.0392</v>
      </c>
      <c r="P14" s="135">
        <f t="shared" si="2"/>
        <v>137878.01703000002</v>
      </c>
      <c r="R14" s="167" t="s">
        <v>167</v>
      </c>
      <c r="S14" s="167" t="str">
        <f t="shared" si="3"/>
        <v>FNGLS</v>
      </c>
      <c r="T14" s="167">
        <f t="shared" si="4"/>
        <v>1.1405100000000004</v>
      </c>
      <c r="U14" s="167">
        <f t="shared" si="5"/>
        <v>0</v>
      </c>
      <c r="V14" s="167">
        <f t="shared" si="6"/>
        <v>1.0504000000000002</v>
      </c>
      <c r="W14" s="167">
        <f t="shared" si="7"/>
        <v>0</v>
      </c>
      <c r="X14" s="167">
        <f t="shared" si="8"/>
        <v>0.24210000000000007</v>
      </c>
      <c r="Y14" s="113"/>
      <c r="Z14" s="138"/>
      <c r="AA14" s="138"/>
      <c r="AC14" s="207"/>
    </row>
    <row r="15" spans="1:29" x14ac:dyDescent="0.25">
      <c r="A15" s="121" t="s">
        <v>166</v>
      </c>
      <c r="B15" s="167" t="s">
        <v>222</v>
      </c>
      <c r="D15" s="138">
        <v>0</v>
      </c>
      <c r="E15" s="138">
        <v>0</v>
      </c>
      <c r="G15" s="138">
        <v>0</v>
      </c>
      <c r="H15" s="138">
        <v>0</v>
      </c>
      <c r="I15" s="138">
        <v>0</v>
      </c>
      <c r="J15" s="138">
        <v>0</v>
      </c>
      <c r="K15" s="206">
        <v>0</v>
      </c>
      <c r="L15" s="206">
        <v>0</v>
      </c>
      <c r="M15" s="206">
        <v>0</v>
      </c>
      <c r="N15" s="135">
        <f t="shared" si="0"/>
        <v>0</v>
      </c>
      <c r="O15" s="135">
        <f t="shared" si="1"/>
        <v>0</v>
      </c>
      <c r="P15" s="135">
        <f t="shared" si="2"/>
        <v>0</v>
      </c>
      <c r="R15" s="167" t="s">
        <v>222</v>
      </c>
      <c r="S15" s="167" t="str">
        <f t="shared" si="3"/>
        <v>FNGLTS</v>
      </c>
      <c r="T15" s="167">
        <f t="shared" si="4"/>
        <v>0</v>
      </c>
      <c r="U15" s="167">
        <f t="shared" si="5"/>
        <v>0</v>
      </c>
      <c r="V15" s="167">
        <f t="shared" si="6"/>
        <v>0</v>
      </c>
      <c r="W15" s="167">
        <f t="shared" si="7"/>
        <v>0</v>
      </c>
      <c r="X15" s="167">
        <f t="shared" si="8"/>
        <v>0</v>
      </c>
      <c r="Y15" s="157"/>
      <c r="Z15" s="138"/>
      <c r="AA15" s="138"/>
      <c r="AC15" s="207"/>
    </row>
    <row r="16" spans="1:29" x14ac:dyDescent="0.25">
      <c r="A16" s="121" t="s">
        <v>166</v>
      </c>
      <c r="B16" s="167" t="s">
        <v>223</v>
      </c>
      <c r="D16" s="138">
        <v>0</v>
      </c>
      <c r="E16" s="138">
        <v>0</v>
      </c>
      <c r="G16" s="138">
        <v>0</v>
      </c>
      <c r="H16" s="138">
        <v>0</v>
      </c>
      <c r="I16" s="138">
        <v>0</v>
      </c>
      <c r="J16" s="138">
        <v>0</v>
      </c>
      <c r="K16" s="206">
        <v>0</v>
      </c>
      <c r="L16" s="206">
        <v>0</v>
      </c>
      <c r="M16" s="206">
        <v>0</v>
      </c>
      <c r="N16" s="135">
        <f t="shared" si="0"/>
        <v>0</v>
      </c>
      <c r="O16" s="135">
        <f t="shared" si="1"/>
        <v>0</v>
      </c>
      <c r="P16" s="135">
        <f t="shared" si="2"/>
        <v>0</v>
      </c>
      <c r="R16" s="167" t="s">
        <v>223</v>
      </c>
      <c r="S16" s="167" t="str">
        <f t="shared" si="3"/>
        <v>FNNGVS</v>
      </c>
      <c r="T16" s="167">
        <f t="shared" si="4"/>
        <v>0</v>
      </c>
      <c r="U16" s="167">
        <f t="shared" si="5"/>
        <v>0</v>
      </c>
      <c r="V16" s="167">
        <f t="shared" si="6"/>
        <v>0</v>
      </c>
      <c r="W16" s="167">
        <f t="shared" si="7"/>
        <v>0</v>
      </c>
      <c r="X16" s="167">
        <f t="shared" si="8"/>
        <v>0</v>
      </c>
      <c r="Y16" s="113"/>
      <c r="Z16" s="138"/>
      <c r="AA16" s="138"/>
      <c r="AC16" s="207"/>
    </row>
    <row r="17" spans="1:29" x14ac:dyDescent="0.25">
      <c r="A17" s="121" t="s">
        <v>166</v>
      </c>
      <c r="B17" s="167" t="s">
        <v>170</v>
      </c>
      <c r="D17" s="138">
        <v>24</v>
      </c>
      <c r="E17" s="138">
        <v>922147</v>
      </c>
      <c r="G17" s="138">
        <v>2400</v>
      </c>
      <c r="H17" s="138">
        <v>0</v>
      </c>
      <c r="I17" s="138">
        <v>157788.57316999999</v>
      </c>
      <c r="J17" s="138">
        <v>211780.28002000001</v>
      </c>
      <c r="K17" s="206">
        <v>134725.67670000001</v>
      </c>
      <c r="L17" s="206">
        <v>0</v>
      </c>
      <c r="M17" s="206">
        <v>0</v>
      </c>
      <c r="N17" s="135">
        <f t="shared" si="0"/>
        <v>506694.52989000001</v>
      </c>
      <c r="O17" s="135">
        <f t="shared" si="1"/>
        <v>-134725.67670000001</v>
      </c>
      <c r="P17" s="135">
        <f t="shared" si="2"/>
        <v>371968.85318999999</v>
      </c>
      <c r="R17" s="167" t="s">
        <v>170</v>
      </c>
      <c r="S17" s="167" t="str">
        <f t="shared" si="3"/>
        <v>FNNGVTS</v>
      </c>
      <c r="T17" s="167">
        <f t="shared" si="4"/>
        <v>0.22966</v>
      </c>
      <c r="U17" s="167">
        <f t="shared" si="5"/>
        <v>0.14610000000000001</v>
      </c>
      <c r="V17" s="167">
        <f t="shared" si="6"/>
        <v>0</v>
      </c>
      <c r="W17" s="167">
        <f t="shared" si="7"/>
        <v>0</v>
      </c>
      <c r="X17" s="167">
        <f t="shared" si="8"/>
        <v>0.17110999999999998</v>
      </c>
      <c r="Y17" s="113"/>
      <c r="Z17" s="138"/>
      <c r="AA17" s="138"/>
      <c r="AC17" s="207"/>
    </row>
    <row r="18" spans="1:29" ht="15.75" thickBot="1" x14ac:dyDescent="0.3">
      <c r="A18" s="121" t="s">
        <v>166</v>
      </c>
      <c r="B18" s="167" t="s">
        <v>202</v>
      </c>
      <c r="D18" s="208">
        <f>SUBTOTAL(9,D3:D17)</f>
        <v>864072</v>
      </c>
      <c r="E18" s="208">
        <f t="shared" ref="E18:O18" si="9">SUBTOTAL(9,E3:E17)</f>
        <v>81179370</v>
      </c>
      <c r="G18" s="5">
        <f t="shared" si="9"/>
        <v>12570770.16</v>
      </c>
      <c r="H18" s="5">
        <f t="shared" si="9"/>
        <v>14012299.934000002</v>
      </c>
      <c r="I18" s="5">
        <f t="shared" si="9"/>
        <v>16233729.011129996</v>
      </c>
      <c r="J18" s="5">
        <f t="shared" si="9"/>
        <v>16067871.61933</v>
      </c>
      <c r="K18" s="8">
        <f t="shared" si="9"/>
        <v>3512455.24743</v>
      </c>
      <c r="L18" s="8">
        <f t="shared" si="9"/>
        <v>33790445.748799995</v>
      </c>
      <c r="M18" s="8">
        <f t="shared" si="9"/>
        <v>6132513.6597000007</v>
      </c>
      <c r="N18" s="5">
        <f t="shared" si="9"/>
        <v>102320085.38038999</v>
      </c>
      <c r="O18" s="5">
        <f t="shared" si="9"/>
        <v>-43435414.655929998</v>
      </c>
      <c r="P18" s="5">
        <f t="shared" si="2"/>
        <v>58884670.724459991</v>
      </c>
      <c r="Q18" s="6"/>
      <c r="S18" s="167" t="str">
        <f t="shared" si="3"/>
        <v>FN</v>
      </c>
      <c r="T18" s="167">
        <f t="shared" si="4"/>
        <v>0.19793047937339253</v>
      </c>
      <c r="U18" s="167">
        <f t="shared" si="5"/>
        <v>4.3267830822412146E-2</v>
      </c>
      <c r="V18" s="167">
        <f t="shared" si="6"/>
        <v>0.41624424713815833</v>
      </c>
      <c r="W18" s="167">
        <f t="shared" si="7"/>
        <v>7.5542759936422274E-2</v>
      </c>
      <c r="AC18" s="207"/>
    </row>
    <row r="19" spans="1:29" ht="15.75" thickTop="1" x14ac:dyDescent="0.25">
      <c r="D19" s="209"/>
      <c r="E19" s="209"/>
      <c r="G19" s="6"/>
      <c r="H19" s="6"/>
      <c r="I19" s="6"/>
      <c r="J19" s="6"/>
      <c r="K19" s="9"/>
      <c r="L19" s="9"/>
      <c r="M19" s="9"/>
      <c r="S19" s="167" t="str">
        <f t="shared" si="3"/>
        <v/>
      </c>
      <c r="T19" s="167">
        <f t="shared" si="4"/>
        <v>0</v>
      </c>
      <c r="U19" s="167">
        <f t="shared" si="5"/>
        <v>0</v>
      </c>
      <c r="V19" s="167">
        <f t="shared" si="6"/>
        <v>0</v>
      </c>
      <c r="W19" s="167">
        <f t="shared" si="7"/>
        <v>0</v>
      </c>
      <c r="AC19" s="207"/>
    </row>
    <row r="20" spans="1:29" x14ac:dyDescent="0.25">
      <c r="A20" s="121" t="s">
        <v>166</v>
      </c>
      <c r="B20" s="167" t="s">
        <v>203</v>
      </c>
      <c r="D20" s="138">
        <v>72</v>
      </c>
      <c r="E20" s="138">
        <v>26824925.000000004</v>
      </c>
      <c r="G20" s="138">
        <v>0</v>
      </c>
      <c r="H20" s="138">
        <v>0</v>
      </c>
      <c r="I20" s="138">
        <v>2832740</v>
      </c>
      <c r="J20" s="138">
        <v>0</v>
      </c>
      <c r="K20" s="138">
        <v>0</v>
      </c>
      <c r="L20" s="138">
        <v>0</v>
      </c>
      <c r="M20" s="138">
        <v>0</v>
      </c>
      <c r="N20" s="135">
        <f>SUM(G20:M20)</f>
        <v>2832740</v>
      </c>
      <c r="O20" s="135">
        <v>-2832740</v>
      </c>
      <c r="P20" s="135">
        <f t="shared" si="2"/>
        <v>0</v>
      </c>
      <c r="R20" s="167" t="str">
        <f>B20</f>
        <v>SPECIAL CONTRACTS</v>
      </c>
      <c r="S20" s="167" t="str">
        <f t="shared" si="3"/>
        <v>FNSPECIAL CONTRACTS</v>
      </c>
      <c r="T20" s="167">
        <f t="shared" si="4"/>
        <v>0</v>
      </c>
      <c r="U20" s="167">
        <f t="shared" si="5"/>
        <v>0</v>
      </c>
      <c r="V20" s="167">
        <f t="shared" si="6"/>
        <v>0</v>
      </c>
      <c r="W20" s="167">
        <f t="shared" si="7"/>
        <v>0</v>
      </c>
      <c r="AC20" s="207"/>
    </row>
    <row r="21" spans="1:29" x14ac:dyDescent="0.25">
      <c r="A21" s="121" t="s">
        <v>166</v>
      </c>
      <c r="B21" s="210" t="s">
        <v>210</v>
      </c>
      <c r="D21" s="138"/>
      <c r="E21" s="138"/>
      <c r="N21" s="6">
        <v>333538</v>
      </c>
      <c r="O21" s="135">
        <f>-N21</f>
        <v>-333538</v>
      </c>
      <c r="P21" s="135">
        <f t="shared" si="2"/>
        <v>0</v>
      </c>
      <c r="R21" s="167" t="str">
        <f t="shared" ref="R21:R26" si="10">B21</f>
        <v>AEP REVENUES</v>
      </c>
      <c r="S21" s="167" t="str">
        <f t="shared" si="3"/>
        <v>FNAEP REVENUES</v>
      </c>
      <c r="T21" s="167">
        <f t="shared" si="4"/>
        <v>0</v>
      </c>
      <c r="U21" s="167">
        <f t="shared" si="5"/>
        <v>0</v>
      </c>
      <c r="V21" s="167">
        <f t="shared" si="6"/>
        <v>0</v>
      </c>
      <c r="W21" s="167">
        <f t="shared" si="7"/>
        <v>0</v>
      </c>
      <c r="AC21" s="207"/>
    </row>
    <row r="22" spans="1:29" x14ac:dyDescent="0.25">
      <c r="A22" s="121" t="s">
        <v>166</v>
      </c>
      <c r="B22" s="210" t="s">
        <v>205</v>
      </c>
      <c r="D22" s="138"/>
      <c r="E22" s="138"/>
      <c r="N22" s="6">
        <v>4617431.1557301823</v>
      </c>
      <c r="O22" s="135">
        <f>-N22</f>
        <v>-4617431.1557301823</v>
      </c>
      <c r="P22" s="135">
        <f t="shared" si="2"/>
        <v>0</v>
      </c>
      <c r="R22" s="167" t="str">
        <f t="shared" si="10"/>
        <v>REVENUE TAXES</v>
      </c>
      <c r="S22" s="167" t="str">
        <f t="shared" si="3"/>
        <v>FNREVENUE TAXES</v>
      </c>
      <c r="T22" s="167">
        <f t="shared" si="4"/>
        <v>0</v>
      </c>
      <c r="U22" s="167">
        <f t="shared" si="5"/>
        <v>0</v>
      </c>
      <c r="V22" s="167">
        <f t="shared" si="6"/>
        <v>0</v>
      </c>
      <c r="W22" s="167">
        <f t="shared" si="7"/>
        <v>0</v>
      </c>
      <c r="AC22" s="207"/>
    </row>
    <row r="23" spans="1:29" x14ac:dyDescent="0.25">
      <c r="A23" s="121" t="s">
        <v>166</v>
      </c>
      <c r="B23" s="167" t="s">
        <v>209</v>
      </c>
      <c r="D23" s="138"/>
      <c r="E23" s="138"/>
      <c r="N23" s="6">
        <v>1610022</v>
      </c>
      <c r="O23" s="6">
        <v>13268</v>
      </c>
      <c r="P23" s="6">
        <f t="shared" si="2"/>
        <v>1623290</v>
      </c>
      <c r="Q23" s="6"/>
      <c r="R23" s="167" t="str">
        <f t="shared" si="10"/>
        <v>MISCELLANEOUS SERVICE REVENUE</v>
      </c>
      <c r="S23" s="167" t="str">
        <f t="shared" si="3"/>
        <v>FNMISCELLANEOUS SERVICE REVENUE</v>
      </c>
      <c r="T23" s="167">
        <f t="shared" si="4"/>
        <v>0</v>
      </c>
      <c r="U23" s="167">
        <f t="shared" si="5"/>
        <v>0</v>
      </c>
      <c r="V23" s="167">
        <f t="shared" si="6"/>
        <v>0</v>
      </c>
      <c r="W23" s="167">
        <f t="shared" si="7"/>
        <v>0</v>
      </c>
      <c r="AC23" s="207"/>
    </row>
    <row r="24" spans="1:29" x14ac:dyDescent="0.25">
      <c r="A24" s="121" t="s">
        <v>166</v>
      </c>
      <c r="B24" s="167" t="s">
        <v>206</v>
      </c>
      <c r="D24" s="138"/>
      <c r="E24" s="138"/>
      <c r="H24" s="211"/>
      <c r="N24" s="6">
        <v>153438</v>
      </c>
      <c r="O24" s="6"/>
      <c r="P24" s="6">
        <f t="shared" si="2"/>
        <v>153438</v>
      </c>
      <c r="Q24" s="6"/>
      <c r="R24" s="167" t="str">
        <f t="shared" si="10"/>
        <v>TRANSPORTATION ADMIN</v>
      </c>
      <c r="S24" s="167" t="str">
        <f t="shared" si="3"/>
        <v>FNTRANSPORTATION ADMIN</v>
      </c>
      <c r="T24" s="167">
        <f t="shared" si="4"/>
        <v>0</v>
      </c>
      <c r="U24" s="167">
        <f t="shared" si="5"/>
        <v>0</v>
      </c>
      <c r="V24" s="167">
        <f t="shared" si="6"/>
        <v>0</v>
      </c>
      <c r="W24" s="167">
        <f t="shared" si="7"/>
        <v>0</v>
      </c>
      <c r="AC24" s="207"/>
    </row>
    <row r="25" spans="1:29" x14ac:dyDescent="0.25">
      <c r="A25" s="121" t="s">
        <v>166</v>
      </c>
      <c r="B25" s="167" t="s">
        <v>207</v>
      </c>
      <c r="N25" s="6">
        <v>21240</v>
      </c>
      <c r="O25" s="6"/>
      <c r="P25" s="6">
        <f t="shared" si="2"/>
        <v>21240</v>
      </c>
      <c r="Q25" s="6"/>
      <c r="R25" s="167" t="str">
        <f t="shared" si="10"/>
        <v>TELEMETRY REVENUES</v>
      </c>
      <c r="S25" s="167" t="str">
        <f t="shared" si="3"/>
        <v>FNTELEMETRY REVENUES</v>
      </c>
      <c r="T25" s="167">
        <f t="shared" si="4"/>
        <v>0</v>
      </c>
      <c r="U25" s="167">
        <f t="shared" si="5"/>
        <v>0</v>
      </c>
      <c r="V25" s="167">
        <f t="shared" si="6"/>
        <v>0</v>
      </c>
      <c r="W25" s="167">
        <f t="shared" si="7"/>
        <v>0</v>
      </c>
      <c r="AC25" s="207"/>
    </row>
    <row r="26" spans="1:29" x14ac:dyDescent="0.25">
      <c r="A26" s="121" t="s">
        <v>166</v>
      </c>
      <c r="B26" s="167" t="s">
        <v>208</v>
      </c>
      <c r="N26" s="6">
        <v>13200</v>
      </c>
      <c r="P26" s="135">
        <f t="shared" si="2"/>
        <v>13200</v>
      </c>
      <c r="R26" s="167" t="str">
        <f t="shared" si="10"/>
        <v>SHIPPER ADMINISTRATION CHARGE</v>
      </c>
      <c r="S26" s="167" t="str">
        <f t="shared" si="3"/>
        <v>FNSHIPPER ADMINISTRATION CHARGE</v>
      </c>
      <c r="T26" s="167">
        <f t="shared" si="4"/>
        <v>0</v>
      </c>
      <c r="U26" s="167">
        <f t="shared" si="5"/>
        <v>0</v>
      </c>
      <c r="V26" s="167">
        <f t="shared" si="6"/>
        <v>0</v>
      </c>
      <c r="W26" s="167">
        <f t="shared" si="7"/>
        <v>0</v>
      </c>
      <c r="AC26" s="207"/>
    </row>
    <row r="27" spans="1:29" x14ac:dyDescent="0.25">
      <c r="P27" s="135">
        <f t="shared" si="2"/>
        <v>0</v>
      </c>
      <c r="S27" s="167" t="str">
        <f t="shared" si="3"/>
        <v/>
      </c>
      <c r="T27" s="167">
        <f t="shared" si="4"/>
        <v>0</v>
      </c>
      <c r="U27" s="167">
        <f t="shared" si="5"/>
        <v>0</v>
      </c>
      <c r="V27" s="167">
        <f t="shared" si="6"/>
        <v>0</v>
      </c>
      <c r="W27" s="167">
        <f t="shared" si="7"/>
        <v>0</v>
      </c>
      <c r="AC27" s="207"/>
    </row>
    <row r="28" spans="1:29" ht="15.75" thickBot="1" x14ac:dyDescent="0.3">
      <c r="B28" s="212" t="s">
        <v>34</v>
      </c>
      <c r="C28" s="212"/>
      <c r="D28" s="213">
        <f>SUBTOTAL(9,D3:D25)</f>
        <v>864144</v>
      </c>
      <c r="E28" s="213">
        <f>SUBTOTAL(9,E3:E25)</f>
        <v>108004295</v>
      </c>
      <c r="G28" s="214">
        <f t="shared" ref="G28:M28" si="11">SUBTOTAL(9,G3:G25)</f>
        <v>12570770.16</v>
      </c>
      <c r="H28" s="214">
        <f t="shared" si="11"/>
        <v>14012299.934000002</v>
      </c>
      <c r="I28" s="214">
        <f t="shared" si="11"/>
        <v>19066469.011129998</v>
      </c>
      <c r="J28" s="214">
        <f t="shared" si="11"/>
        <v>16067871.61933</v>
      </c>
      <c r="K28" s="215">
        <f t="shared" si="11"/>
        <v>3512455.24743</v>
      </c>
      <c r="L28" s="215">
        <f t="shared" si="11"/>
        <v>33790445.748799995</v>
      </c>
      <c r="M28" s="215">
        <f t="shared" si="11"/>
        <v>6132513.6597000007</v>
      </c>
      <c r="N28" s="214">
        <f>SUBTOTAL(9,N3:N26)</f>
        <v>111901694.53612018</v>
      </c>
      <c r="O28" s="214">
        <f>SUBTOTAL(9,O3:O26)</f>
        <v>-51205855.811660178</v>
      </c>
      <c r="P28" s="214">
        <f t="shared" si="2"/>
        <v>60695838.724459998</v>
      </c>
      <c r="Q28" s="216"/>
      <c r="S28" s="167" t="str">
        <f t="shared" si="3"/>
        <v/>
      </c>
      <c r="T28" s="167">
        <f t="shared" si="4"/>
        <v>0.14877067267861893</v>
      </c>
      <c r="U28" s="167">
        <f t="shared" si="5"/>
        <v>3.2521440442993495E-2</v>
      </c>
      <c r="V28" s="167">
        <f t="shared" si="6"/>
        <v>0.31286205561362163</v>
      </c>
      <c r="W28" s="167">
        <f t="shared" si="7"/>
        <v>5.6780275818660735E-2</v>
      </c>
      <c r="AC28" s="207"/>
    </row>
    <row r="29" spans="1:29" ht="15.75" thickTop="1" x14ac:dyDescent="0.25">
      <c r="D29" s="138"/>
      <c r="E29" s="138"/>
      <c r="S29" s="167" t="str">
        <f t="shared" si="3"/>
        <v/>
      </c>
      <c r="T29" s="167">
        <f t="shared" si="4"/>
        <v>0</v>
      </c>
      <c r="U29" s="167">
        <f t="shared" si="5"/>
        <v>0</v>
      </c>
      <c r="V29" s="167">
        <f t="shared" si="6"/>
        <v>0</v>
      </c>
      <c r="W29" s="167">
        <f t="shared" si="7"/>
        <v>0</v>
      </c>
      <c r="AC29" s="207"/>
    </row>
    <row r="30" spans="1:29" x14ac:dyDescent="0.25">
      <c r="B30" s="167" t="s">
        <v>224</v>
      </c>
      <c r="D30" s="138">
        <v>864144</v>
      </c>
      <c r="E30" s="138">
        <v>108004295</v>
      </c>
      <c r="G30" s="135">
        <v>12570770.16</v>
      </c>
      <c r="H30" s="135">
        <v>14012299.934000002</v>
      </c>
      <c r="I30" s="135">
        <v>19066469.011129998</v>
      </c>
      <c r="J30" s="135">
        <v>16067871.61933</v>
      </c>
      <c r="K30" s="10">
        <v>3512455.24743</v>
      </c>
      <c r="L30" s="10">
        <v>33790445.748799995</v>
      </c>
      <c r="M30" s="10">
        <v>6132513.6597000007</v>
      </c>
      <c r="N30" s="135">
        <v>111901694.53612018</v>
      </c>
      <c r="O30" s="135">
        <v>-51205855.811660178</v>
      </c>
      <c r="P30" s="135">
        <v>60695838.724460028</v>
      </c>
      <c r="R30" s="114"/>
      <c r="S30" s="167" t="str">
        <f t="shared" si="3"/>
        <v/>
      </c>
      <c r="T30" s="167">
        <f t="shared" si="4"/>
        <v>0.14877067267861893</v>
      </c>
      <c r="U30" s="167">
        <f t="shared" si="5"/>
        <v>3.2521440442993495E-2</v>
      </c>
      <c r="V30" s="167">
        <f t="shared" si="6"/>
        <v>0.31286205561362163</v>
      </c>
      <c r="W30" s="167">
        <f t="shared" si="7"/>
        <v>5.6780275818660735E-2</v>
      </c>
      <c r="AC30" s="207"/>
    </row>
    <row r="31" spans="1:29" x14ac:dyDescent="0.25">
      <c r="B31" s="167" t="s">
        <v>225</v>
      </c>
      <c r="D31" s="138">
        <f>D30-D28</f>
        <v>0</v>
      </c>
      <c r="E31" s="138">
        <f>E30-E28</f>
        <v>0</v>
      </c>
      <c r="G31" s="135">
        <f t="shared" ref="G31:M31" si="12">G30-G28</f>
        <v>0</v>
      </c>
      <c r="H31" s="135">
        <f t="shared" si="12"/>
        <v>0</v>
      </c>
      <c r="I31" s="135">
        <f t="shared" si="12"/>
        <v>0</v>
      </c>
      <c r="J31" s="135">
        <f t="shared" si="12"/>
        <v>0</v>
      </c>
      <c r="K31" s="10">
        <f t="shared" si="12"/>
        <v>0</v>
      </c>
      <c r="L31" s="10">
        <f t="shared" si="12"/>
        <v>0</v>
      </c>
      <c r="M31" s="10">
        <f t="shared" si="12"/>
        <v>0</v>
      </c>
      <c r="N31" s="135">
        <f>N28-N30</f>
        <v>0</v>
      </c>
      <c r="O31" s="135">
        <f>O28-O30</f>
        <v>0</v>
      </c>
      <c r="P31" s="135">
        <f>P28-P30</f>
        <v>0</v>
      </c>
      <c r="S31" s="167" t="str">
        <f t="shared" si="3"/>
        <v/>
      </c>
      <c r="T31" s="167">
        <f t="shared" si="4"/>
        <v>0</v>
      </c>
      <c r="U31" s="167">
        <f t="shared" si="5"/>
        <v>0</v>
      </c>
      <c r="V31" s="167">
        <f t="shared" si="6"/>
        <v>0</v>
      </c>
      <c r="W31" s="167">
        <f t="shared" si="7"/>
        <v>0</v>
      </c>
      <c r="AC31" s="207"/>
    </row>
    <row r="32" spans="1:29" x14ac:dyDescent="0.25">
      <c r="S32" s="167" t="str">
        <f t="shared" si="3"/>
        <v/>
      </c>
      <c r="T32" s="167">
        <f t="shared" si="4"/>
        <v>0</v>
      </c>
      <c r="U32" s="167">
        <f t="shared" si="5"/>
        <v>0</v>
      </c>
      <c r="V32" s="167">
        <f t="shared" si="6"/>
        <v>0</v>
      </c>
      <c r="W32" s="167">
        <f t="shared" si="7"/>
        <v>0</v>
      </c>
      <c r="AC32" s="207"/>
    </row>
    <row r="33" spans="1:30" x14ac:dyDescent="0.25">
      <c r="S33" s="167" t="str">
        <f t="shared" si="3"/>
        <v/>
      </c>
      <c r="T33" s="167">
        <f t="shared" si="4"/>
        <v>0</v>
      </c>
      <c r="U33" s="167">
        <f t="shared" si="5"/>
        <v>0</v>
      </c>
      <c r="V33" s="167">
        <f t="shared" si="6"/>
        <v>0</v>
      </c>
      <c r="W33" s="167">
        <f t="shared" si="7"/>
        <v>0</v>
      </c>
      <c r="AC33" s="207"/>
    </row>
    <row r="34" spans="1:30" x14ac:dyDescent="0.25">
      <c r="S34" s="167" t="str">
        <f t="shared" si="3"/>
        <v/>
      </c>
      <c r="T34" s="167">
        <f t="shared" si="4"/>
        <v>0</v>
      </c>
      <c r="U34" s="167">
        <f t="shared" si="5"/>
        <v>0</v>
      </c>
      <c r="V34" s="167">
        <f t="shared" si="6"/>
        <v>0</v>
      </c>
      <c r="W34" s="167">
        <f t="shared" si="7"/>
        <v>0</v>
      </c>
      <c r="AC34" s="207"/>
    </row>
    <row r="35" spans="1:30" x14ac:dyDescent="0.25">
      <c r="S35" s="167" t="str">
        <f t="shared" si="3"/>
        <v/>
      </c>
      <c r="T35" s="167">
        <f t="shared" si="4"/>
        <v>0</v>
      </c>
      <c r="U35" s="167">
        <f t="shared" si="5"/>
        <v>0</v>
      </c>
      <c r="V35" s="167">
        <f t="shared" si="6"/>
        <v>0</v>
      </c>
      <c r="W35" s="167">
        <f t="shared" si="7"/>
        <v>0</v>
      </c>
      <c r="AC35" s="207"/>
    </row>
    <row r="36" spans="1:30" s="203" customFormat="1" ht="30" x14ac:dyDescent="0.25">
      <c r="D36" s="200" t="s">
        <v>211</v>
      </c>
      <c r="E36" s="200" t="s">
        <v>212</v>
      </c>
      <c r="F36" s="200"/>
      <c r="G36" s="204" t="s">
        <v>213</v>
      </c>
      <c r="H36" s="204" t="s">
        <v>214</v>
      </c>
      <c r="I36" s="204" t="s">
        <v>215</v>
      </c>
      <c r="J36" s="204" t="s">
        <v>192</v>
      </c>
      <c r="K36" s="205" t="s">
        <v>216</v>
      </c>
      <c r="L36" s="205" t="s">
        <v>148</v>
      </c>
      <c r="M36" s="205" t="s">
        <v>149</v>
      </c>
      <c r="N36" s="204" t="s">
        <v>34</v>
      </c>
      <c r="O36" s="204" t="s">
        <v>217</v>
      </c>
      <c r="P36" s="204" t="s">
        <v>201</v>
      </c>
      <c r="Q36" s="204"/>
      <c r="S36" s="167" t="str">
        <f t="shared" si="3"/>
        <v/>
      </c>
      <c r="T36" s="167">
        <f t="shared" si="4"/>
        <v>0</v>
      </c>
      <c r="U36" s="167">
        <f t="shared" si="5"/>
        <v>0</v>
      </c>
      <c r="V36" s="167">
        <f t="shared" si="6"/>
        <v>0</v>
      </c>
      <c r="W36" s="167">
        <f t="shared" si="7"/>
        <v>0</v>
      </c>
      <c r="AC36" s="207"/>
    </row>
    <row r="37" spans="1:30" x14ac:dyDescent="0.25">
      <c r="A37" s="121" t="s">
        <v>174</v>
      </c>
      <c r="B37" s="167" t="s">
        <v>173</v>
      </c>
      <c r="D37" s="138">
        <v>178932</v>
      </c>
      <c r="E37" s="138">
        <v>2785349.9999999995</v>
      </c>
      <c r="G37" s="138">
        <v>3399708</v>
      </c>
      <c r="H37" s="138">
        <v>0</v>
      </c>
      <c r="I37" s="138">
        <v>1289895.585</v>
      </c>
      <c r="J37" s="138">
        <v>317669.16750000004</v>
      </c>
      <c r="K37" s="138">
        <v>407413.14449999999</v>
      </c>
      <c r="L37" s="138">
        <v>0</v>
      </c>
      <c r="M37" s="138">
        <v>541193.50499999989</v>
      </c>
      <c r="N37" s="135">
        <f t="shared" ref="N37:N62" si="13">SUM(G37:M37)</f>
        <v>5955879.4020000007</v>
      </c>
      <c r="O37" s="135">
        <f>-(K37+L37+M37)</f>
        <v>-948606.64949999982</v>
      </c>
      <c r="P37" s="135">
        <f>N37+O37</f>
        <v>5007272.7525000013</v>
      </c>
      <c r="R37" s="167" t="s">
        <v>173</v>
      </c>
      <c r="S37" s="167" t="str">
        <f t="shared" si="3"/>
        <v>CFFTS-1</v>
      </c>
      <c r="T37" s="167">
        <f t="shared" si="4"/>
        <v>0.11405000000000003</v>
      </c>
      <c r="U37" s="167">
        <f t="shared" si="5"/>
        <v>0.14627000000000001</v>
      </c>
      <c r="V37" s="167">
        <f t="shared" si="6"/>
        <v>0</v>
      </c>
      <c r="W37" s="167">
        <f t="shared" si="7"/>
        <v>0.1943</v>
      </c>
      <c r="Y37" s="113"/>
      <c r="Z37" s="138"/>
      <c r="AA37" s="138"/>
      <c r="AD37" s="167" t="s">
        <v>173</v>
      </c>
    </row>
    <row r="38" spans="1:30" x14ac:dyDescent="0.25">
      <c r="A38" s="121" t="s">
        <v>174</v>
      </c>
      <c r="B38" s="167" t="s">
        <v>226</v>
      </c>
      <c r="D38" s="138">
        <v>2580</v>
      </c>
      <c r="E38" s="138">
        <v>41606</v>
      </c>
      <c r="G38" s="138">
        <v>74820</v>
      </c>
      <c r="H38" s="138">
        <v>0</v>
      </c>
      <c r="I38" s="138">
        <v>0</v>
      </c>
      <c r="J38" s="138">
        <v>4745.1643000000004</v>
      </c>
      <c r="K38" s="138">
        <v>6085.7096200000005</v>
      </c>
      <c r="L38" s="138">
        <v>0</v>
      </c>
      <c r="M38" s="138">
        <v>8084.0457999999999</v>
      </c>
      <c r="N38" s="135">
        <f t="shared" si="13"/>
        <v>93734.919720000005</v>
      </c>
      <c r="O38" s="135">
        <f>-(K38+L38+M38)</f>
        <v>-14169.755420000001</v>
      </c>
      <c r="P38" s="135">
        <f>N38+O38</f>
        <v>79565.164300000004</v>
      </c>
      <c r="R38" s="167" t="s">
        <v>226</v>
      </c>
      <c r="S38" s="167" t="str">
        <f t="shared" si="3"/>
        <v>CFFTS-1 (Fixed)</v>
      </c>
      <c r="T38" s="167">
        <f t="shared" si="4"/>
        <v>0.11405000000000001</v>
      </c>
      <c r="U38" s="167">
        <f t="shared" si="5"/>
        <v>0.14627000000000001</v>
      </c>
      <c r="V38" s="167">
        <f t="shared" si="6"/>
        <v>0</v>
      </c>
      <c r="W38" s="167">
        <f t="shared" si="7"/>
        <v>0.1943</v>
      </c>
      <c r="Y38" s="113"/>
      <c r="Z38" s="138"/>
      <c r="AA38" s="138"/>
      <c r="AD38" s="167" t="s">
        <v>173</v>
      </c>
    </row>
    <row r="39" spans="1:30" x14ac:dyDescent="0.25">
      <c r="A39" s="121" t="s">
        <v>174</v>
      </c>
      <c r="B39" s="167" t="s">
        <v>227</v>
      </c>
      <c r="D39" s="138">
        <v>36</v>
      </c>
      <c r="E39" s="138">
        <v>3630889.0000000005</v>
      </c>
      <c r="G39" s="138">
        <v>108000</v>
      </c>
      <c r="H39" s="138">
        <v>0</v>
      </c>
      <c r="I39" s="138">
        <v>302017.34702000004</v>
      </c>
      <c r="J39" s="138">
        <v>268431.62377000006</v>
      </c>
      <c r="K39" s="138">
        <v>37470.77448</v>
      </c>
      <c r="L39" s="138">
        <v>0</v>
      </c>
      <c r="M39" s="138">
        <v>610352.44089999993</v>
      </c>
      <c r="N39" s="135">
        <f t="shared" si="13"/>
        <v>1326272.1861700001</v>
      </c>
      <c r="O39" s="135">
        <f t="shared" ref="O39:O62" si="14">-(K39+L39+M39)</f>
        <v>-647823.21537999995</v>
      </c>
      <c r="P39" s="135">
        <f t="shared" ref="P39:P62" si="15">N39+O39</f>
        <v>678448.97079000017</v>
      </c>
      <c r="R39" s="167" t="s">
        <v>175</v>
      </c>
      <c r="S39" s="167" t="str">
        <f t="shared" si="3"/>
        <v>CFFTS10</v>
      </c>
      <c r="T39" s="167">
        <f t="shared" si="4"/>
        <v>7.393000000000001E-2</v>
      </c>
      <c r="U39" s="167">
        <f t="shared" si="5"/>
        <v>1.0319999999999999E-2</v>
      </c>
      <c r="V39" s="167">
        <f t="shared" si="6"/>
        <v>0</v>
      </c>
      <c r="W39" s="167">
        <f t="shared" si="7"/>
        <v>0.16809999999999997</v>
      </c>
      <c r="Y39" s="113"/>
      <c r="Z39" s="138"/>
      <c r="AA39" s="138"/>
      <c r="AD39" s="167" t="s">
        <v>227</v>
      </c>
    </row>
    <row r="40" spans="1:30" x14ac:dyDescent="0.25">
      <c r="A40" s="121" t="s">
        <v>174</v>
      </c>
      <c r="B40" s="167" t="s">
        <v>228</v>
      </c>
      <c r="D40" s="138">
        <v>12</v>
      </c>
      <c r="E40" s="138">
        <v>1527249.0000000002</v>
      </c>
      <c r="G40" s="138">
        <v>66000</v>
      </c>
      <c r="H40" s="138">
        <v>0</v>
      </c>
      <c r="I40" s="138">
        <v>106556.16273000001</v>
      </c>
      <c r="J40" s="138">
        <v>81371.826720000012</v>
      </c>
      <c r="K40" s="138">
        <v>11362.73256</v>
      </c>
      <c r="L40" s="138">
        <v>0</v>
      </c>
      <c r="M40" s="138">
        <v>232600.02270000003</v>
      </c>
      <c r="N40" s="135">
        <f t="shared" si="13"/>
        <v>497890.74471000006</v>
      </c>
      <c r="O40" s="135">
        <f t="shared" si="14"/>
        <v>-243962.75526000003</v>
      </c>
      <c r="P40" s="135">
        <f t="shared" si="15"/>
        <v>253927.98945000002</v>
      </c>
      <c r="R40" s="167" t="s">
        <v>176</v>
      </c>
      <c r="S40" s="167" t="str">
        <f t="shared" si="3"/>
        <v>CFFTS11</v>
      </c>
      <c r="T40" s="167">
        <f t="shared" si="4"/>
        <v>5.3280000000000001E-2</v>
      </c>
      <c r="U40" s="167">
        <f t="shared" si="5"/>
        <v>7.4399999999999987E-3</v>
      </c>
      <c r="V40" s="167">
        <f t="shared" si="6"/>
        <v>0</v>
      </c>
      <c r="W40" s="167">
        <f t="shared" si="7"/>
        <v>0.15229999999999999</v>
      </c>
      <c r="Y40" s="113"/>
      <c r="Z40" s="138"/>
      <c r="AA40" s="138"/>
      <c r="AD40" s="167" t="s">
        <v>228</v>
      </c>
    </row>
    <row r="41" spans="1:30" x14ac:dyDescent="0.25">
      <c r="A41" s="121" t="s">
        <v>174</v>
      </c>
      <c r="B41" s="167" t="s">
        <v>229</v>
      </c>
      <c r="D41" s="138">
        <v>60</v>
      </c>
      <c r="E41" s="138">
        <v>17027034</v>
      </c>
      <c r="G41" s="138">
        <v>540000</v>
      </c>
      <c r="H41" s="138">
        <v>0</v>
      </c>
      <c r="I41" s="138">
        <v>1042701.5080920001</v>
      </c>
      <c r="J41" s="138">
        <v>631362.42072000005</v>
      </c>
      <c r="K41" s="138">
        <v>130427.08043999999</v>
      </c>
      <c r="L41" s="138">
        <v>0</v>
      </c>
      <c r="M41" s="138">
        <v>2552352.3966000001</v>
      </c>
      <c r="N41" s="135">
        <f t="shared" si="13"/>
        <v>4896843.4058520002</v>
      </c>
      <c r="O41" s="135">
        <f t="shared" si="14"/>
        <v>-2682779.4770400003</v>
      </c>
      <c r="P41" s="135">
        <f t="shared" si="15"/>
        <v>2214063.928812</v>
      </c>
      <c r="R41" s="167" t="s">
        <v>177</v>
      </c>
      <c r="S41" s="167" t="str">
        <f t="shared" si="3"/>
        <v>CFFTS12</v>
      </c>
      <c r="T41" s="167">
        <f t="shared" si="4"/>
        <v>3.7080000000000002E-2</v>
      </c>
      <c r="U41" s="167">
        <f t="shared" si="5"/>
        <v>7.6599999999999993E-3</v>
      </c>
      <c r="V41" s="167">
        <f t="shared" si="6"/>
        <v>0</v>
      </c>
      <c r="W41" s="167">
        <f t="shared" si="7"/>
        <v>0.14990000000000001</v>
      </c>
      <c r="Y41" s="113"/>
      <c r="Z41" s="138"/>
      <c r="AA41" s="138"/>
      <c r="AD41" s="167" t="s">
        <v>229</v>
      </c>
    </row>
    <row r="42" spans="1:30" x14ac:dyDescent="0.25">
      <c r="A42" s="121" t="s">
        <v>174</v>
      </c>
      <c r="B42" s="167" t="s">
        <v>178</v>
      </c>
      <c r="D42" s="138">
        <v>10224</v>
      </c>
      <c r="E42" s="138">
        <v>531471</v>
      </c>
      <c r="G42" s="138">
        <v>347616</v>
      </c>
      <c r="H42" s="138">
        <v>0</v>
      </c>
      <c r="I42" s="138">
        <v>169858.13159999996</v>
      </c>
      <c r="J42" s="138">
        <v>82569.334560000003</v>
      </c>
      <c r="K42" s="138">
        <v>43118.242229999996</v>
      </c>
      <c r="L42" s="138">
        <v>0</v>
      </c>
      <c r="M42" s="138">
        <v>109057.8492</v>
      </c>
      <c r="N42" s="135">
        <f t="shared" si="13"/>
        <v>752219.55758999987</v>
      </c>
      <c r="O42" s="135">
        <f t="shared" si="14"/>
        <v>-152176.09143</v>
      </c>
      <c r="P42" s="135">
        <f t="shared" si="15"/>
        <v>600043.46615999984</v>
      </c>
      <c r="R42" s="167" t="s">
        <v>178</v>
      </c>
      <c r="S42" s="167" t="str">
        <f t="shared" si="3"/>
        <v>CFFTS-2</v>
      </c>
      <c r="T42" s="167">
        <f t="shared" si="4"/>
        <v>0.15536</v>
      </c>
      <c r="U42" s="167">
        <f t="shared" si="5"/>
        <v>8.1129999999999994E-2</v>
      </c>
      <c r="V42" s="167">
        <f t="shared" si="6"/>
        <v>0</v>
      </c>
      <c r="W42" s="167">
        <f t="shared" si="7"/>
        <v>0.20519999999999999</v>
      </c>
      <c r="Y42" s="113"/>
      <c r="Z42" s="138"/>
      <c r="AA42" s="138"/>
      <c r="AD42" s="167" t="s">
        <v>178</v>
      </c>
    </row>
    <row r="43" spans="1:30" x14ac:dyDescent="0.25">
      <c r="A43" s="121" t="s">
        <v>174</v>
      </c>
      <c r="B43" s="167" t="s">
        <v>230</v>
      </c>
      <c r="D43" s="138">
        <v>312</v>
      </c>
      <c r="E43" s="138">
        <v>14677</v>
      </c>
      <c r="G43" s="138">
        <v>14976</v>
      </c>
      <c r="H43" s="138">
        <v>0</v>
      </c>
      <c r="I43" s="138">
        <v>0</v>
      </c>
      <c r="J43" s="138">
        <v>2280.2187199999998</v>
      </c>
      <c r="K43" s="138">
        <v>1190.7450100000001</v>
      </c>
      <c r="L43" s="138">
        <v>0</v>
      </c>
      <c r="M43" s="138">
        <v>3011.7204000000006</v>
      </c>
      <c r="N43" s="135">
        <f t="shared" si="13"/>
        <v>21458.684130000001</v>
      </c>
      <c r="O43" s="135">
        <f t="shared" si="14"/>
        <v>-4202.4654100000007</v>
      </c>
      <c r="P43" s="135">
        <f t="shared" si="15"/>
        <v>17256.218720000001</v>
      </c>
      <c r="R43" s="167" t="s">
        <v>230</v>
      </c>
      <c r="S43" s="167" t="str">
        <f t="shared" si="3"/>
        <v>CFFTS-2 (Fixed)</v>
      </c>
      <c r="T43" s="167">
        <f t="shared" si="4"/>
        <v>0.15536</v>
      </c>
      <c r="U43" s="167">
        <f t="shared" si="5"/>
        <v>8.1130000000000008E-2</v>
      </c>
      <c r="V43" s="167">
        <f t="shared" si="6"/>
        <v>0</v>
      </c>
      <c r="W43" s="167">
        <f t="shared" si="7"/>
        <v>0.20520000000000005</v>
      </c>
      <c r="Y43" s="113"/>
      <c r="Z43" s="138"/>
      <c r="AA43" s="138"/>
      <c r="AD43" s="167" t="s">
        <v>178</v>
      </c>
    </row>
    <row r="44" spans="1:30" x14ac:dyDescent="0.25">
      <c r="A44" s="121" t="s">
        <v>174</v>
      </c>
      <c r="B44" s="167" t="s">
        <v>231</v>
      </c>
      <c r="D44" s="138">
        <v>8328</v>
      </c>
      <c r="E44" s="138">
        <v>825050.00000000012</v>
      </c>
      <c r="G44" s="138">
        <v>333120</v>
      </c>
      <c r="H44" s="138">
        <v>0</v>
      </c>
      <c r="I44" s="138">
        <v>254338.1635</v>
      </c>
      <c r="J44" s="138">
        <v>131446.96599999999</v>
      </c>
      <c r="K44" s="138">
        <v>47984.90800000001</v>
      </c>
      <c r="L44" s="138">
        <v>0</v>
      </c>
      <c r="M44" s="138">
        <v>158079.58000000002</v>
      </c>
      <c r="N44" s="135">
        <f t="shared" si="13"/>
        <v>924969.61750000017</v>
      </c>
      <c r="O44" s="135">
        <f t="shared" si="14"/>
        <v>-206064.48800000001</v>
      </c>
      <c r="P44" s="135">
        <f t="shared" si="15"/>
        <v>718905.12950000016</v>
      </c>
      <c r="R44" s="167" t="s">
        <v>179</v>
      </c>
      <c r="S44" s="167" t="str">
        <f t="shared" si="3"/>
        <v>CFFTS21</v>
      </c>
      <c r="T44" s="167">
        <f t="shared" si="4"/>
        <v>0.15931999999999996</v>
      </c>
      <c r="U44" s="167">
        <f t="shared" si="5"/>
        <v>5.8160000000000003E-2</v>
      </c>
      <c r="V44" s="167">
        <f t="shared" si="6"/>
        <v>0</v>
      </c>
      <c r="W44" s="167">
        <f t="shared" si="7"/>
        <v>0.19159999999999999</v>
      </c>
      <c r="Y44" s="113"/>
      <c r="Z44" s="138"/>
      <c r="AA44" s="138"/>
      <c r="AD44" s="167" t="s">
        <v>231</v>
      </c>
    </row>
    <row r="45" spans="1:30" x14ac:dyDescent="0.25">
      <c r="A45" s="121" t="s">
        <v>174</v>
      </c>
      <c r="B45" s="167" t="s">
        <v>232</v>
      </c>
      <c r="D45" s="138">
        <v>216</v>
      </c>
      <c r="E45" s="138">
        <v>26635.000000000007</v>
      </c>
      <c r="G45" s="138">
        <v>18792</v>
      </c>
      <c r="H45" s="138">
        <v>0</v>
      </c>
      <c r="I45" s="138">
        <v>0</v>
      </c>
      <c r="J45" s="138">
        <v>4243.4881999999998</v>
      </c>
      <c r="K45" s="138">
        <v>1549.0916000000002</v>
      </c>
      <c r="L45" s="138">
        <v>0</v>
      </c>
      <c r="M45" s="138">
        <v>5103.2660000000005</v>
      </c>
      <c r="N45" s="135">
        <f t="shared" si="13"/>
        <v>29687.845799999999</v>
      </c>
      <c r="O45" s="135">
        <f t="shared" si="14"/>
        <v>-6652.3576000000012</v>
      </c>
      <c r="P45" s="135">
        <f t="shared" si="15"/>
        <v>23035.4882</v>
      </c>
      <c r="R45" s="167" t="s">
        <v>232</v>
      </c>
      <c r="S45" s="167" t="str">
        <f t="shared" si="3"/>
        <v>CFFTS-2.1 (Fixed)</v>
      </c>
      <c r="T45" s="167">
        <f t="shared" si="4"/>
        <v>0.15931999999999996</v>
      </c>
      <c r="U45" s="167">
        <f t="shared" si="5"/>
        <v>5.8159999999999989E-2</v>
      </c>
      <c r="V45" s="167">
        <f t="shared" si="6"/>
        <v>0</v>
      </c>
      <c r="W45" s="167">
        <f t="shared" si="7"/>
        <v>0.19159999999999996</v>
      </c>
      <c r="Y45" s="113"/>
      <c r="Z45" s="138"/>
      <c r="AA45" s="138"/>
      <c r="AD45" s="167" t="s">
        <v>231</v>
      </c>
    </row>
    <row r="46" spans="1:30" x14ac:dyDescent="0.25">
      <c r="A46" s="121" t="s">
        <v>174</v>
      </c>
      <c r="B46" s="167" t="s">
        <v>180</v>
      </c>
      <c r="D46" s="138">
        <v>3852</v>
      </c>
      <c r="E46" s="138">
        <v>1195569</v>
      </c>
      <c r="G46" s="138">
        <v>416016</v>
      </c>
      <c r="H46" s="138">
        <v>0</v>
      </c>
      <c r="I46" s="138">
        <v>288156.04038000002</v>
      </c>
      <c r="J46" s="138">
        <v>71112.44412</v>
      </c>
      <c r="K46" s="138">
        <v>60017.563800000011</v>
      </c>
      <c r="L46" s="138">
        <v>0</v>
      </c>
      <c r="M46" s="138">
        <v>188660.78820000007</v>
      </c>
      <c r="N46" s="135">
        <f t="shared" si="13"/>
        <v>1023962.8365000001</v>
      </c>
      <c r="O46" s="135">
        <f t="shared" si="14"/>
        <v>-248678.35200000007</v>
      </c>
      <c r="P46" s="135">
        <f t="shared" si="15"/>
        <v>775284.48450000002</v>
      </c>
      <c r="R46" s="167" t="s">
        <v>180</v>
      </c>
      <c r="S46" s="167" t="str">
        <f t="shared" si="3"/>
        <v>CFFTS-3</v>
      </c>
      <c r="T46" s="167">
        <f t="shared" si="4"/>
        <v>5.9479999999999998E-2</v>
      </c>
      <c r="U46" s="167">
        <f t="shared" si="5"/>
        <v>5.0200000000000009E-2</v>
      </c>
      <c r="V46" s="167">
        <f t="shared" si="6"/>
        <v>0</v>
      </c>
      <c r="W46" s="167">
        <f t="shared" si="7"/>
        <v>0.15780000000000005</v>
      </c>
      <c r="Y46" s="113"/>
      <c r="Z46" s="138"/>
      <c r="AA46" s="138"/>
      <c r="AD46" s="167" t="s">
        <v>180</v>
      </c>
    </row>
    <row r="47" spans="1:30" x14ac:dyDescent="0.25">
      <c r="A47" s="121" t="s">
        <v>174</v>
      </c>
      <c r="B47" s="167" t="s">
        <v>233</v>
      </c>
      <c r="D47" s="138">
        <v>216</v>
      </c>
      <c r="E47" s="138">
        <v>62897.999999999993</v>
      </c>
      <c r="G47" s="138">
        <v>34992</v>
      </c>
      <c r="H47" s="138">
        <v>0</v>
      </c>
      <c r="I47" s="138">
        <v>0</v>
      </c>
      <c r="J47" s="138">
        <v>3741.1730399999997</v>
      </c>
      <c r="K47" s="138">
        <v>3157.4796000000006</v>
      </c>
      <c r="L47" s="138">
        <v>0</v>
      </c>
      <c r="M47" s="138">
        <v>9925.3043999999991</v>
      </c>
      <c r="N47" s="135">
        <f t="shared" si="13"/>
        <v>51815.957040000001</v>
      </c>
      <c r="O47" s="135">
        <f t="shared" si="14"/>
        <v>-13082.784</v>
      </c>
      <c r="P47" s="135">
        <f t="shared" si="15"/>
        <v>38733.173040000001</v>
      </c>
      <c r="R47" s="167" t="s">
        <v>233</v>
      </c>
      <c r="S47" s="167" t="str">
        <f t="shared" si="3"/>
        <v>CFFTS-3 (Fixed)</v>
      </c>
      <c r="T47" s="167">
        <f t="shared" si="4"/>
        <v>5.9480000000000005E-2</v>
      </c>
      <c r="U47" s="167">
        <f t="shared" si="5"/>
        <v>5.0200000000000015E-2</v>
      </c>
      <c r="V47" s="167">
        <f t="shared" si="6"/>
        <v>0</v>
      </c>
      <c r="W47" s="167">
        <f t="shared" si="7"/>
        <v>0.1578</v>
      </c>
      <c r="Y47" s="113"/>
      <c r="Z47" s="138"/>
      <c r="AA47" s="138"/>
      <c r="AD47" s="167" t="s">
        <v>180</v>
      </c>
    </row>
    <row r="48" spans="1:30" x14ac:dyDescent="0.25">
      <c r="A48" s="121" t="s">
        <v>174</v>
      </c>
      <c r="B48" s="167" t="s">
        <v>234</v>
      </c>
      <c r="D48" s="138">
        <v>3912</v>
      </c>
      <c r="E48" s="138">
        <v>2302095.0000000005</v>
      </c>
      <c r="G48" s="138">
        <v>524208</v>
      </c>
      <c r="H48" s="138">
        <v>0</v>
      </c>
      <c r="I48" s="138">
        <v>469236.02385000006</v>
      </c>
      <c r="J48" s="138">
        <v>173877.23535</v>
      </c>
      <c r="K48" s="138">
        <v>84532.928400000004</v>
      </c>
      <c r="L48" s="138">
        <v>0</v>
      </c>
      <c r="M48" s="138">
        <v>365802.8955000001</v>
      </c>
      <c r="N48" s="135">
        <f t="shared" si="13"/>
        <v>1617657.0831000002</v>
      </c>
      <c r="O48" s="135">
        <f t="shared" si="14"/>
        <v>-450335.82390000008</v>
      </c>
      <c r="P48" s="135">
        <f t="shared" si="15"/>
        <v>1167321.2592000002</v>
      </c>
      <c r="R48" s="167" t="s">
        <v>181</v>
      </c>
      <c r="S48" s="167" t="str">
        <f t="shared" si="3"/>
        <v>CFFTS31</v>
      </c>
      <c r="T48" s="167">
        <f t="shared" si="4"/>
        <v>7.5529999999999986E-2</v>
      </c>
      <c r="U48" s="167">
        <f t="shared" si="5"/>
        <v>3.6719999999999996E-2</v>
      </c>
      <c r="V48" s="167">
        <f t="shared" si="6"/>
        <v>0</v>
      </c>
      <c r="W48" s="167">
        <f t="shared" si="7"/>
        <v>0.15890000000000001</v>
      </c>
      <c r="Y48" s="113"/>
      <c r="Z48" s="138"/>
      <c r="AA48" s="138"/>
      <c r="AD48" s="167" t="s">
        <v>234</v>
      </c>
    </row>
    <row r="49" spans="1:30" x14ac:dyDescent="0.25">
      <c r="A49" s="121" t="s">
        <v>174</v>
      </c>
      <c r="B49" s="167" t="s">
        <v>235</v>
      </c>
      <c r="D49" s="138">
        <v>84</v>
      </c>
      <c r="E49" s="138">
        <v>46047.000000000007</v>
      </c>
      <c r="G49" s="138">
        <v>22092</v>
      </c>
      <c r="H49" s="138">
        <v>0</v>
      </c>
      <c r="I49" s="138">
        <v>0</v>
      </c>
      <c r="J49" s="138">
        <v>3477.9299100000003</v>
      </c>
      <c r="K49" s="138">
        <v>1690.8458400000002</v>
      </c>
      <c r="L49" s="138">
        <v>0</v>
      </c>
      <c r="M49" s="138">
        <v>7316.8683000000019</v>
      </c>
      <c r="N49" s="135">
        <f t="shared" si="13"/>
        <v>34577.644050000003</v>
      </c>
      <c r="O49" s="135">
        <f t="shared" si="14"/>
        <v>-9007.7141400000019</v>
      </c>
      <c r="P49" s="135">
        <f t="shared" si="15"/>
        <v>25569.929909999999</v>
      </c>
      <c r="R49" s="167" t="s">
        <v>235</v>
      </c>
      <c r="S49" s="167" t="str">
        <f t="shared" si="3"/>
        <v>CFFTS-3.1 (Fixed)</v>
      </c>
      <c r="T49" s="167">
        <f t="shared" si="4"/>
        <v>7.553E-2</v>
      </c>
      <c r="U49" s="167">
        <f t="shared" si="5"/>
        <v>3.6719999999999996E-2</v>
      </c>
      <c r="V49" s="167">
        <f t="shared" si="6"/>
        <v>0</v>
      </c>
      <c r="W49" s="167">
        <f t="shared" si="7"/>
        <v>0.15890000000000001</v>
      </c>
      <c r="Y49" s="113"/>
      <c r="Z49" s="138"/>
      <c r="AA49" s="138"/>
      <c r="AD49" s="167" t="s">
        <v>234</v>
      </c>
    </row>
    <row r="50" spans="1:30" x14ac:dyDescent="0.25">
      <c r="A50" s="121" t="s">
        <v>174</v>
      </c>
      <c r="B50" s="167" t="s">
        <v>182</v>
      </c>
      <c r="D50" s="138">
        <v>2652</v>
      </c>
      <c r="E50" s="138">
        <v>3150446.9999999995</v>
      </c>
      <c r="G50" s="138">
        <v>556920</v>
      </c>
      <c r="H50" s="138">
        <v>0</v>
      </c>
      <c r="I50" s="138">
        <v>595434.48299999989</v>
      </c>
      <c r="J50" s="138">
        <v>264038.96306999994</v>
      </c>
      <c r="K50" s="138">
        <v>96718.722900000008</v>
      </c>
      <c r="L50" s="138">
        <v>0</v>
      </c>
      <c r="M50" s="138">
        <v>518563.57619999995</v>
      </c>
      <c r="N50" s="135">
        <f t="shared" si="13"/>
        <v>2031675.74517</v>
      </c>
      <c r="O50" s="135">
        <f t="shared" si="14"/>
        <v>-615282.29909999995</v>
      </c>
      <c r="P50" s="135">
        <f t="shared" si="15"/>
        <v>1416393.4460700001</v>
      </c>
      <c r="R50" s="167" t="s">
        <v>182</v>
      </c>
      <c r="S50" s="167" t="str">
        <f t="shared" si="3"/>
        <v>CFFTS-4</v>
      </c>
      <c r="T50" s="167">
        <f t="shared" si="4"/>
        <v>8.3809999999999996E-2</v>
      </c>
      <c r="U50" s="167">
        <f t="shared" si="5"/>
        <v>3.0700000000000009E-2</v>
      </c>
      <c r="V50" s="167">
        <f t="shared" si="6"/>
        <v>0</v>
      </c>
      <c r="W50" s="167">
        <f t="shared" si="7"/>
        <v>0.1646</v>
      </c>
      <c r="Y50" s="113"/>
      <c r="Z50" s="138"/>
      <c r="AA50" s="138"/>
      <c r="AD50" s="167" t="s">
        <v>182</v>
      </c>
    </row>
    <row r="51" spans="1:30" x14ac:dyDescent="0.25">
      <c r="A51" s="121" t="s">
        <v>174</v>
      </c>
      <c r="B51" s="167" t="s">
        <v>183</v>
      </c>
      <c r="D51" s="138">
        <v>432</v>
      </c>
      <c r="E51" s="138">
        <v>1046614</v>
      </c>
      <c r="G51" s="138">
        <v>164160</v>
      </c>
      <c r="H51" s="138">
        <v>0</v>
      </c>
      <c r="I51" s="138">
        <v>173528.60119999998</v>
      </c>
      <c r="J51" s="138">
        <v>94059.200179999985</v>
      </c>
      <c r="K51" s="138">
        <v>28059.721339999996</v>
      </c>
      <c r="L51" s="138">
        <v>0</v>
      </c>
      <c r="M51" s="138">
        <v>166202.30319999997</v>
      </c>
      <c r="N51" s="135">
        <f t="shared" si="13"/>
        <v>626009.82591999997</v>
      </c>
      <c r="O51" s="135">
        <f t="shared" si="14"/>
        <v>-194262.02453999995</v>
      </c>
      <c r="P51" s="135">
        <f t="shared" si="15"/>
        <v>431747.80138000002</v>
      </c>
      <c r="R51" s="167" t="s">
        <v>183</v>
      </c>
      <c r="S51" s="167" t="str">
        <f t="shared" si="3"/>
        <v>CFFTS-5</v>
      </c>
      <c r="T51" s="167">
        <f t="shared" si="4"/>
        <v>8.9869999999999992E-2</v>
      </c>
      <c r="U51" s="167">
        <f t="shared" si="5"/>
        <v>2.6809999999999997E-2</v>
      </c>
      <c r="V51" s="167">
        <f t="shared" si="6"/>
        <v>0</v>
      </c>
      <c r="W51" s="167">
        <f t="shared" si="7"/>
        <v>0.15879999999999997</v>
      </c>
      <c r="Y51" s="113"/>
      <c r="Z51" s="138"/>
      <c r="AA51" s="138"/>
      <c r="AD51" s="167" t="s">
        <v>183</v>
      </c>
    </row>
    <row r="52" spans="1:30" x14ac:dyDescent="0.25">
      <c r="A52" s="121" t="s">
        <v>174</v>
      </c>
      <c r="B52" s="167" t="s">
        <v>184</v>
      </c>
      <c r="D52" s="138">
        <v>360</v>
      </c>
      <c r="E52" s="138">
        <v>2481663</v>
      </c>
      <c r="G52" s="138">
        <v>216000</v>
      </c>
      <c r="H52" s="138">
        <v>0</v>
      </c>
      <c r="I52" s="138">
        <v>375649.32831000001</v>
      </c>
      <c r="J52" s="138">
        <v>143142.32184000002</v>
      </c>
      <c r="K52" s="138">
        <v>53728.003949999998</v>
      </c>
      <c r="L52" s="138">
        <v>0</v>
      </c>
      <c r="M52" s="138">
        <v>395080.74960000004</v>
      </c>
      <c r="N52" s="135">
        <f t="shared" si="13"/>
        <v>1183600.4037000001</v>
      </c>
      <c r="O52" s="135">
        <f t="shared" si="14"/>
        <v>-448808.75355000002</v>
      </c>
      <c r="P52" s="135">
        <f t="shared" si="15"/>
        <v>734791.65015000012</v>
      </c>
      <c r="R52" s="167" t="s">
        <v>184</v>
      </c>
      <c r="S52" s="167" t="str">
        <f t="shared" si="3"/>
        <v>CFFTS-6</v>
      </c>
      <c r="T52" s="167">
        <f t="shared" si="4"/>
        <v>5.7680000000000009E-2</v>
      </c>
      <c r="U52" s="167">
        <f t="shared" si="5"/>
        <v>2.1649999999999999E-2</v>
      </c>
      <c r="V52" s="167">
        <f t="shared" si="6"/>
        <v>0</v>
      </c>
      <c r="W52" s="167">
        <f t="shared" si="7"/>
        <v>0.15920000000000001</v>
      </c>
      <c r="Y52" s="113"/>
      <c r="Z52" s="138"/>
      <c r="AA52" s="138"/>
      <c r="AD52" s="167" t="s">
        <v>184</v>
      </c>
    </row>
    <row r="53" spans="1:30" x14ac:dyDescent="0.25">
      <c r="A53" s="121" t="s">
        <v>174</v>
      </c>
      <c r="B53" s="167" t="s">
        <v>185</v>
      </c>
      <c r="D53" s="138">
        <v>312</v>
      </c>
      <c r="E53" s="138">
        <v>4294439</v>
      </c>
      <c r="G53" s="138">
        <v>218400</v>
      </c>
      <c r="H53" s="138">
        <v>0</v>
      </c>
      <c r="I53" s="138">
        <v>528215.99700000009</v>
      </c>
      <c r="J53" s="138">
        <v>331358.91324000002</v>
      </c>
      <c r="K53" s="138">
        <v>63815.363539999998</v>
      </c>
      <c r="L53" s="138">
        <v>0</v>
      </c>
      <c r="M53" s="138">
        <v>668644.15230000007</v>
      </c>
      <c r="N53" s="135">
        <f t="shared" si="13"/>
        <v>1810434.4260800001</v>
      </c>
      <c r="O53" s="135">
        <f t="shared" si="14"/>
        <v>-732459.51584000012</v>
      </c>
      <c r="P53" s="135">
        <f t="shared" si="15"/>
        <v>1077974.9102400001</v>
      </c>
      <c r="R53" s="167" t="s">
        <v>185</v>
      </c>
      <c r="S53" s="167" t="str">
        <f t="shared" si="3"/>
        <v>CFFTS-7</v>
      </c>
      <c r="T53" s="167">
        <f t="shared" si="4"/>
        <v>7.7160000000000006E-2</v>
      </c>
      <c r="U53" s="167">
        <f t="shared" si="5"/>
        <v>1.486E-2</v>
      </c>
      <c r="V53" s="167">
        <f t="shared" si="6"/>
        <v>0</v>
      </c>
      <c r="W53" s="167">
        <f t="shared" si="7"/>
        <v>0.15570000000000001</v>
      </c>
      <c r="Y53" s="113"/>
      <c r="Z53" s="138"/>
      <c r="AA53" s="138"/>
      <c r="AD53" s="167" t="s">
        <v>185</v>
      </c>
    </row>
    <row r="54" spans="1:30" x14ac:dyDescent="0.25">
      <c r="A54" s="121" t="s">
        <v>174</v>
      </c>
      <c r="B54" s="167" t="s">
        <v>186</v>
      </c>
      <c r="D54" s="138">
        <v>228</v>
      </c>
      <c r="E54" s="138">
        <v>5498095.9999999991</v>
      </c>
      <c r="G54" s="138">
        <v>273600</v>
      </c>
      <c r="H54" s="138">
        <v>0</v>
      </c>
      <c r="I54" s="138">
        <v>606110.10303999996</v>
      </c>
      <c r="J54" s="138">
        <v>457331.62527999998</v>
      </c>
      <c r="K54" s="138">
        <v>73509.543520000007</v>
      </c>
      <c r="L54" s="138">
        <v>0</v>
      </c>
      <c r="M54" s="138">
        <v>838459.6399999999</v>
      </c>
      <c r="N54" s="135">
        <f t="shared" si="13"/>
        <v>2249010.9118400002</v>
      </c>
      <c r="O54" s="135">
        <f t="shared" si="14"/>
        <v>-911969.18351999996</v>
      </c>
      <c r="P54" s="135">
        <f t="shared" si="15"/>
        <v>1337041.7283200002</v>
      </c>
      <c r="R54" s="167" t="s">
        <v>186</v>
      </c>
      <c r="S54" s="167" t="str">
        <f t="shared" si="3"/>
        <v>CFFTS-8</v>
      </c>
      <c r="T54" s="167">
        <f t="shared" si="4"/>
        <v>8.3180000000000004E-2</v>
      </c>
      <c r="U54" s="167">
        <f t="shared" si="5"/>
        <v>1.3370000000000003E-2</v>
      </c>
      <c r="V54" s="167">
        <f t="shared" si="6"/>
        <v>0</v>
      </c>
      <c r="W54" s="167">
        <f t="shared" si="7"/>
        <v>0.1525</v>
      </c>
      <c r="Y54" s="113"/>
      <c r="Z54" s="138"/>
      <c r="AA54" s="138"/>
      <c r="AD54" s="167" t="s">
        <v>186</v>
      </c>
    </row>
    <row r="55" spans="1:30" x14ac:dyDescent="0.25">
      <c r="A55" s="121" t="s">
        <v>174</v>
      </c>
      <c r="B55" s="167" t="s">
        <v>187</v>
      </c>
      <c r="D55" s="138">
        <v>84</v>
      </c>
      <c r="E55" s="138">
        <v>3703323.0000000005</v>
      </c>
      <c r="G55" s="138">
        <v>168000</v>
      </c>
      <c r="H55" s="138">
        <v>0</v>
      </c>
      <c r="I55" s="138">
        <v>338224.48959000007</v>
      </c>
      <c r="J55" s="138">
        <v>477728.66700000007</v>
      </c>
      <c r="K55" s="138">
        <v>41551.284060000005</v>
      </c>
      <c r="L55" s="138">
        <v>0</v>
      </c>
      <c r="M55" s="138">
        <v>552165.4593000001</v>
      </c>
      <c r="N55" s="135">
        <f t="shared" si="13"/>
        <v>1577669.8999500002</v>
      </c>
      <c r="O55" s="135">
        <f t="shared" si="14"/>
        <v>-593716.74336000008</v>
      </c>
      <c r="P55" s="135">
        <f t="shared" si="15"/>
        <v>983953.15659000014</v>
      </c>
      <c r="R55" s="167" t="s">
        <v>187</v>
      </c>
      <c r="S55" s="167" t="str">
        <f t="shared" si="3"/>
        <v>CFFTS-9</v>
      </c>
      <c r="T55" s="167">
        <f t="shared" si="4"/>
        <v>0.129</v>
      </c>
      <c r="U55" s="167">
        <f t="shared" si="5"/>
        <v>1.1220000000000001E-2</v>
      </c>
      <c r="V55" s="167">
        <f t="shared" si="6"/>
        <v>0</v>
      </c>
      <c r="W55" s="167">
        <f t="shared" si="7"/>
        <v>0.14910000000000001</v>
      </c>
      <c r="Y55" s="113"/>
      <c r="Z55" s="138"/>
      <c r="AA55" s="138"/>
      <c r="AD55" s="167" t="s">
        <v>187</v>
      </c>
    </row>
    <row r="56" spans="1:30" x14ac:dyDescent="0.25">
      <c r="A56" s="121" t="s">
        <v>174</v>
      </c>
      <c r="B56" s="167" t="s">
        <v>188</v>
      </c>
      <c r="D56" s="138">
        <v>13344</v>
      </c>
      <c r="E56" s="138">
        <v>90363.999999999971</v>
      </c>
      <c r="G56" s="138">
        <v>173472</v>
      </c>
      <c r="H56" s="138">
        <v>0</v>
      </c>
      <c r="I56" s="138">
        <v>41890.943119999989</v>
      </c>
      <c r="J56" s="138">
        <v>64435.857479999984</v>
      </c>
      <c r="K56" s="138">
        <v>19132.769719999997</v>
      </c>
      <c r="L56" s="138">
        <v>0</v>
      </c>
      <c r="M56" s="138">
        <v>16148.046799999996</v>
      </c>
      <c r="N56" s="135">
        <f t="shared" si="13"/>
        <v>315079.61711999995</v>
      </c>
      <c r="O56" s="135">
        <f t="shared" si="14"/>
        <v>-35280.816519999993</v>
      </c>
      <c r="P56" s="135">
        <f t="shared" si="15"/>
        <v>279798.80059999996</v>
      </c>
      <c r="R56" s="167" t="s">
        <v>188</v>
      </c>
      <c r="S56" s="167" t="str">
        <f t="shared" si="3"/>
        <v>CFFTS-A</v>
      </c>
      <c r="T56" s="167">
        <f t="shared" si="4"/>
        <v>0.71307000000000009</v>
      </c>
      <c r="U56" s="167">
        <f t="shared" si="5"/>
        <v>0.21173000000000003</v>
      </c>
      <c r="V56" s="167">
        <f t="shared" si="6"/>
        <v>0</v>
      </c>
      <c r="W56" s="167">
        <f t="shared" si="7"/>
        <v>0.17870000000000003</v>
      </c>
      <c r="Y56" s="113"/>
      <c r="Z56" s="138"/>
      <c r="AA56" s="138"/>
      <c r="AD56" s="167" t="s">
        <v>188</v>
      </c>
    </row>
    <row r="57" spans="1:30" x14ac:dyDescent="0.25">
      <c r="A57" s="121" t="s">
        <v>174</v>
      </c>
      <c r="B57" s="167" t="s">
        <v>236</v>
      </c>
      <c r="D57" s="138">
        <v>360</v>
      </c>
      <c r="E57" s="138">
        <v>2568.0000000000005</v>
      </c>
      <c r="G57" s="138">
        <v>6120</v>
      </c>
      <c r="H57" s="138">
        <v>0</v>
      </c>
      <c r="I57" s="138">
        <v>0</v>
      </c>
      <c r="J57" s="138">
        <v>1831.1637599999997</v>
      </c>
      <c r="K57" s="138">
        <v>543.72263999999996</v>
      </c>
      <c r="L57" s="138">
        <v>0</v>
      </c>
      <c r="M57" s="138">
        <v>458.90159999999997</v>
      </c>
      <c r="N57" s="135">
        <f t="shared" si="13"/>
        <v>8953.7879999999986</v>
      </c>
      <c r="O57" s="135">
        <f t="shared" si="14"/>
        <v>-1002.6242399999999</v>
      </c>
      <c r="P57" s="135">
        <f t="shared" si="15"/>
        <v>7951.1637599999985</v>
      </c>
      <c r="R57" s="167" t="s">
        <v>236</v>
      </c>
      <c r="S57" s="167" t="str">
        <f t="shared" si="3"/>
        <v>CFFTS-A (Fixed)</v>
      </c>
      <c r="T57" s="167">
        <f t="shared" si="4"/>
        <v>0.71306999999999976</v>
      </c>
      <c r="U57" s="167">
        <f t="shared" si="5"/>
        <v>0.21172999999999995</v>
      </c>
      <c r="V57" s="167">
        <f t="shared" si="6"/>
        <v>0</v>
      </c>
      <c r="W57" s="167">
        <f t="shared" si="7"/>
        <v>0.17869999999999997</v>
      </c>
      <c r="Y57" s="113"/>
      <c r="Z57" s="138"/>
      <c r="AA57" s="138"/>
      <c r="AD57" s="167" t="s">
        <v>188</v>
      </c>
    </row>
    <row r="58" spans="1:30" ht="15.75" x14ac:dyDescent="0.25">
      <c r="A58" s="121" t="s">
        <v>174</v>
      </c>
      <c r="B58" s="167" t="s">
        <v>237</v>
      </c>
      <c r="D58" s="138">
        <v>26484</v>
      </c>
      <c r="E58" s="138">
        <v>283541.99999999994</v>
      </c>
      <c r="G58" s="138">
        <v>410502</v>
      </c>
      <c r="H58" s="138">
        <v>0</v>
      </c>
      <c r="I58" s="138">
        <v>139746.51011999999</v>
      </c>
      <c r="J58" s="138">
        <v>60984.213359999965</v>
      </c>
      <c r="K58" s="138">
        <v>46583.115179999993</v>
      </c>
      <c r="L58" s="138">
        <v>0</v>
      </c>
      <c r="M58" s="138">
        <v>50782.372199999983</v>
      </c>
      <c r="N58" s="135">
        <f t="shared" si="13"/>
        <v>708598.21085999988</v>
      </c>
      <c r="O58" s="135">
        <f t="shared" si="14"/>
        <v>-97365.487379999977</v>
      </c>
      <c r="P58" s="135">
        <f t="shared" si="15"/>
        <v>611232.72347999993</v>
      </c>
      <c r="R58" s="167" t="s">
        <v>189</v>
      </c>
      <c r="S58" s="167" t="str">
        <f t="shared" si="3"/>
        <v>CFFTS-B</v>
      </c>
      <c r="T58" s="167">
        <f t="shared" si="4"/>
        <v>0.21507999999999991</v>
      </c>
      <c r="U58" s="167">
        <f t="shared" si="5"/>
        <v>0.16429000000000002</v>
      </c>
      <c r="V58" s="167">
        <f t="shared" si="6"/>
        <v>0</v>
      </c>
      <c r="W58" s="167">
        <f t="shared" si="7"/>
        <v>0.17909999999999998</v>
      </c>
      <c r="Y58" s="113"/>
      <c r="Z58" s="138"/>
      <c r="AA58" s="138"/>
      <c r="AD58" s="217" t="s">
        <v>189</v>
      </c>
    </row>
    <row r="59" spans="1:30" ht="15.75" x14ac:dyDescent="0.25">
      <c r="A59" s="121" t="s">
        <v>174</v>
      </c>
      <c r="B59" s="167" t="s">
        <v>238</v>
      </c>
      <c r="D59" s="138">
        <v>744</v>
      </c>
      <c r="E59" s="138">
        <v>8028</v>
      </c>
      <c r="G59" s="138">
        <v>17112</v>
      </c>
      <c r="H59" s="138">
        <v>0</v>
      </c>
      <c r="I59" s="138">
        <v>0</v>
      </c>
      <c r="J59" s="138">
        <v>1726.6622399999999</v>
      </c>
      <c r="K59" s="138">
        <v>1318.9201199999998</v>
      </c>
      <c r="L59" s="138">
        <v>0</v>
      </c>
      <c r="M59" s="138">
        <v>1437.8148000000003</v>
      </c>
      <c r="N59" s="135">
        <f t="shared" si="13"/>
        <v>21595.39716</v>
      </c>
      <c r="O59" s="135">
        <f t="shared" si="14"/>
        <v>-2756.7349199999999</v>
      </c>
      <c r="P59" s="135">
        <f t="shared" si="15"/>
        <v>18838.662240000001</v>
      </c>
      <c r="R59" s="167" t="s">
        <v>238</v>
      </c>
      <c r="S59" s="167" t="str">
        <f t="shared" si="3"/>
        <v>CFFTS-B (Fixed)</v>
      </c>
      <c r="T59" s="167">
        <f t="shared" si="4"/>
        <v>0.21507999999999999</v>
      </c>
      <c r="U59" s="167">
        <f t="shared" si="5"/>
        <v>0.16428999999999996</v>
      </c>
      <c r="V59" s="167">
        <f t="shared" si="6"/>
        <v>0</v>
      </c>
      <c r="W59" s="167">
        <f t="shared" si="7"/>
        <v>0.17910000000000004</v>
      </c>
      <c r="Y59" s="113"/>
      <c r="Z59" s="138"/>
      <c r="AA59" s="138"/>
      <c r="AD59" s="217" t="s">
        <v>189</v>
      </c>
    </row>
    <row r="60" spans="1:30" x14ac:dyDescent="0.25">
      <c r="A60" s="121" t="s">
        <v>174</v>
      </c>
      <c r="B60" s="167" t="s">
        <v>190</v>
      </c>
      <c r="D60" s="138">
        <v>12</v>
      </c>
      <c r="E60" s="138">
        <v>100131.00000000001</v>
      </c>
      <c r="G60" s="138">
        <v>1200</v>
      </c>
      <c r="H60" s="138">
        <v>0</v>
      </c>
      <c r="I60" s="138">
        <v>17133.415410000001</v>
      </c>
      <c r="J60" s="138">
        <v>5335.9809900000009</v>
      </c>
      <c r="K60" s="138">
        <v>1444.8903299999999</v>
      </c>
      <c r="L60" s="138">
        <v>0</v>
      </c>
      <c r="M60" s="138">
        <v>0</v>
      </c>
      <c r="N60" s="135">
        <f t="shared" si="13"/>
        <v>25114.28673</v>
      </c>
      <c r="O60" s="135">
        <f t="shared" si="14"/>
        <v>-1444.8903299999999</v>
      </c>
      <c r="P60" s="135">
        <f t="shared" si="15"/>
        <v>23669.396400000001</v>
      </c>
      <c r="R60" s="167" t="s">
        <v>190</v>
      </c>
      <c r="S60" s="167" t="str">
        <f t="shared" si="3"/>
        <v>CFNVS</v>
      </c>
      <c r="T60" s="167">
        <f t="shared" si="4"/>
        <v>5.3290000000000004E-2</v>
      </c>
      <c r="U60" s="167">
        <f t="shared" si="5"/>
        <v>1.4429999999999997E-2</v>
      </c>
      <c r="V60" s="167">
        <f t="shared" si="6"/>
        <v>0</v>
      </c>
      <c r="W60" s="167">
        <f t="shared" si="7"/>
        <v>0</v>
      </c>
      <c r="Y60" s="113"/>
      <c r="Z60" s="138"/>
      <c r="AA60" s="138"/>
      <c r="AD60" s="167" t="s">
        <v>190</v>
      </c>
    </row>
    <row r="61" spans="1:30" x14ac:dyDescent="0.25">
      <c r="A61" s="121" t="s">
        <v>174</v>
      </c>
      <c r="B61" s="167" t="s">
        <v>239</v>
      </c>
      <c r="D61" s="138">
        <v>0</v>
      </c>
      <c r="E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5">
        <f t="shared" si="13"/>
        <v>0</v>
      </c>
      <c r="O61" s="135">
        <f t="shared" si="14"/>
        <v>0</v>
      </c>
      <c r="P61" s="135">
        <f t="shared" si="15"/>
        <v>0</v>
      </c>
      <c r="R61" s="167" t="s">
        <v>239</v>
      </c>
      <c r="S61" s="167" t="str">
        <f t="shared" si="3"/>
        <v>CFOS-DPO</v>
      </c>
      <c r="T61" s="167">
        <f t="shared" si="4"/>
        <v>0</v>
      </c>
      <c r="U61" s="167">
        <f t="shared" si="5"/>
        <v>0</v>
      </c>
      <c r="V61" s="167">
        <f t="shared" si="6"/>
        <v>0</v>
      </c>
      <c r="W61" s="167">
        <f t="shared" si="7"/>
        <v>0</v>
      </c>
      <c r="Y61" s="113"/>
      <c r="Z61" s="138"/>
      <c r="AA61" s="138"/>
      <c r="AD61" s="167" t="s">
        <v>239</v>
      </c>
    </row>
    <row r="62" spans="1:30" x14ac:dyDescent="0.25">
      <c r="A62" s="121" t="s">
        <v>174</v>
      </c>
      <c r="B62" s="167" t="s">
        <v>240</v>
      </c>
      <c r="D62" s="138">
        <v>0</v>
      </c>
      <c r="E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5">
        <f t="shared" si="13"/>
        <v>0</v>
      </c>
      <c r="O62" s="135">
        <f t="shared" si="14"/>
        <v>0</v>
      </c>
      <c r="P62" s="135">
        <f t="shared" si="15"/>
        <v>0</v>
      </c>
      <c r="R62" s="167" t="s">
        <v>240</v>
      </c>
      <c r="S62" s="167" t="str">
        <f t="shared" si="3"/>
        <v>CFSABS</v>
      </c>
      <c r="T62" s="167">
        <f t="shared" si="4"/>
        <v>0</v>
      </c>
      <c r="U62" s="167">
        <f t="shared" si="5"/>
        <v>0</v>
      </c>
      <c r="V62" s="167">
        <f t="shared" si="6"/>
        <v>0</v>
      </c>
      <c r="W62" s="167">
        <f t="shared" si="7"/>
        <v>0</v>
      </c>
      <c r="Y62" s="113"/>
      <c r="Z62" s="138"/>
      <c r="AA62" s="138"/>
      <c r="AD62" s="167" t="s">
        <v>240</v>
      </c>
    </row>
    <row r="63" spans="1:30" ht="15.75" thickBot="1" x14ac:dyDescent="0.3">
      <c r="A63" s="121" t="s">
        <v>174</v>
      </c>
      <c r="B63" s="167" t="s">
        <v>202</v>
      </c>
      <c r="D63" s="208">
        <f>SUBTOTAL(9,D37:D62)</f>
        <v>253776</v>
      </c>
      <c r="E63" s="208">
        <f>SUBTOTAL(9,E37:E62)</f>
        <v>50675785</v>
      </c>
      <c r="G63" s="5">
        <f t="shared" ref="G63:N63" si="16">SUBTOTAL(9,G37:G62)</f>
        <v>8105826</v>
      </c>
      <c r="H63" s="5">
        <f t="shared" si="16"/>
        <v>0</v>
      </c>
      <c r="I63" s="5">
        <f t="shared" si="16"/>
        <v>6738692.8329619998</v>
      </c>
      <c r="J63" s="5">
        <f t="shared" si="16"/>
        <v>3678302.5613500001</v>
      </c>
      <c r="K63" s="8">
        <f t="shared" si="16"/>
        <v>1262407.3033800002</v>
      </c>
      <c r="L63" s="8">
        <f t="shared" si="16"/>
        <v>0</v>
      </c>
      <c r="M63" s="8">
        <f t="shared" si="16"/>
        <v>7999483.699</v>
      </c>
      <c r="N63" s="5">
        <f t="shared" si="16"/>
        <v>27784712.396692</v>
      </c>
      <c r="O63" s="5">
        <f>SUBTOTAL(9,O37:O62)</f>
        <v>-9261891.0023799986</v>
      </c>
      <c r="P63" s="5">
        <f>SUBTOTAL(9,P37:P62)</f>
        <v>18522821.394312002</v>
      </c>
      <c r="Q63" s="6"/>
      <c r="S63" s="167" t="str">
        <f t="shared" si="3"/>
        <v>CF</v>
      </c>
      <c r="T63" s="167">
        <f t="shared" si="4"/>
        <v>7.2585013953903238E-2</v>
      </c>
      <c r="U63" s="167">
        <f t="shared" si="5"/>
        <v>2.4911450377729721E-2</v>
      </c>
      <c r="V63" s="167">
        <f t="shared" si="6"/>
        <v>0</v>
      </c>
      <c r="W63" s="167">
        <f t="shared" si="7"/>
        <v>0.15785613777862542</v>
      </c>
      <c r="AC63" s="207"/>
    </row>
    <row r="64" spans="1:30" ht="15.75" thickTop="1" x14ac:dyDescent="0.25">
      <c r="D64" s="209"/>
      <c r="E64" s="209"/>
      <c r="G64" s="6"/>
      <c r="H64" s="6"/>
      <c r="I64" s="6"/>
      <c r="J64" s="6"/>
      <c r="K64" s="9"/>
      <c r="L64" s="9"/>
      <c r="M64" s="9"/>
      <c r="S64" s="167" t="str">
        <f t="shared" si="3"/>
        <v/>
      </c>
      <c r="T64" s="167">
        <f t="shared" si="4"/>
        <v>0</v>
      </c>
      <c r="U64" s="167">
        <f t="shared" si="5"/>
        <v>0</v>
      </c>
      <c r="V64" s="167">
        <f t="shared" si="6"/>
        <v>0</v>
      </c>
      <c r="W64" s="167">
        <f t="shared" si="7"/>
        <v>0</v>
      </c>
      <c r="Z64" s="138"/>
      <c r="AA64" s="138"/>
      <c r="AC64" s="207"/>
    </row>
    <row r="65" spans="1:29" x14ac:dyDescent="0.25">
      <c r="A65" s="121" t="s">
        <v>174</v>
      </c>
      <c r="B65" s="167" t="s">
        <v>203</v>
      </c>
      <c r="D65" s="138">
        <v>132</v>
      </c>
      <c r="E65" s="138">
        <v>242265015.00000003</v>
      </c>
      <c r="G65" s="138">
        <v>2720106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5">
        <f>SUM(G65:M65)</f>
        <v>2720106</v>
      </c>
      <c r="O65" s="135">
        <v>-2720106</v>
      </c>
      <c r="P65" s="135">
        <f t="shared" ref="P65:P71" si="17">N65+O65</f>
        <v>0</v>
      </c>
      <c r="R65" s="167" t="str">
        <f>B65</f>
        <v>SPECIAL CONTRACTS</v>
      </c>
      <c r="S65" s="167" t="str">
        <f t="shared" si="3"/>
        <v>CFSPECIAL CONTRACTS</v>
      </c>
      <c r="T65" s="167">
        <f t="shared" si="4"/>
        <v>0</v>
      </c>
      <c r="U65" s="167">
        <f t="shared" si="5"/>
        <v>0</v>
      </c>
      <c r="V65" s="167">
        <f t="shared" si="6"/>
        <v>0</v>
      </c>
      <c r="W65" s="167">
        <f t="shared" si="7"/>
        <v>0</v>
      </c>
      <c r="Z65" s="138"/>
      <c r="AA65" s="138"/>
      <c r="AC65" s="207"/>
    </row>
    <row r="66" spans="1:29" x14ac:dyDescent="0.25">
      <c r="A66" s="121" t="s">
        <v>174</v>
      </c>
      <c r="B66" s="167" t="s">
        <v>210</v>
      </c>
      <c r="D66" s="138"/>
      <c r="E66" s="138"/>
      <c r="N66" s="6">
        <v>0</v>
      </c>
      <c r="O66" s="135">
        <f>-N66</f>
        <v>0</v>
      </c>
      <c r="P66" s="135">
        <f t="shared" si="17"/>
        <v>0</v>
      </c>
      <c r="R66" s="167" t="str">
        <f t="shared" ref="R66:R71" si="18">B66</f>
        <v>AEP REVENUES</v>
      </c>
      <c r="S66" s="167" t="str">
        <f t="shared" si="3"/>
        <v>CFAEP REVENUES</v>
      </c>
      <c r="T66" s="167">
        <f t="shared" si="4"/>
        <v>0</v>
      </c>
      <c r="U66" s="167">
        <f t="shared" si="5"/>
        <v>0</v>
      </c>
      <c r="V66" s="167">
        <f t="shared" si="6"/>
        <v>0</v>
      </c>
      <c r="W66" s="167">
        <f t="shared" si="7"/>
        <v>0</v>
      </c>
      <c r="Z66" s="138"/>
      <c r="AA66" s="138"/>
      <c r="AC66" s="207"/>
    </row>
    <row r="67" spans="1:29" x14ac:dyDescent="0.25">
      <c r="A67" s="121" t="s">
        <v>174</v>
      </c>
      <c r="B67" s="167" t="s">
        <v>205</v>
      </c>
      <c r="D67" s="138"/>
      <c r="E67" s="138"/>
      <c r="N67" s="6">
        <v>757170.13836203632</v>
      </c>
      <c r="O67" s="135">
        <f>-N67</f>
        <v>-757170.13836203632</v>
      </c>
      <c r="P67" s="135">
        <f t="shared" si="17"/>
        <v>0</v>
      </c>
      <c r="R67" s="167" t="str">
        <f t="shared" si="18"/>
        <v>REVENUE TAXES</v>
      </c>
      <c r="S67" s="167" t="str">
        <f t="shared" si="3"/>
        <v>CFREVENUE TAXES</v>
      </c>
      <c r="T67" s="167">
        <f t="shared" si="4"/>
        <v>0</v>
      </c>
      <c r="U67" s="167">
        <f t="shared" si="5"/>
        <v>0</v>
      </c>
      <c r="V67" s="167">
        <f t="shared" si="6"/>
        <v>0</v>
      </c>
      <c r="W67" s="167">
        <f t="shared" si="7"/>
        <v>0</v>
      </c>
      <c r="AC67" s="207"/>
    </row>
    <row r="68" spans="1:29" x14ac:dyDescent="0.25">
      <c r="A68" s="121" t="s">
        <v>174</v>
      </c>
      <c r="B68" s="167" t="s">
        <v>209</v>
      </c>
      <c r="D68" s="138"/>
      <c r="E68" s="138"/>
      <c r="N68" s="6">
        <v>259821.99999999994</v>
      </c>
      <c r="O68" s="6">
        <v>5829</v>
      </c>
      <c r="P68" s="6">
        <f t="shared" si="17"/>
        <v>265650.99999999994</v>
      </c>
      <c r="Q68" s="6"/>
      <c r="R68" s="167" t="str">
        <f t="shared" si="18"/>
        <v>MISCELLANEOUS SERVICE REVENUE</v>
      </c>
      <c r="S68" s="167" t="str">
        <f t="shared" ref="S68:S118" si="19">CONCATENATE(A68,R68)</f>
        <v>CFMISCELLANEOUS SERVICE REVENUE</v>
      </c>
      <c r="T68" s="167">
        <f t="shared" ref="T68:T118" si="20">IFERROR(J68/E68,0)</f>
        <v>0</v>
      </c>
      <c r="U68" s="167">
        <f t="shared" ref="U68:U118" si="21">IFERROR(K68/E68,0)</f>
        <v>0</v>
      </c>
      <c r="V68" s="167">
        <f t="shared" ref="V68:V118" si="22">IFERROR(L68/E68,0)</f>
        <v>0</v>
      </c>
      <c r="W68" s="167">
        <f t="shared" ref="W68:W118" si="23">IFERROR(M68/E68,0)</f>
        <v>0</v>
      </c>
      <c r="AC68" s="207"/>
    </row>
    <row r="69" spans="1:29" x14ac:dyDescent="0.25">
      <c r="A69" s="121" t="s">
        <v>174</v>
      </c>
      <c r="B69" s="167" t="s">
        <v>206</v>
      </c>
      <c r="N69" s="6">
        <v>0</v>
      </c>
      <c r="O69" s="6"/>
      <c r="P69" s="6">
        <f t="shared" si="17"/>
        <v>0</v>
      </c>
      <c r="Q69" s="6"/>
      <c r="R69" s="167" t="str">
        <f t="shared" si="18"/>
        <v>TRANSPORTATION ADMIN</v>
      </c>
      <c r="S69" s="167" t="str">
        <f t="shared" si="19"/>
        <v>CFTRANSPORTATION ADMIN</v>
      </c>
      <c r="T69" s="167">
        <f t="shared" si="20"/>
        <v>0</v>
      </c>
      <c r="U69" s="167">
        <f t="shared" si="21"/>
        <v>0</v>
      </c>
      <c r="V69" s="167">
        <f t="shared" si="22"/>
        <v>0</v>
      </c>
      <c r="W69" s="167">
        <f t="shared" si="23"/>
        <v>0</v>
      </c>
      <c r="AC69" s="207"/>
    </row>
    <row r="70" spans="1:29" x14ac:dyDescent="0.25">
      <c r="A70" s="121" t="s">
        <v>174</v>
      </c>
      <c r="B70" s="167" t="s">
        <v>207</v>
      </c>
      <c r="N70" s="6">
        <v>0</v>
      </c>
      <c r="O70" s="6"/>
      <c r="P70" s="6">
        <f t="shared" si="17"/>
        <v>0</v>
      </c>
      <c r="Q70" s="6"/>
      <c r="R70" s="167" t="str">
        <f t="shared" si="18"/>
        <v>TELEMETRY REVENUES</v>
      </c>
      <c r="S70" s="167" t="str">
        <f t="shared" si="19"/>
        <v>CFTELEMETRY REVENUES</v>
      </c>
      <c r="T70" s="167">
        <f t="shared" si="20"/>
        <v>0</v>
      </c>
      <c r="U70" s="167">
        <f t="shared" si="21"/>
        <v>0</v>
      </c>
      <c r="V70" s="167">
        <f t="shared" si="22"/>
        <v>0</v>
      </c>
      <c r="W70" s="167">
        <f t="shared" si="23"/>
        <v>0</v>
      </c>
      <c r="AC70" s="207"/>
    </row>
    <row r="71" spans="1:29" x14ac:dyDescent="0.25">
      <c r="A71" s="121" t="s">
        <v>174</v>
      </c>
      <c r="B71" s="167" t="s">
        <v>208</v>
      </c>
      <c r="N71" s="6">
        <v>1477740</v>
      </c>
      <c r="P71" s="135">
        <f t="shared" si="17"/>
        <v>1477740</v>
      </c>
      <c r="R71" s="167" t="str">
        <f t="shared" si="18"/>
        <v>SHIPPER ADMINISTRATION CHARGE</v>
      </c>
      <c r="S71" s="167" t="str">
        <f t="shared" si="19"/>
        <v>CFSHIPPER ADMINISTRATION CHARGE</v>
      </c>
      <c r="T71" s="167">
        <f t="shared" si="20"/>
        <v>0</v>
      </c>
      <c r="U71" s="167">
        <f t="shared" si="21"/>
        <v>0</v>
      </c>
      <c r="V71" s="167">
        <f t="shared" si="22"/>
        <v>0</v>
      </c>
      <c r="W71" s="167">
        <f t="shared" si="23"/>
        <v>0</v>
      </c>
      <c r="AC71" s="207"/>
    </row>
    <row r="72" spans="1:29" x14ac:dyDescent="0.25">
      <c r="S72" s="167" t="str">
        <f t="shared" si="19"/>
        <v/>
      </c>
      <c r="T72" s="167">
        <f t="shared" si="20"/>
        <v>0</v>
      </c>
      <c r="U72" s="167">
        <f t="shared" si="21"/>
        <v>0</v>
      </c>
      <c r="V72" s="167">
        <f t="shared" si="22"/>
        <v>0</v>
      </c>
      <c r="W72" s="167">
        <f t="shared" si="23"/>
        <v>0</v>
      </c>
      <c r="AC72" s="207"/>
    </row>
    <row r="73" spans="1:29" ht="15.75" thickBot="1" x14ac:dyDescent="0.3">
      <c r="B73" s="212" t="s">
        <v>34</v>
      </c>
      <c r="C73" s="212"/>
      <c r="D73" s="213">
        <f>SUBTOTAL(9,D37:D71)</f>
        <v>253908</v>
      </c>
      <c r="E73" s="213">
        <f t="shared" ref="E73:P73" si="24">SUBTOTAL(9,E37:E71)</f>
        <v>292940800</v>
      </c>
      <c r="F73" s="213">
        <f t="shared" si="24"/>
        <v>0</v>
      </c>
      <c r="G73" s="213">
        <f t="shared" si="24"/>
        <v>10825932</v>
      </c>
      <c r="H73" s="213">
        <f t="shared" si="24"/>
        <v>0</v>
      </c>
      <c r="I73" s="213">
        <f t="shared" si="24"/>
        <v>6738692.8329619998</v>
      </c>
      <c r="J73" s="213">
        <f t="shared" si="24"/>
        <v>3678302.5613500001</v>
      </c>
      <c r="K73" s="218">
        <f t="shared" si="24"/>
        <v>1262407.3033800002</v>
      </c>
      <c r="L73" s="218">
        <f t="shared" si="24"/>
        <v>0</v>
      </c>
      <c r="M73" s="218">
        <f t="shared" si="24"/>
        <v>7999483.699</v>
      </c>
      <c r="N73" s="213">
        <f t="shared" si="24"/>
        <v>32999550.535054035</v>
      </c>
      <c r="O73" s="213">
        <f t="shared" si="24"/>
        <v>-12733338.140742036</v>
      </c>
      <c r="P73" s="213">
        <f t="shared" si="24"/>
        <v>20266212.394312002</v>
      </c>
      <c r="Q73" s="219"/>
      <c r="S73" s="167" t="str">
        <f t="shared" si="19"/>
        <v/>
      </c>
      <c r="T73" s="167">
        <f t="shared" si="20"/>
        <v>1.2556470663526555E-2</v>
      </c>
      <c r="U73" s="167">
        <f t="shared" si="21"/>
        <v>4.3094280597991133E-3</v>
      </c>
      <c r="V73" s="167">
        <f t="shared" si="22"/>
        <v>0</v>
      </c>
      <c r="W73" s="167">
        <f t="shared" si="23"/>
        <v>2.7307509568486193E-2</v>
      </c>
      <c r="AC73" s="207"/>
    </row>
    <row r="74" spans="1:29" ht="15.75" thickTop="1" x14ac:dyDescent="0.25">
      <c r="D74" s="138"/>
      <c r="E74" s="138"/>
      <c r="S74" s="167" t="str">
        <f t="shared" si="19"/>
        <v/>
      </c>
      <c r="T74" s="167">
        <f t="shared" si="20"/>
        <v>0</v>
      </c>
      <c r="U74" s="167">
        <f t="shared" si="21"/>
        <v>0</v>
      </c>
      <c r="V74" s="167">
        <f t="shared" si="22"/>
        <v>0</v>
      </c>
      <c r="W74" s="167">
        <f t="shared" si="23"/>
        <v>0</v>
      </c>
      <c r="AC74" s="207"/>
    </row>
    <row r="75" spans="1:29" x14ac:dyDescent="0.25">
      <c r="B75" s="167" t="s">
        <v>224</v>
      </c>
      <c r="D75" s="138">
        <v>253908</v>
      </c>
      <c r="E75" s="138">
        <v>292940800</v>
      </c>
      <c r="G75" s="135">
        <v>10825932</v>
      </c>
      <c r="I75" s="135">
        <v>6738692.8329620017</v>
      </c>
      <c r="J75" s="135">
        <v>3678302.5613499992</v>
      </c>
      <c r="K75" s="10">
        <v>1262407.3033799999</v>
      </c>
      <c r="M75" s="10">
        <v>7999483.699000001</v>
      </c>
      <c r="N75" s="135">
        <v>32999550.535054035</v>
      </c>
      <c r="O75" s="135">
        <v>-12733338.140742037</v>
      </c>
      <c r="P75" s="135">
        <v>20266212.394312002</v>
      </c>
      <c r="S75" s="167" t="str">
        <f t="shared" si="19"/>
        <v/>
      </c>
      <c r="T75" s="167">
        <f t="shared" si="20"/>
        <v>1.2556470663526553E-2</v>
      </c>
      <c r="U75" s="167">
        <f t="shared" si="21"/>
        <v>4.3094280597991124E-3</v>
      </c>
      <c r="V75" s="167">
        <f t="shared" si="22"/>
        <v>0</v>
      </c>
      <c r="W75" s="167">
        <f t="shared" si="23"/>
        <v>2.7307509568486196E-2</v>
      </c>
      <c r="AC75" s="207"/>
    </row>
    <row r="76" spans="1:29" x14ac:dyDescent="0.25">
      <c r="B76" s="167" t="s">
        <v>225</v>
      </c>
      <c r="D76" s="138">
        <f>D75-D73</f>
        <v>0</v>
      </c>
      <c r="E76" s="138">
        <f>E75-E73</f>
        <v>0</v>
      </c>
      <c r="G76" s="135">
        <f t="shared" ref="G76:M76" si="25">G75-G73</f>
        <v>0</v>
      </c>
      <c r="H76" s="135">
        <f t="shared" si="25"/>
        <v>0</v>
      </c>
      <c r="I76" s="135">
        <f t="shared" si="25"/>
        <v>0</v>
      </c>
      <c r="J76" s="135">
        <f t="shared" si="25"/>
        <v>0</v>
      </c>
      <c r="K76" s="10">
        <f t="shared" si="25"/>
        <v>0</v>
      </c>
      <c r="L76" s="10">
        <f t="shared" si="25"/>
        <v>0</v>
      </c>
      <c r="M76" s="10">
        <f t="shared" si="25"/>
        <v>0</v>
      </c>
      <c r="N76" s="135">
        <f>N73-N75</f>
        <v>0</v>
      </c>
      <c r="O76" s="135">
        <f>O73-O75</f>
        <v>0</v>
      </c>
      <c r="P76" s="135">
        <f>P73-P75</f>
        <v>0</v>
      </c>
      <c r="S76" s="167" t="str">
        <f t="shared" si="19"/>
        <v/>
      </c>
      <c r="T76" s="167">
        <f t="shared" si="20"/>
        <v>0</v>
      </c>
      <c r="U76" s="167">
        <f t="shared" si="21"/>
        <v>0</v>
      </c>
      <c r="V76" s="167">
        <f t="shared" si="22"/>
        <v>0</v>
      </c>
      <c r="W76" s="167">
        <f t="shared" si="23"/>
        <v>0</v>
      </c>
      <c r="AC76" s="207"/>
    </row>
    <row r="77" spans="1:29" x14ac:dyDescent="0.25">
      <c r="S77" s="167" t="str">
        <f t="shared" si="19"/>
        <v/>
      </c>
      <c r="T77" s="167">
        <f t="shared" si="20"/>
        <v>0</v>
      </c>
      <c r="U77" s="167">
        <f t="shared" si="21"/>
        <v>0</v>
      </c>
      <c r="V77" s="167">
        <f t="shared" si="22"/>
        <v>0</v>
      </c>
      <c r="W77" s="167">
        <f t="shared" si="23"/>
        <v>0</v>
      </c>
      <c r="AC77" s="207"/>
    </row>
    <row r="78" spans="1:29" x14ac:dyDescent="0.25">
      <c r="S78" s="167" t="str">
        <f t="shared" si="19"/>
        <v/>
      </c>
      <c r="T78" s="167">
        <f t="shared" si="20"/>
        <v>0</v>
      </c>
      <c r="U78" s="167">
        <f t="shared" si="21"/>
        <v>0</v>
      </c>
      <c r="V78" s="167">
        <f t="shared" si="22"/>
        <v>0</v>
      </c>
      <c r="W78" s="167">
        <f t="shared" si="23"/>
        <v>0</v>
      </c>
      <c r="AC78" s="207"/>
    </row>
    <row r="79" spans="1:29" x14ac:dyDescent="0.25">
      <c r="S79" s="167" t="str">
        <f t="shared" si="19"/>
        <v/>
      </c>
      <c r="T79" s="167">
        <f t="shared" si="20"/>
        <v>0</v>
      </c>
      <c r="U79" s="167">
        <f t="shared" si="21"/>
        <v>0</v>
      </c>
      <c r="V79" s="167">
        <f t="shared" si="22"/>
        <v>0</v>
      </c>
      <c r="W79" s="167">
        <f t="shared" si="23"/>
        <v>0</v>
      </c>
      <c r="AC79" s="207"/>
    </row>
    <row r="80" spans="1:29" s="203" customFormat="1" ht="30" x14ac:dyDescent="0.25">
      <c r="D80" s="200" t="s">
        <v>211</v>
      </c>
      <c r="E80" s="200" t="s">
        <v>212</v>
      </c>
      <c r="F80" s="200"/>
      <c r="G80" s="204" t="s">
        <v>213</v>
      </c>
      <c r="H80" s="204" t="s">
        <v>214</v>
      </c>
      <c r="I80" s="204" t="s">
        <v>215</v>
      </c>
      <c r="J80" s="204" t="s">
        <v>192</v>
      </c>
      <c r="K80" s="205" t="s">
        <v>216</v>
      </c>
      <c r="L80" s="205" t="s">
        <v>148</v>
      </c>
      <c r="M80" s="205" t="s">
        <v>149</v>
      </c>
      <c r="N80" s="204" t="s">
        <v>34</v>
      </c>
      <c r="O80" s="204" t="s">
        <v>217</v>
      </c>
      <c r="P80" s="204" t="s">
        <v>201</v>
      </c>
      <c r="Q80" s="204"/>
      <c r="S80" s="167" t="str">
        <f t="shared" si="19"/>
        <v/>
      </c>
      <c r="T80" s="167">
        <f t="shared" si="20"/>
        <v>0</v>
      </c>
      <c r="U80" s="167">
        <f t="shared" si="21"/>
        <v>0</v>
      </c>
      <c r="V80" s="167">
        <f t="shared" si="22"/>
        <v>0</v>
      </c>
      <c r="W80" s="167">
        <f t="shared" si="23"/>
        <v>0</v>
      </c>
      <c r="AC80" s="207"/>
    </row>
    <row r="81" spans="1:30" x14ac:dyDescent="0.25">
      <c r="A81" s="121" t="s">
        <v>154</v>
      </c>
      <c r="B81" s="167" t="s">
        <v>241</v>
      </c>
      <c r="D81" s="138">
        <v>8136</v>
      </c>
      <c r="E81" s="138">
        <v>100248.99999999999</v>
      </c>
      <c r="G81" s="138">
        <v>73224</v>
      </c>
      <c r="H81" s="138">
        <v>0</v>
      </c>
      <c r="I81" s="138">
        <v>37929.209150000002</v>
      </c>
      <c r="J81" s="138">
        <v>0</v>
      </c>
      <c r="K81" s="138">
        <v>8415.9035499999991</v>
      </c>
      <c r="L81" s="138">
        <v>0</v>
      </c>
      <c r="M81" s="138">
        <v>15769.1677</v>
      </c>
      <c r="N81" s="135">
        <f>SUM(G81:M81)</f>
        <v>135338.28040000002</v>
      </c>
      <c r="O81" s="135">
        <f>-(K81+L81+M81)</f>
        <v>-24185.071250000001</v>
      </c>
      <c r="P81" s="135">
        <f>N81+O81</f>
        <v>111153.20915000001</v>
      </c>
      <c r="R81" s="167" t="s">
        <v>153</v>
      </c>
      <c r="S81" s="167" t="str">
        <f t="shared" si="19"/>
        <v>FITS-1</v>
      </c>
      <c r="T81" s="167">
        <f t="shared" si="20"/>
        <v>0</v>
      </c>
      <c r="U81" s="167">
        <f t="shared" si="21"/>
        <v>8.3949999999999997E-2</v>
      </c>
      <c r="V81" s="167">
        <f t="shared" si="22"/>
        <v>0</v>
      </c>
      <c r="W81" s="167">
        <f t="shared" si="23"/>
        <v>0.15730000000000002</v>
      </c>
      <c r="Z81" s="138"/>
      <c r="AA81" s="138"/>
      <c r="AC81" s="207"/>
      <c r="AD81" s="167" t="s">
        <v>153</v>
      </c>
    </row>
    <row r="82" spans="1:30" x14ac:dyDescent="0.25">
      <c r="A82" s="121" t="s">
        <v>154</v>
      </c>
      <c r="B82" s="167" t="s">
        <v>242</v>
      </c>
      <c r="D82" s="138">
        <v>264</v>
      </c>
      <c r="E82" s="138">
        <v>80957.000000000015</v>
      </c>
      <c r="G82" s="138">
        <v>6600</v>
      </c>
      <c r="H82" s="138">
        <v>0</v>
      </c>
      <c r="I82" s="138">
        <v>4664.7423399999998</v>
      </c>
      <c r="J82" s="138">
        <v>0</v>
      </c>
      <c r="K82" s="138">
        <v>944.76819000000023</v>
      </c>
      <c r="L82" s="138">
        <v>0</v>
      </c>
      <c r="M82" s="138">
        <v>11706.382200000004</v>
      </c>
      <c r="N82" s="135">
        <f>SUM(G82:M82)</f>
        <v>23915.892730000007</v>
      </c>
      <c r="O82" s="135">
        <f>-(K82+L82+M82)</f>
        <v>-12651.150390000004</v>
      </c>
      <c r="P82" s="135">
        <f>N82+O82</f>
        <v>11264.742340000003</v>
      </c>
      <c r="R82" s="167" t="s">
        <v>156</v>
      </c>
      <c r="S82" s="167" t="str">
        <f t="shared" si="19"/>
        <v>FITS-2</v>
      </c>
      <c r="T82" s="167">
        <f t="shared" si="20"/>
        <v>0</v>
      </c>
      <c r="U82" s="167">
        <f t="shared" si="21"/>
        <v>1.1670000000000002E-2</v>
      </c>
      <c r="V82" s="167">
        <f t="shared" si="22"/>
        <v>0</v>
      </c>
      <c r="W82" s="167">
        <f t="shared" si="23"/>
        <v>0.14460000000000001</v>
      </c>
      <c r="Z82" s="138"/>
      <c r="AA82" s="138"/>
      <c r="AC82" s="207"/>
      <c r="AD82" s="167" t="s">
        <v>156</v>
      </c>
    </row>
    <row r="83" spans="1:30" x14ac:dyDescent="0.25">
      <c r="A83" s="121" t="s">
        <v>154</v>
      </c>
      <c r="B83" s="167" t="s">
        <v>243</v>
      </c>
      <c r="D83" s="138">
        <v>12</v>
      </c>
      <c r="E83" s="138">
        <v>7986</v>
      </c>
      <c r="G83" s="138">
        <v>720</v>
      </c>
      <c r="H83" s="138">
        <v>0</v>
      </c>
      <c r="I83" s="138">
        <v>382.13009999999997</v>
      </c>
      <c r="J83" s="138">
        <v>0</v>
      </c>
      <c r="K83" s="138">
        <v>132.40788000000001</v>
      </c>
      <c r="L83" s="138">
        <v>0</v>
      </c>
      <c r="M83" s="138">
        <v>1475.0142000000003</v>
      </c>
      <c r="N83" s="135">
        <f>SUM(G83:M83)</f>
        <v>2709.5521800000001</v>
      </c>
      <c r="O83" s="135">
        <f>-(K83+L83+M83)</f>
        <v>-1607.4220800000003</v>
      </c>
      <c r="P83" s="135">
        <f>N83+O83</f>
        <v>1102.1300999999999</v>
      </c>
      <c r="R83" s="167" t="s">
        <v>157</v>
      </c>
      <c r="S83" s="167" t="str">
        <f t="shared" si="19"/>
        <v>FITS-3</v>
      </c>
      <c r="T83" s="167">
        <f t="shared" si="20"/>
        <v>0</v>
      </c>
      <c r="U83" s="167">
        <f t="shared" si="21"/>
        <v>1.6580000000000001E-2</v>
      </c>
      <c r="V83" s="167">
        <f t="shared" si="22"/>
        <v>0</v>
      </c>
      <c r="W83" s="167">
        <f t="shared" si="23"/>
        <v>0.18470000000000003</v>
      </c>
      <c r="Z83" s="138"/>
      <c r="AA83" s="138"/>
      <c r="AC83" s="207"/>
      <c r="AD83" s="167" t="s">
        <v>157</v>
      </c>
    </row>
    <row r="84" spans="1:30" ht="15.75" thickBot="1" x14ac:dyDescent="0.3">
      <c r="A84" s="121" t="s">
        <v>154</v>
      </c>
      <c r="B84" s="167" t="s">
        <v>202</v>
      </c>
      <c r="D84" s="208">
        <f>SUBTOTAL(9,D81:D83)</f>
        <v>8412</v>
      </c>
      <c r="E84" s="208">
        <f>SUBTOTAL(9,E81:E83)</f>
        <v>189192</v>
      </c>
      <c r="G84" s="5">
        <f t="shared" ref="G84:N84" si="26">SUBTOTAL(9,G81:G83)</f>
        <v>80544</v>
      </c>
      <c r="H84" s="5">
        <f t="shared" si="26"/>
        <v>0</v>
      </c>
      <c r="I84" s="5">
        <f t="shared" si="26"/>
        <v>42976.081590000002</v>
      </c>
      <c r="J84" s="5">
        <f t="shared" si="26"/>
        <v>0</v>
      </c>
      <c r="K84" s="8">
        <f t="shared" si="26"/>
        <v>9493.0796200000004</v>
      </c>
      <c r="L84" s="8">
        <f t="shared" si="26"/>
        <v>0</v>
      </c>
      <c r="M84" s="8">
        <f t="shared" si="26"/>
        <v>28950.564100000007</v>
      </c>
      <c r="N84" s="5">
        <f t="shared" si="26"/>
        <v>161963.72531000001</v>
      </c>
      <c r="O84" s="5">
        <f>SUBTOTAL(9,O81:O83)</f>
        <v>-38443.643720000007</v>
      </c>
      <c r="P84" s="5">
        <f>SUBTOTAL(9,P81:P83)</f>
        <v>123520.08159</v>
      </c>
      <c r="Q84" s="6"/>
      <c r="S84" s="167" t="str">
        <f t="shared" si="19"/>
        <v>FI</v>
      </c>
      <c r="T84" s="167">
        <f t="shared" si="20"/>
        <v>0</v>
      </c>
      <c r="U84" s="167">
        <f t="shared" si="21"/>
        <v>5.0176961076578291E-2</v>
      </c>
      <c r="V84" s="167">
        <f t="shared" si="22"/>
        <v>0</v>
      </c>
      <c r="W84" s="167">
        <f t="shared" si="23"/>
        <v>0.15302213677111087</v>
      </c>
      <c r="Z84" s="138"/>
      <c r="AA84" s="138"/>
      <c r="AC84" s="207"/>
    </row>
    <row r="85" spans="1:30" ht="15.75" thickTop="1" x14ac:dyDescent="0.25">
      <c r="D85" s="209"/>
      <c r="E85" s="209"/>
      <c r="G85" s="6"/>
      <c r="H85" s="6"/>
      <c r="I85" s="6"/>
      <c r="J85" s="6"/>
      <c r="K85" s="9"/>
      <c r="L85" s="9"/>
      <c r="M85" s="9"/>
      <c r="S85" s="167" t="str">
        <f t="shared" si="19"/>
        <v/>
      </c>
      <c r="T85" s="167">
        <f t="shared" si="20"/>
        <v>0</v>
      </c>
      <c r="U85" s="167">
        <f t="shared" si="21"/>
        <v>0</v>
      </c>
      <c r="V85" s="167">
        <f t="shared" si="22"/>
        <v>0</v>
      </c>
      <c r="W85" s="167">
        <f t="shared" si="23"/>
        <v>0</v>
      </c>
      <c r="AC85" s="207"/>
    </row>
    <row r="86" spans="1:30" x14ac:dyDescent="0.25">
      <c r="A86" s="121" t="s">
        <v>154</v>
      </c>
      <c r="B86" s="167" t="s">
        <v>203</v>
      </c>
      <c r="D86" s="138">
        <v>0</v>
      </c>
      <c r="E86" s="138">
        <v>0</v>
      </c>
      <c r="G86" s="138">
        <v>0</v>
      </c>
      <c r="H86" s="138">
        <v>0</v>
      </c>
      <c r="I86" s="138">
        <v>0</v>
      </c>
      <c r="J86" s="138">
        <v>0</v>
      </c>
      <c r="K86" s="138">
        <v>0</v>
      </c>
      <c r="L86" s="138">
        <v>0</v>
      </c>
      <c r="M86" s="138">
        <v>0</v>
      </c>
      <c r="N86" s="135">
        <f>SUM(G86:M86)</f>
        <v>0</v>
      </c>
      <c r="P86" s="135">
        <f t="shared" ref="P86:P92" si="27">N86+O86</f>
        <v>0</v>
      </c>
      <c r="R86" s="167" t="str">
        <f>B86</f>
        <v>SPECIAL CONTRACTS</v>
      </c>
      <c r="S86" s="167" t="str">
        <f t="shared" si="19"/>
        <v>FISPECIAL CONTRACTS</v>
      </c>
      <c r="T86" s="167">
        <f t="shared" si="20"/>
        <v>0</v>
      </c>
      <c r="U86" s="167">
        <f t="shared" si="21"/>
        <v>0</v>
      </c>
      <c r="V86" s="167">
        <f t="shared" si="22"/>
        <v>0</v>
      </c>
      <c r="W86" s="167">
        <f t="shared" si="23"/>
        <v>0</v>
      </c>
      <c r="AC86" s="207"/>
    </row>
    <row r="87" spans="1:30" x14ac:dyDescent="0.25">
      <c r="A87" s="121" t="s">
        <v>154</v>
      </c>
      <c r="B87" s="167" t="s">
        <v>210</v>
      </c>
      <c r="D87" s="138"/>
      <c r="E87" s="138"/>
      <c r="N87" s="6">
        <v>0</v>
      </c>
      <c r="O87" s="6"/>
      <c r="P87" s="135">
        <f t="shared" si="27"/>
        <v>0</v>
      </c>
      <c r="R87" s="167" t="str">
        <f t="shared" ref="R87:R92" si="28">B87</f>
        <v>AEP REVENUES</v>
      </c>
      <c r="S87" s="167" t="str">
        <f t="shared" si="19"/>
        <v>FIAEP REVENUES</v>
      </c>
      <c r="T87" s="167">
        <f t="shared" si="20"/>
        <v>0</v>
      </c>
      <c r="U87" s="167">
        <f t="shared" si="21"/>
        <v>0</v>
      </c>
      <c r="V87" s="167">
        <f t="shared" si="22"/>
        <v>0</v>
      </c>
      <c r="W87" s="167">
        <f t="shared" si="23"/>
        <v>0</v>
      </c>
      <c r="AC87" s="207"/>
    </row>
    <row r="88" spans="1:30" x14ac:dyDescent="0.25">
      <c r="A88" s="121" t="s">
        <v>154</v>
      </c>
      <c r="B88" s="167" t="s">
        <v>205</v>
      </c>
      <c r="D88" s="138"/>
      <c r="E88" s="138"/>
      <c r="N88" s="6">
        <v>0</v>
      </c>
      <c r="O88" s="6"/>
      <c r="P88" s="135">
        <f t="shared" si="27"/>
        <v>0</v>
      </c>
      <c r="R88" s="167" t="str">
        <f t="shared" si="28"/>
        <v>REVENUE TAXES</v>
      </c>
      <c r="S88" s="167" t="str">
        <f t="shared" si="19"/>
        <v>FIREVENUE TAXES</v>
      </c>
      <c r="T88" s="167">
        <f t="shared" si="20"/>
        <v>0</v>
      </c>
      <c r="U88" s="167">
        <f t="shared" si="21"/>
        <v>0</v>
      </c>
      <c r="V88" s="167">
        <f t="shared" si="22"/>
        <v>0</v>
      </c>
      <c r="W88" s="167">
        <f t="shared" si="23"/>
        <v>0</v>
      </c>
      <c r="AC88" s="207"/>
    </row>
    <row r="89" spans="1:30" x14ac:dyDescent="0.25">
      <c r="A89" s="121" t="s">
        <v>154</v>
      </c>
      <c r="B89" s="167" t="s">
        <v>204</v>
      </c>
      <c r="D89" s="138"/>
      <c r="E89" s="138"/>
      <c r="N89" s="6">
        <v>19334.360000000004</v>
      </c>
      <c r="O89" s="6">
        <v>38</v>
      </c>
      <c r="P89" s="135">
        <f t="shared" si="27"/>
        <v>19372.360000000004</v>
      </c>
      <c r="R89" s="167" t="str">
        <f t="shared" si="28"/>
        <v>TOTAL MISC. REVENUES</v>
      </c>
      <c r="S89" s="167" t="str">
        <f t="shared" si="19"/>
        <v>FITOTAL MISC. REVENUES</v>
      </c>
      <c r="T89" s="167">
        <f t="shared" si="20"/>
        <v>0</v>
      </c>
      <c r="U89" s="167">
        <f t="shared" si="21"/>
        <v>0</v>
      </c>
      <c r="V89" s="167">
        <f t="shared" si="22"/>
        <v>0</v>
      </c>
      <c r="W89" s="167">
        <f t="shared" si="23"/>
        <v>0</v>
      </c>
      <c r="AC89" s="207"/>
    </row>
    <row r="90" spans="1:30" x14ac:dyDescent="0.25">
      <c r="A90" s="121" t="s">
        <v>154</v>
      </c>
      <c r="B90" s="167" t="s">
        <v>206</v>
      </c>
      <c r="N90" s="6">
        <v>0</v>
      </c>
      <c r="O90" s="6"/>
      <c r="P90" s="135">
        <f t="shared" si="27"/>
        <v>0</v>
      </c>
      <c r="R90" s="167" t="str">
        <f t="shared" si="28"/>
        <v>TRANSPORTATION ADMIN</v>
      </c>
      <c r="S90" s="167" t="str">
        <f t="shared" si="19"/>
        <v>FITRANSPORTATION ADMIN</v>
      </c>
      <c r="T90" s="167">
        <f t="shared" si="20"/>
        <v>0</v>
      </c>
      <c r="U90" s="167">
        <f t="shared" si="21"/>
        <v>0</v>
      </c>
      <c r="V90" s="167">
        <f t="shared" si="22"/>
        <v>0</v>
      </c>
      <c r="W90" s="167">
        <f t="shared" si="23"/>
        <v>0</v>
      </c>
      <c r="AC90" s="207"/>
    </row>
    <row r="91" spans="1:30" x14ac:dyDescent="0.25">
      <c r="A91" s="121" t="s">
        <v>154</v>
      </c>
      <c r="B91" s="167" t="s">
        <v>207</v>
      </c>
      <c r="N91" s="6">
        <v>0</v>
      </c>
      <c r="O91" s="6"/>
      <c r="P91" s="135">
        <f t="shared" si="27"/>
        <v>0</v>
      </c>
      <c r="R91" s="167" t="str">
        <f t="shared" si="28"/>
        <v>TELEMETRY REVENUES</v>
      </c>
      <c r="S91" s="167" t="str">
        <f t="shared" si="19"/>
        <v>FITELEMETRY REVENUES</v>
      </c>
      <c r="T91" s="167">
        <f t="shared" si="20"/>
        <v>0</v>
      </c>
      <c r="U91" s="167">
        <f t="shared" si="21"/>
        <v>0</v>
      </c>
      <c r="V91" s="167">
        <f t="shared" si="22"/>
        <v>0</v>
      </c>
      <c r="W91" s="167">
        <f t="shared" si="23"/>
        <v>0</v>
      </c>
      <c r="AC91" s="207"/>
    </row>
    <row r="92" spans="1:30" x14ac:dyDescent="0.25">
      <c r="A92" s="121" t="s">
        <v>154</v>
      </c>
      <c r="B92" s="167" t="s">
        <v>208</v>
      </c>
      <c r="N92" s="6">
        <v>0</v>
      </c>
      <c r="O92" s="6"/>
      <c r="P92" s="135">
        <f t="shared" si="27"/>
        <v>0</v>
      </c>
      <c r="R92" s="167" t="str">
        <f t="shared" si="28"/>
        <v>SHIPPER ADMINISTRATION CHARGE</v>
      </c>
      <c r="S92" s="167" t="str">
        <f t="shared" si="19"/>
        <v>FISHIPPER ADMINISTRATION CHARGE</v>
      </c>
      <c r="T92" s="167">
        <f t="shared" si="20"/>
        <v>0</v>
      </c>
      <c r="U92" s="167">
        <f t="shared" si="21"/>
        <v>0</v>
      </c>
      <c r="V92" s="167">
        <f t="shared" si="22"/>
        <v>0</v>
      </c>
      <c r="W92" s="167">
        <f t="shared" si="23"/>
        <v>0</v>
      </c>
      <c r="AC92" s="207"/>
    </row>
    <row r="93" spans="1:30" x14ac:dyDescent="0.25">
      <c r="S93" s="167" t="str">
        <f t="shared" si="19"/>
        <v/>
      </c>
      <c r="T93" s="167">
        <f t="shared" si="20"/>
        <v>0</v>
      </c>
      <c r="U93" s="167">
        <f t="shared" si="21"/>
        <v>0</v>
      </c>
      <c r="V93" s="167">
        <f t="shared" si="22"/>
        <v>0</v>
      </c>
      <c r="W93" s="167">
        <f t="shared" si="23"/>
        <v>0</v>
      </c>
      <c r="AC93" s="207"/>
    </row>
    <row r="94" spans="1:30" ht="15.75" thickBot="1" x14ac:dyDescent="0.3">
      <c r="B94" s="212" t="s">
        <v>34</v>
      </c>
      <c r="C94" s="212"/>
      <c r="D94" s="213">
        <f>SUBTOTAL(9,D81:D92)</f>
        <v>8412</v>
      </c>
      <c r="E94" s="213">
        <f t="shared" ref="E94:P94" si="29">SUBTOTAL(9,E81:E92)</f>
        <v>189192</v>
      </c>
      <c r="F94" s="213">
        <f t="shared" si="29"/>
        <v>0</v>
      </c>
      <c r="G94" s="213">
        <f t="shared" si="29"/>
        <v>80544</v>
      </c>
      <c r="H94" s="213">
        <f t="shared" si="29"/>
        <v>0</v>
      </c>
      <c r="I94" s="213">
        <f t="shared" si="29"/>
        <v>42976.081590000002</v>
      </c>
      <c r="J94" s="213">
        <f t="shared" si="29"/>
        <v>0</v>
      </c>
      <c r="K94" s="218">
        <f t="shared" si="29"/>
        <v>9493.0796200000004</v>
      </c>
      <c r="L94" s="218">
        <f t="shared" si="29"/>
        <v>0</v>
      </c>
      <c r="M94" s="218">
        <f t="shared" si="29"/>
        <v>28950.564100000007</v>
      </c>
      <c r="N94" s="213">
        <f t="shared" si="29"/>
        <v>181298.08531000002</v>
      </c>
      <c r="O94" s="213">
        <f t="shared" si="29"/>
        <v>-38405.643720000007</v>
      </c>
      <c r="P94" s="213">
        <f t="shared" si="29"/>
        <v>142892.44159</v>
      </c>
      <c r="Q94" s="219"/>
      <c r="S94" s="167" t="str">
        <f t="shared" si="19"/>
        <v/>
      </c>
      <c r="T94" s="167">
        <f t="shared" si="20"/>
        <v>0</v>
      </c>
      <c r="U94" s="167">
        <f t="shared" si="21"/>
        <v>5.0176961076578291E-2</v>
      </c>
      <c r="V94" s="167">
        <f t="shared" si="22"/>
        <v>0</v>
      </c>
      <c r="W94" s="167">
        <f t="shared" si="23"/>
        <v>0.15302213677111087</v>
      </c>
      <c r="AC94" s="207"/>
    </row>
    <row r="95" spans="1:30" ht="15.75" thickTop="1" x14ac:dyDescent="0.25">
      <c r="D95" s="138"/>
      <c r="E95" s="138"/>
      <c r="S95" s="167" t="str">
        <f t="shared" si="19"/>
        <v/>
      </c>
      <c r="T95" s="167">
        <f t="shared" si="20"/>
        <v>0</v>
      </c>
      <c r="U95" s="167">
        <f t="shared" si="21"/>
        <v>0</v>
      </c>
      <c r="V95" s="167">
        <f t="shared" si="22"/>
        <v>0</v>
      </c>
      <c r="W95" s="167">
        <f t="shared" si="23"/>
        <v>0</v>
      </c>
      <c r="AC95" s="207"/>
    </row>
    <row r="96" spans="1:30" x14ac:dyDescent="0.25">
      <c r="B96" s="167" t="s">
        <v>224</v>
      </c>
      <c r="D96" s="138">
        <v>8412</v>
      </c>
      <c r="E96" s="138">
        <v>189192</v>
      </c>
      <c r="G96" s="135">
        <v>80544</v>
      </c>
      <c r="I96" s="135">
        <v>42976.081590000002</v>
      </c>
      <c r="K96" s="10">
        <v>9493.0796200000004</v>
      </c>
      <c r="M96" s="10">
        <v>28950.564100000007</v>
      </c>
      <c r="N96" s="135">
        <v>181298.08531000002</v>
      </c>
      <c r="O96" s="135">
        <v>-38405.643720000007</v>
      </c>
      <c r="P96" s="135">
        <v>142892.44159</v>
      </c>
      <c r="S96" s="167" t="str">
        <f t="shared" si="19"/>
        <v/>
      </c>
      <c r="T96" s="167">
        <f t="shared" si="20"/>
        <v>0</v>
      </c>
      <c r="U96" s="167">
        <f t="shared" si="21"/>
        <v>5.0176961076578291E-2</v>
      </c>
      <c r="V96" s="167">
        <f t="shared" si="22"/>
        <v>0</v>
      </c>
      <c r="W96" s="167">
        <f t="shared" si="23"/>
        <v>0.15302213677111087</v>
      </c>
      <c r="AC96" s="207"/>
    </row>
    <row r="97" spans="1:30" x14ac:dyDescent="0.25">
      <c r="B97" s="167" t="s">
        <v>225</v>
      </c>
      <c r="D97" s="138">
        <f>D96-D94</f>
        <v>0</v>
      </c>
      <c r="E97" s="138">
        <f>E96-E94</f>
        <v>0</v>
      </c>
      <c r="G97" s="135">
        <f t="shared" ref="G97:M97" si="30">G96-G94</f>
        <v>0</v>
      </c>
      <c r="H97" s="135">
        <f t="shared" si="30"/>
        <v>0</v>
      </c>
      <c r="I97" s="135">
        <f t="shared" si="30"/>
        <v>0</v>
      </c>
      <c r="J97" s="135">
        <f t="shared" si="30"/>
        <v>0</v>
      </c>
      <c r="K97" s="10">
        <f t="shared" si="30"/>
        <v>0</v>
      </c>
      <c r="L97" s="10">
        <f t="shared" si="30"/>
        <v>0</v>
      </c>
      <c r="M97" s="10">
        <f t="shared" si="30"/>
        <v>0</v>
      </c>
      <c r="N97" s="135">
        <f>N94-N96</f>
        <v>0</v>
      </c>
      <c r="O97" s="135">
        <f>O94-O96</f>
        <v>0</v>
      </c>
      <c r="P97" s="135">
        <f>P94-P96</f>
        <v>0</v>
      </c>
      <c r="S97" s="167" t="str">
        <f t="shared" si="19"/>
        <v/>
      </c>
      <c r="T97" s="167">
        <f t="shared" si="20"/>
        <v>0</v>
      </c>
      <c r="U97" s="167">
        <f t="shared" si="21"/>
        <v>0</v>
      </c>
      <c r="V97" s="167">
        <f t="shared" si="22"/>
        <v>0</v>
      </c>
      <c r="W97" s="167">
        <f t="shared" si="23"/>
        <v>0</v>
      </c>
      <c r="AC97" s="207"/>
    </row>
    <row r="98" spans="1:30" x14ac:dyDescent="0.25">
      <c r="S98" s="167" t="str">
        <f t="shared" si="19"/>
        <v/>
      </c>
      <c r="T98" s="167">
        <f t="shared" si="20"/>
        <v>0</v>
      </c>
      <c r="U98" s="167">
        <f t="shared" si="21"/>
        <v>0</v>
      </c>
      <c r="V98" s="167">
        <f t="shared" si="22"/>
        <v>0</v>
      </c>
      <c r="W98" s="167">
        <f t="shared" si="23"/>
        <v>0</v>
      </c>
      <c r="AC98" s="207"/>
    </row>
    <row r="99" spans="1:30" x14ac:dyDescent="0.25">
      <c r="S99" s="167" t="str">
        <f t="shared" si="19"/>
        <v/>
      </c>
      <c r="T99" s="167">
        <f t="shared" si="20"/>
        <v>0</v>
      </c>
      <c r="U99" s="167">
        <f t="shared" si="21"/>
        <v>0</v>
      </c>
      <c r="V99" s="167">
        <f t="shared" si="22"/>
        <v>0</v>
      </c>
      <c r="W99" s="167">
        <f t="shared" si="23"/>
        <v>0</v>
      </c>
      <c r="AC99" s="207"/>
    </row>
    <row r="100" spans="1:30" x14ac:dyDescent="0.25">
      <c r="S100" s="167" t="str">
        <f t="shared" si="19"/>
        <v/>
      </c>
      <c r="T100" s="167">
        <f t="shared" si="20"/>
        <v>0</v>
      </c>
      <c r="U100" s="167">
        <f t="shared" si="21"/>
        <v>0</v>
      </c>
      <c r="V100" s="167">
        <f t="shared" si="22"/>
        <v>0</v>
      </c>
      <c r="W100" s="167">
        <f t="shared" si="23"/>
        <v>0</v>
      </c>
      <c r="AC100" s="207"/>
    </row>
    <row r="101" spans="1:30" s="203" customFormat="1" ht="30" x14ac:dyDescent="0.25">
      <c r="D101" s="200" t="s">
        <v>211</v>
      </c>
      <c r="E101" s="200" t="s">
        <v>212</v>
      </c>
      <c r="F101" s="200"/>
      <c r="G101" s="204" t="s">
        <v>213</v>
      </c>
      <c r="H101" s="204" t="s">
        <v>214</v>
      </c>
      <c r="I101" s="204" t="s">
        <v>215</v>
      </c>
      <c r="J101" s="204" t="s">
        <v>192</v>
      </c>
      <c r="K101" s="205" t="s">
        <v>216</v>
      </c>
      <c r="L101" s="205" t="s">
        <v>148</v>
      </c>
      <c r="M101" s="205" t="s">
        <v>149</v>
      </c>
      <c r="N101" s="204" t="s">
        <v>34</v>
      </c>
      <c r="O101" s="204" t="s">
        <v>217</v>
      </c>
      <c r="P101" s="204" t="s">
        <v>201</v>
      </c>
      <c r="Q101" s="204"/>
      <c r="S101" s="167" t="str">
        <f t="shared" si="19"/>
        <v/>
      </c>
      <c r="T101" s="167">
        <f t="shared" si="20"/>
        <v>0</v>
      </c>
      <c r="U101" s="167">
        <f t="shared" si="21"/>
        <v>0</v>
      </c>
      <c r="V101" s="167">
        <f t="shared" si="22"/>
        <v>0</v>
      </c>
      <c r="W101" s="167">
        <f t="shared" si="23"/>
        <v>0</v>
      </c>
      <c r="X101" s="167"/>
      <c r="AC101" s="207"/>
    </row>
    <row r="102" spans="1:30" x14ac:dyDescent="0.25">
      <c r="A102" s="121" t="s">
        <v>159</v>
      </c>
      <c r="B102" s="167" t="s">
        <v>163</v>
      </c>
      <c r="D102" s="138">
        <v>5952</v>
      </c>
      <c r="E102" s="138">
        <v>56952</v>
      </c>
      <c r="G102" s="138">
        <v>50592</v>
      </c>
      <c r="H102" s="138">
        <v>31722.263999999999</v>
      </c>
      <c r="I102" s="138">
        <v>0</v>
      </c>
      <c r="J102" s="138">
        <v>8682.3324000000011</v>
      </c>
      <c r="K102" s="138">
        <v>4913.2490399999997</v>
      </c>
      <c r="L102" s="138">
        <v>59822.380799999999</v>
      </c>
      <c r="M102" s="138">
        <v>0</v>
      </c>
      <c r="N102" s="135">
        <f>SUM(G102:M102)</f>
        <v>155732.22623999999</v>
      </c>
      <c r="O102" s="135">
        <f>-(K102+L102+M102)</f>
        <v>-64735.629840000001</v>
      </c>
      <c r="P102" s="135">
        <f>N102+O102</f>
        <v>90996.59639999998</v>
      </c>
      <c r="R102" s="167" t="s">
        <v>163</v>
      </c>
      <c r="S102" s="167" t="str">
        <f t="shared" si="19"/>
        <v>FTRS</v>
      </c>
      <c r="T102" s="167">
        <f t="shared" si="20"/>
        <v>0.15245000000000003</v>
      </c>
      <c r="U102" s="167">
        <f t="shared" si="21"/>
        <v>8.6269999999999999E-2</v>
      </c>
      <c r="V102" s="167">
        <f t="shared" si="22"/>
        <v>1.0504</v>
      </c>
      <c r="W102" s="167">
        <f t="shared" si="23"/>
        <v>0</v>
      </c>
      <c r="Z102" s="138"/>
      <c r="AA102" s="138"/>
      <c r="AC102" s="207"/>
      <c r="AD102" s="167" t="s">
        <v>163</v>
      </c>
    </row>
    <row r="103" spans="1:30" x14ac:dyDescent="0.25">
      <c r="A103" s="121" t="s">
        <v>159</v>
      </c>
      <c r="B103" s="167" t="s">
        <v>244</v>
      </c>
      <c r="D103" s="138">
        <v>264</v>
      </c>
      <c r="E103" s="138">
        <v>41491.999999999993</v>
      </c>
      <c r="G103" s="138">
        <v>4620</v>
      </c>
      <c r="H103" s="138">
        <v>23111.044000000005</v>
      </c>
      <c r="I103" s="138">
        <v>0</v>
      </c>
      <c r="J103" s="138">
        <v>604.12351999999998</v>
      </c>
      <c r="K103" s="138">
        <v>2281.2301600000005</v>
      </c>
      <c r="L103" s="138">
        <v>43583.196799999998</v>
      </c>
      <c r="M103" s="138">
        <v>0</v>
      </c>
      <c r="N103" s="135">
        <f>SUM(G103:M103)</f>
        <v>74199.59448</v>
      </c>
      <c r="O103" s="135">
        <f>-(K103+L103+M103)</f>
        <v>-45864.426959999997</v>
      </c>
      <c r="P103" s="135">
        <f>N103+O103</f>
        <v>28335.167520000003</v>
      </c>
      <c r="R103" s="167" t="s">
        <v>47</v>
      </c>
      <c r="S103" s="167" t="str">
        <f t="shared" si="19"/>
        <v>FTGS-1</v>
      </c>
      <c r="T103" s="167">
        <f t="shared" si="20"/>
        <v>1.4560000000000002E-2</v>
      </c>
      <c r="U103" s="167">
        <f t="shared" si="21"/>
        <v>5.4980000000000022E-2</v>
      </c>
      <c r="V103" s="167">
        <f t="shared" si="22"/>
        <v>1.0504000000000002</v>
      </c>
      <c r="W103" s="167">
        <f t="shared" si="23"/>
        <v>0</v>
      </c>
      <c r="Z103" s="138"/>
      <c r="AA103" s="138"/>
      <c r="AC103" s="207"/>
      <c r="AD103" s="167" t="s">
        <v>294</v>
      </c>
    </row>
    <row r="104" spans="1:30" x14ac:dyDescent="0.25">
      <c r="A104" s="121" t="s">
        <v>159</v>
      </c>
      <c r="B104" s="167" t="s">
        <v>245</v>
      </c>
      <c r="D104" s="138">
        <v>108</v>
      </c>
      <c r="E104" s="138">
        <v>32284.999999999993</v>
      </c>
      <c r="G104" s="138">
        <v>1890</v>
      </c>
      <c r="H104" s="138">
        <v>0</v>
      </c>
      <c r="I104" s="138">
        <v>17982.745000000003</v>
      </c>
      <c r="J104" s="138">
        <v>470.06959999999998</v>
      </c>
      <c r="K104" s="138">
        <v>1775.0293000000001</v>
      </c>
      <c r="L104" s="138">
        <v>0</v>
      </c>
      <c r="M104" s="138">
        <v>6789.5355</v>
      </c>
      <c r="N104" s="135">
        <f>SUM(G104:M104)</f>
        <v>28907.379399999998</v>
      </c>
      <c r="O104" s="135">
        <f>-(K104+L104+M104)</f>
        <v>-8564.5648000000001</v>
      </c>
      <c r="P104" s="135">
        <f>N104+O104</f>
        <v>20342.814599999998</v>
      </c>
      <c r="R104" s="167" t="s">
        <v>160</v>
      </c>
      <c r="S104" s="167" t="str">
        <f t="shared" si="19"/>
        <v>FTGSTS1</v>
      </c>
      <c r="T104" s="167">
        <f t="shared" si="20"/>
        <v>1.4560000000000003E-2</v>
      </c>
      <c r="U104" s="167">
        <f t="shared" si="21"/>
        <v>5.4980000000000015E-2</v>
      </c>
      <c r="V104" s="167">
        <f t="shared" si="22"/>
        <v>0</v>
      </c>
      <c r="W104" s="167">
        <f t="shared" si="23"/>
        <v>0.21030000000000004</v>
      </c>
      <c r="Z104" s="138"/>
      <c r="AA104" s="138"/>
      <c r="AC104" s="207"/>
      <c r="AD104" s="167" t="s">
        <v>295</v>
      </c>
    </row>
    <row r="105" spans="1:30" x14ac:dyDescent="0.25">
      <c r="A105" s="121" t="s">
        <v>159</v>
      </c>
      <c r="B105" s="167" t="s">
        <v>246</v>
      </c>
      <c r="D105" s="138">
        <v>24</v>
      </c>
      <c r="E105" s="138">
        <v>27325.000000000004</v>
      </c>
      <c r="G105" s="138">
        <v>4200</v>
      </c>
      <c r="H105" s="138">
        <v>5956.8499999999995</v>
      </c>
      <c r="I105" s="138">
        <v>0</v>
      </c>
      <c r="J105" s="138">
        <v>0</v>
      </c>
      <c r="K105" s="138">
        <v>930.96275000000014</v>
      </c>
      <c r="L105" s="138">
        <v>28702.18</v>
      </c>
      <c r="M105" s="138">
        <v>0</v>
      </c>
      <c r="N105" s="135">
        <f>SUM(G105:M105)</f>
        <v>39789.992749999998</v>
      </c>
      <c r="O105" s="135">
        <f>-(K105+L105+M105)</f>
        <v>-29633.142749999999</v>
      </c>
      <c r="P105" s="135">
        <f>N105+O105</f>
        <v>10156.849999999999</v>
      </c>
      <c r="R105" s="167" t="s">
        <v>161</v>
      </c>
      <c r="S105" s="167" t="str">
        <f t="shared" si="19"/>
        <v>FTLVS</v>
      </c>
      <c r="T105" s="167">
        <f t="shared" si="20"/>
        <v>0</v>
      </c>
      <c r="U105" s="167">
        <f t="shared" si="21"/>
        <v>3.4070000000000003E-2</v>
      </c>
      <c r="V105" s="167">
        <f t="shared" si="22"/>
        <v>1.0503999999999998</v>
      </c>
      <c r="W105" s="167">
        <f t="shared" si="23"/>
        <v>0</v>
      </c>
      <c r="Z105" s="138"/>
      <c r="AA105" s="138"/>
      <c r="AC105" s="207"/>
      <c r="AD105" s="167" t="s">
        <v>161</v>
      </c>
    </row>
    <row r="106" spans="1:30" x14ac:dyDescent="0.25">
      <c r="A106" s="121" t="s">
        <v>159</v>
      </c>
      <c r="B106" s="167" t="s">
        <v>247</v>
      </c>
      <c r="D106" s="138">
        <v>24</v>
      </c>
      <c r="E106" s="138">
        <v>141839.00000000003</v>
      </c>
      <c r="G106" s="138">
        <v>4200</v>
      </c>
      <c r="H106" s="138">
        <v>0</v>
      </c>
      <c r="I106" s="138">
        <v>30920.902000000002</v>
      </c>
      <c r="J106" s="138">
        <v>0</v>
      </c>
      <c r="K106" s="138">
        <v>4832.4547299999995</v>
      </c>
      <c r="L106" s="138">
        <v>0</v>
      </c>
      <c r="M106" s="138">
        <v>0</v>
      </c>
      <c r="N106" s="135">
        <f>SUM(G106:M106)</f>
        <v>39953.35673</v>
      </c>
      <c r="O106" s="135">
        <f>-(K106+L106+M106)</f>
        <v>-4832.4547299999995</v>
      </c>
      <c r="P106" s="135">
        <f>N106+O106</f>
        <v>35120.902000000002</v>
      </c>
      <c r="R106" s="167" t="s">
        <v>162</v>
      </c>
      <c r="S106" s="167" t="str">
        <f t="shared" si="19"/>
        <v>FTLVTS</v>
      </c>
      <c r="T106" s="167">
        <f t="shared" si="20"/>
        <v>0</v>
      </c>
      <c r="U106" s="167">
        <f t="shared" si="21"/>
        <v>3.4069999999999989E-2</v>
      </c>
      <c r="V106" s="167">
        <f t="shared" si="22"/>
        <v>0</v>
      </c>
      <c r="W106" s="167">
        <f t="shared" si="23"/>
        <v>0</v>
      </c>
      <c r="Z106" s="138"/>
      <c r="AA106" s="138"/>
      <c r="AC106" s="207"/>
      <c r="AD106" s="167" t="s">
        <v>162</v>
      </c>
    </row>
    <row r="107" spans="1:30" ht="15.75" thickBot="1" x14ac:dyDescent="0.3">
      <c r="A107" s="121" t="s">
        <v>159</v>
      </c>
      <c r="B107" s="167" t="s">
        <v>202</v>
      </c>
      <c r="D107" s="208">
        <f>SUBTOTAL(9,D102:D106)</f>
        <v>6372</v>
      </c>
      <c r="E107" s="208">
        <f>SUBTOTAL(9,E102:E106)</f>
        <v>299893</v>
      </c>
      <c r="G107" s="5">
        <f t="shared" ref="G107:N107" si="31">SUBTOTAL(9,G102:G106)</f>
        <v>65502</v>
      </c>
      <c r="H107" s="5">
        <f t="shared" si="31"/>
        <v>60790.158000000003</v>
      </c>
      <c r="I107" s="5">
        <f t="shared" si="31"/>
        <v>48903.647000000004</v>
      </c>
      <c r="J107" s="5">
        <f t="shared" si="31"/>
        <v>9756.5255200000011</v>
      </c>
      <c r="K107" s="8">
        <f t="shared" si="31"/>
        <v>14732.92598</v>
      </c>
      <c r="L107" s="8">
        <f t="shared" si="31"/>
        <v>132107.75759999998</v>
      </c>
      <c r="M107" s="8">
        <f t="shared" si="31"/>
        <v>6789.5355</v>
      </c>
      <c r="N107" s="5">
        <f t="shared" si="31"/>
        <v>338582.54959999997</v>
      </c>
      <c r="O107" s="5">
        <f>SUBTOTAL(9,O102:O106)</f>
        <v>-153630.21907999998</v>
      </c>
      <c r="P107" s="5">
        <f>SUBTOTAL(9,P102:P106)</f>
        <v>184952.33051999999</v>
      </c>
      <c r="Q107" s="6"/>
      <c r="S107" s="167" t="str">
        <f t="shared" si="19"/>
        <v>FT</v>
      </c>
      <c r="T107" s="167">
        <f t="shared" si="20"/>
        <v>3.2533355296722501E-2</v>
      </c>
      <c r="U107" s="167">
        <f t="shared" si="21"/>
        <v>4.9127275328200389E-2</v>
      </c>
      <c r="V107" s="167">
        <f t="shared" si="22"/>
        <v>0.44051630948371578</v>
      </c>
      <c r="W107" s="167">
        <f t="shared" si="23"/>
        <v>2.2639859883358399E-2</v>
      </c>
      <c r="AC107" s="207"/>
    </row>
    <row r="108" spans="1:30" ht="15.75" thickTop="1" x14ac:dyDescent="0.25">
      <c r="D108" s="209"/>
      <c r="E108" s="209"/>
      <c r="G108" s="6"/>
      <c r="H108" s="6"/>
      <c r="I108" s="6"/>
      <c r="J108" s="6"/>
      <c r="K108" s="9"/>
      <c r="L108" s="9"/>
      <c r="M108" s="9"/>
      <c r="S108" s="167" t="str">
        <f t="shared" si="19"/>
        <v/>
      </c>
      <c r="T108" s="167">
        <f t="shared" si="20"/>
        <v>0</v>
      </c>
      <c r="U108" s="167">
        <f t="shared" si="21"/>
        <v>0</v>
      </c>
      <c r="V108" s="167">
        <f t="shared" si="22"/>
        <v>0</v>
      </c>
      <c r="W108" s="167">
        <f t="shared" si="23"/>
        <v>0</v>
      </c>
      <c r="AC108" s="207"/>
    </row>
    <row r="109" spans="1:30" x14ac:dyDescent="0.25">
      <c r="A109" s="121" t="s">
        <v>159</v>
      </c>
      <c r="B109" s="167" t="s">
        <v>203</v>
      </c>
      <c r="D109" s="138">
        <v>0</v>
      </c>
      <c r="E109" s="138">
        <v>0</v>
      </c>
      <c r="G109" s="138">
        <v>0</v>
      </c>
      <c r="H109" s="138">
        <v>0</v>
      </c>
      <c r="I109" s="138">
        <v>0</v>
      </c>
      <c r="J109" s="138">
        <v>0</v>
      </c>
      <c r="K109" s="138">
        <v>0</v>
      </c>
      <c r="L109" s="138">
        <v>0</v>
      </c>
      <c r="M109" s="138">
        <v>0</v>
      </c>
      <c r="N109" s="135">
        <f>SUM(G109:M109)</f>
        <v>0</v>
      </c>
      <c r="P109" s="135">
        <f t="shared" ref="P109:P114" si="32">N109+O109</f>
        <v>0</v>
      </c>
      <c r="R109" s="167" t="str">
        <f t="shared" ref="R109:R114" si="33">B109</f>
        <v>SPECIAL CONTRACTS</v>
      </c>
      <c r="S109" s="167" t="str">
        <f t="shared" si="19"/>
        <v>FTSPECIAL CONTRACTS</v>
      </c>
      <c r="T109" s="167">
        <f t="shared" si="20"/>
        <v>0</v>
      </c>
      <c r="U109" s="167">
        <f t="shared" si="21"/>
        <v>0</v>
      </c>
      <c r="V109" s="167">
        <f t="shared" si="22"/>
        <v>0</v>
      </c>
      <c r="W109" s="167">
        <f t="shared" si="23"/>
        <v>0</v>
      </c>
      <c r="AC109" s="207"/>
    </row>
    <row r="110" spans="1:30" ht="15.75" customHeight="1" x14ac:dyDescent="0.25">
      <c r="A110" s="121" t="s">
        <v>159</v>
      </c>
      <c r="B110" s="167" t="s">
        <v>204</v>
      </c>
      <c r="D110" s="138"/>
      <c r="E110" s="138"/>
      <c r="N110" s="6">
        <v>15384.000000000002</v>
      </c>
      <c r="O110" s="6">
        <v>38</v>
      </c>
      <c r="P110" s="135">
        <f t="shared" si="32"/>
        <v>15422.000000000002</v>
      </c>
      <c r="R110" s="167" t="str">
        <f t="shared" si="33"/>
        <v>TOTAL MISC. REVENUES</v>
      </c>
      <c r="S110" s="167" t="str">
        <f t="shared" si="19"/>
        <v>FTTOTAL MISC. REVENUES</v>
      </c>
      <c r="T110" s="167">
        <f t="shared" si="20"/>
        <v>0</v>
      </c>
      <c r="U110" s="167">
        <f t="shared" si="21"/>
        <v>0</v>
      </c>
      <c r="V110" s="167">
        <f t="shared" si="22"/>
        <v>0</v>
      </c>
      <c r="W110" s="167">
        <f t="shared" si="23"/>
        <v>0</v>
      </c>
      <c r="AC110" s="207"/>
    </row>
    <row r="111" spans="1:30" x14ac:dyDescent="0.25">
      <c r="A111" s="121" t="s">
        <v>159</v>
      </c>
      <c r="B111" s="167" t="s">
        <v>205</v>
      </c>
      <c r="D111" s="138"/>
      <c r="E111" s="138"/>
      <c r="N111" s="6">
        <v>21545.743203563175</v>
      </c>
      <c r="O111" s="6">
        <f>-N111</f>
        <v>-21545.743203563175</v>
      </c>
      <c r="P111" s="135">
        <f t="shared" si="32"/>
        <v>0</v>
      </c>
      <c r="R111" s="167" t="str">
        <f t="shared" si="33"/>
        <v>REVENUE TAXES</v>
      </c>
      <c r="S111" s="167" t="str">
        <f t="shared" si="19"/>
        <v>FTREVENUE TAXES</v>
      </c>
      <c r="T111" s="167">
        <f t="shared" si="20"/>
        <v>0</v>
      </c>
      <c r="U111" s="167">
        <f t="shared" si="21"/>
        <v>0</v>
      </c>
      <c r="V111" s="167">
        <f t="shared" si="22"/>
        <v>0</v>
      </c>
      <c r="W111" s="167">
        <f t="shared" si="23"/>
        <v>0</v>
      </c>
      <c r="AC111" s="207"/>
    </row>
    <row r="112" spans="1:30" x14ac:dyDescent="0.25">
      <c r="A112" s="121" t="s">
        <v>159</v>
      </c>
      <c r="B112" s="167" t="s">
        <v>206</v>
      </c>
      <c r="D112" s="138"/>
      <c r="E112" s="138"/>
      <c r="N112" s="6">
        <v>0</v>
      </c>
      <c r="O112" s="6"/>
      <c r="P112" s="135">
        <f t="shared" si="32"/>
        <v>0</v>
      </c>
      <c r="R112" s="167" t="str">
        <f t="shared" si="33"/>
        <v>TRANSPORTATION ADMIN</v>
      </c>
      <c r="S112" s="167" t="str">
        <f t="shared" si="19"/>
        <v>FTTRANSPORTATION ADMIN</v>
      </c>
      <c r="T112" s="167">
        <f t="shared" si="20"/>
        <v>0</v>
      </c>
      <c r="U112" s="167">
        <f t="shared" si="21"/>
        <v>0</v>
      </c>
      <c r="V112" s="167">
        <f t="shared" si="22"/>
        <v>0</v>
      </c>
      <c r="W112" s="167">
        <f t="shared" si="23"/>
        <v>0</v>
      </c>
      <c r="AC112" s="207"/>
    </row>
    <row r="113" spans="1:29" x14ac:dyDescent="0.25">
      <c r="A113" s="121" t="s">
        <v>159</v>
      </c>
      <c r="B113" s="167" t="s">
        <v>207</v>
      </c>
      <c r="N113" s="6">
        <v>0</v>
      </c>
      <c r="O113" s="6"/>
      <c r="P113" s="135">
        <f t="shared" si="32"/>
        <v>0</v>
      </c>
      <c r="R113" s="167" t="str">
        <f t="shared" si="33"/>
        <v>TELEMETRY REVENUES</v>
      </c>
      <c r="S113" s="167" t="str">
        <f t="shared" si="19"/>
        <v>FTTELEMETRY REVENUES</v>
      </c>
      <c r="T113" s="167">
        <f t="shared" si="20"/>
        <v>0</v>
      </c>
      <c r="U113" s="167">
        <f t="shared" si="21"/>
        <v>0</v>
      </c>
      <c r="V113" s="167">
        <f t="shared" si="22"/>
        <v>0</v>
      </c>
      <c r="W113" s="167">
        <f t="shared" si="23"/>
        <v>0</v>
      </c>
      <c r="AC113" s="207"/>
    </row>
    <row r="114" spans="1:29" x14ac:dyDescent="0.25">
      <c r="A114" s="121" t="s">
        <v>159</v>
      </c>
      <c r="B114" s="167" t="s">
        <v>208</v>
      </c>
      <c r="N114" s="6">
        <v>0</v>
      </c>
      <c r="O114" s="6"/>
      <c r="P114" s="135">
        <f t="shared" si="32"/>
        <v>0</v>
      </c>
      <c r="R114" s="167" t="str">
        <f t="shared" si="33"/>
        <v>SHIPPER ADMINISTRATION CHARGE</v>
      </c>
      <c r="S114" s="167" t="str">
        <f t="shared" si="19"/>
        <v>FTSHIPPER ADMINISTRATION CHARGE</v>
      </c>
      <c r="T114" s="167">
        <f t="shared" si="20"/>
        <v>0</v>
      </c>
      <c r="U114" s="167">
        <f t="shared" si="21"/>
        <v>0</v>
      </c>
      <c r="V114" s="167">
        <f t="shared" si="22"/>
        <v>0</v>
      </c>
      <c r="W114" s="167">
        <f t="shared" si="23"/>
        <v>0</v>
      </c>
      <c r="AC114" s="207"/>
    </row>
    <row r="115" spans="1:29" x14ac:dyDescent="0.25">
      <c r="S115" s="167" t="str">
        <f t="shared" si="19"/>
        <v/>
      </c>
      <c r="T115" s="167">
        <f t="shared" si="20"/>
        <v>0</v>
      </c>
      <c r="U115" s="167">
        <f t="shared" si="21"/>
        <v>0</v>
      </c>
      <c r="V115" s="167">
        <f t="shared" si="22"/>
        <v>0</v>
      </c>
      <c r="W115" s="167">
        <f t="shared" si="23"/>
        <v>0</v>
      </c>
      <c r="AC115" s="207"/>
    </row>
    <row r="116" spans="1:29" ht="15.75" thickBot="1" x14ac:dyDescent="0.3">
      <c r="B116" s="212" t="s">
        <v>34</v>
      </c>
      <c r="C116" s="212"/>
      <c r="D116" s="213">
        <f>SUBTOTAL(9,D102:D113)</f>
        <v>6372</v>
      </c>
      <c r="E116" s="213">
        <f>SUBTOTAL(9,E102:E113)</f>
        <v>299893</v>
      </c>
      <c r="G116" s="214">
        <f t="shared" ref="G116:M116" si="34">SUBTOTAL(9,G102:G113)</f>
        <v>65502</v>
      </c>
      <c r="H116" s="214">
        <f t="shared" si="34"/>
        <v>60790.158000000003</v>
      </c>
      <c r="I116" s="214">
        <f t="shared" si="34"/>
        <v>48903.647000000004</v>
      </c>
      <c r="J116" s="214">
        <f t="shared" si="34"/>
        <v>9756.5255200000011</v>
      </c>
      <c r="K116" s="215">
        <f t="shared" si="34"/>
        <v>14732.92598</v>
      </c>
      <c r="L116" s="215">
        <f t="shared" si="34"/>
        <v>132107.75759999998</v>
      </c>
      <c r="M116" s="215">
        <f t="shared" si="34"/>
        <v>6789.5355</v>
      </c>
      <c r="N116" s="214">
        <f>SUBTOTAL(9,N102:N114)</f>
        <v>375512.29280356312</v>
      </c>
      <c r="O116" s="214">
        <f>SUBTOTAL(9,O102:O114)</f>
        <v>-175137.96228356316</v>
      </c>
      <c r="P116" s="214">
        <f>SUBTOTAL(9,P102:P114)</f>
        <v>200374.33051999999</v>
      </c>
      <c r="Q116" s="216"/>
      <c r="S116" s="167" t="str">
        <f t="shared" si="19"/>
        <v/>
      </c>
      <c r="T116" s="167">
        <f t="shared" si="20"/>
        <v>3.2533355296722501E-2</v>
      </c>
      <c r="U116" s="167">
        <f t="shared" si="21"/>
        <v>4.9127275328200389E-2</v>
      </c>
      <c r="V116" s="167">
        <f t="shared" si="22"/>
        <v>0.44051630948371578</v>
      </c>
      <c r="W116" s="167">
        <f t="shared" si="23"/>
        <v>2.2639859883358399E-2</v>
      </c>
      <c r="AC116" s="207"/>
    </row>
    <row r="117" spans="1:29" ht="15.75" thickTop="1" x14ac:dyDescent="0.25">
      <c r="D117" s="138"/>
      <c r="E117" s="138"/>
      <c r="S117" s="167" t="str">
        <f t="shared" si="19"/>
        <v/>
      </c>
      <c r="T117" s="167">
        <f t="shared" si="20"/>
        <v>0</v>
      </c>
      <c r="U117" s="167">
        <f t="shared" si="21"/>
        <v>0</v>
      </c>
      <c r="V117" s="167">
        <f t="shared" si="22"/>
        <v>0</v>
      </c>
      <c r="W117" s="167">
        <f t="shared" si="23"/>
        <v>0</v>
      </c>
      <c r="AC117" s="207"/>
    </row>
    <row r="118" spans="1:29" x14ac:dyDescent="0.25">
      <c r="B118" s="167" t="s">
        <v>224</v>
      </c>
      <c r="D118" s="138">
        <v>6372</v>
      </c>
      <c r="E118" s="138">
        <v>299893</v>
      </c>
      <c r="G118" s="135">
        <v>65502</v>
      </c>
      <c r="H118" s="135">
        <v>60790.158000000003</v>
      </c>
      <c r="I118" s="135">
        <v>48903.647000000004</v>
      </c>
      <c r="J118" s="135">
        <v>9756.5255200000011</v>
      </c>
      <c r="K118" s="10">
        <v>14732.92598</v>
      </c>
      <c r="L118" s="10">
        <v>132107.75759999998</v>
      </c>
      <c r="M118" s="10">
        <v>6789.5355</v>
      </c>
      <c r="N118" s="135">
        <v>375512.29280356312</v>
      </c>
      <c r="O118" s="135">
        <v>-175137.96228356316</v>
      </c>
      <c r="P118" s="135">
        <v>200374.33052000002</v>
      </c>
      <c r="S118" s="167" t="str">
        <f t="shared" si="19"/>
        <v/>
      </c>
      <c r="T118" s="167">
        <f t="shared" si="20"/>
        <v>3.2533355296722501E-2</v>
      </c>
      <c r="U118" s="167">
        <f t="shared" si="21"/>
        <v>4.9127275328200389E-2</v>
      </c>
      <c r="V118" s="167">
        <f t="shared" si="22"/>
        <v>0.44051630948371578</v>
      </c>
      <c r="W118" s="167">
        <f t="shared" si="23"/>
        <v>2.2639859883358399E-2</v>
      </c>
      <c r="AC118" s="207"/>
    </row>
    <row r="119" spans="1:29" x14ac:dyDescent="0.25">
      <c r="B119" s="167" t="s">
        <v>225</v>
      </c>
      <c r="D119" s="138">
        <f>D118-D116</f>
        <v>0</v>
      </c>
      <c r="E119" s="138">
        <f>E118-E116</f>
        <v>0</v>
      </c>
      <c r="G119" s="135">
        <f t="shared" ref="G119:M119" si="35">G118-G116</f>
        <v>0</v>
      </c>
      <c r="H119" s="135">
        <f t="shared" si="35"/>
        <v>0</v>
      </c>
      <c r="I119" s="135">
        <f t="shared" si="35"/>
        <v>0</v>
      </c>
      <c r="J119" s="135">
        <f t="shared" si="35"/>
        <v>0</v>
      </c>
      <c r="K119" s="10">
        <f t="shared" si="35"/>
        <v>0</v>
      </c>
      <c r="L119" s="10">
        <f t="shared" si="35"/>
        <v>0</v>
      </c>
      <c r="M119" s="10">
        <f t="shared" si="35"/>
        <v>0</v>
      </c>
      <c r="N119" s="135">
        <f>N116-N118</f>
        <v>0</v>
      </c>
      <c r="O119" s="135">
        <f>O116-O118</f>
        <v>0</v>
      </c>
      <c r="P119" s="135">
        <f>P116-P118</f>
        <v>0</v>
      </c>
      <c r="AC119" s="207"/>
    </row>
    <row r="120" spans="1:29" x14ac:dyDescent="0.25">
      <c r="AC120" s="207"/>
    </row>
    <row r="121" spans="1:29" x14ac:dyDescent="0.25">
      <c r="AC121" s="207"/>
    </row>
    <row r="122" spans="1:29" x14ac:dyDescent="0.25">
      <c r="B122" s="220" t="s">
        <v>202</v>
      </c>
      <c r="C122" s="220"/>
      <c r="D122" s="69">
        <f t="shared" ref="D122:E128" si="36">SUMIF($B$3:$B$120,$B122,D$3:D$120)</f>
        <v>1132632</v>
      </c>
      <c r="E122" s="69">
        <f t="shared" si="36"/>
        <v>132344240</v>
      </c>
      <c r="F122" s="69"/>
      <c r="G122" s="221">
        <f t="shared" ref="G122:N129" si="37">SUMIF($B$3:$B$120,$B122,G$3:G$120)</f>
        <v>20822642.16</v>
      </c>
      <c r="H122" s="221">
        <f t="shared" si="37"/>
        <v>14073090.092000002</v>
      </c>
      <c r="I122" s="221">
        <f t="shared" si="37"/>
        <v>23064301.572681997</v>
      </c>
      <c r="J122" s="221">
        <f t="shared" si="37"/>
        <v>19755930.7062</v>
      </c>
      <c r="K122" s="10">
        <f t="shared" si="37"/>
        <v>4799088.5564099997</v>
      </c>
      <c r="L122" s="10">
        <f t="shared" si="37"/>
        <v>33922553.506399997</v>
      </c>
      <c r="M122" s="10">
        <f t="shared" si="37"/>
        <v>14167737.458299998</v>
      </c>
      <c r="N122" s="221">
        <f t="shared" si="37"/>
        <v>130605344.051992</v>
      </c>
      <c r="O122" s="221">
        <f t="shared" ref="O122:P129" si="38">SUMIF($B$3:$B$120,$B122,O$3:O$120)</f>
        <v>-52889379.521109998</v>
      </c>
      <c r="P122" s="221">
        <f t="shared" si="38"/>
        <v>77715964.530882001</v>
      </c>
      <c r="Q122" s="221"/>
      <c r="AC122" s="207"/>
    </row>
    <row r="123" spans="1:29" x14ac:dyDescent="0.25">
      <c r="B123" s="220" t="s">
        <v>203</v>
      </c>
      <c r="C123" s="220"/>
      <c r="D123" s="69">
        <f t="shared" si="36"/>
        <v>204</v>
      </c>
      <c r="E123" s="69">
        <f t="shared" si="36"/>
        <v>269089940.00000006</v>
      </c>
      <c r="F123" s="69"/>
      <c r="G123" s="221">
        <f t="shared" si="37"/>
        <v>2720106</v>
      </c>
      <c r="H123" s="221">
        <f t="shared" si="37"/>
        <v>0</v>
      </c>
      <c r="I123" s="221">
        <f t="shared" si="37"/>
        <v>2832740</v>
      </c>
      <c r="J123" s="221">
        <f t="shared" si="37"/>
        <v>0</v>
      </c>
      <c r="K123" s="10">
        <f t="shared" si="37"/>
        <v>0</v>
      </c>
      <c r="L123" s="10">
        <f t="shared" si="37"/>
        <v>0</v>
      </c>
      <c r="M123" s="10">
        <f t="shared" si="37"/>
        <v>0</v>
      </c>
      <c r="N123" s="221">
        <f t="shared" si="37"/>
        <v>5552846</v>
      </c>
      <c r="O123" s="221">
        <f t="shared" si="38"/>
        <v>-5552846</v>
      </c>
      <c r="P123" s="221">
        <f t="shared" si="38"/>
        <v>0</v>
      </c>
      <c r="Q123" s="221"/>
      <c r="AC123" s="207"/>
    </row>
    <row r="124" spans="1:29" x14ac:dyDescent="0.25">
      <c r="B124" s="220" t="s">
        <v>204</v>
      </c>
      <c r="C124" s="220"/>
      <c r="D124" s="69">
        <f t="shared" si="36"/>
        <v>0</v>
      </c>
      <c r="E124" s="69">
        <f t="shared" si="36"/>
        <v>0</v>
      </c>
      <c r="F124" s="69"/>
      <c r="G124" s="221">
        <f t="shared" si="37"/>
        <v>0</v>
      </c>
      <c r="H124" s="221">
        <f t="shared" si="37"/>
        <v>0</v>
      </c>
      <c r="I124" s="221">
        <f t="shared" si="37"/>
        <v>0</v>
      </c>
      <c r="J124" s="221">
        <f t="shared" si="37"/>
        <v>0</v>
      </c>
      <c r="K124" s="10">
        <f t="shared" si="37"/>
        <v>0</v>
      </c>
      <c r="L124" s="10">
        <f t="shared" si="37"/>
        <v>0</v>
      </c>
      <c r="M124" s="10">
        <f t="shared" si="37"/>
        <v>0</v>
      </c>
      <c r="N124" s="221">
        <f t="shared" si="37"/>
        <v>34718.360000000008</v>
      </c>
      <c r="O124" s="221">
        <f t="shared" si="38"/>
        <v>76</v>
      </c>
      <c r="P124" s="221">
        <f t="shared" si="38"/>
        <v>34794.360000000008</v>
      </c>
      <c r="Q124" s="221"/>
      <c r="AC124" s="207"/>
    </row>
    <row r="125" spans="1:29" x14ac:dyDescent="0.25">
      <c r="B125" s="220" t="s">
        <v>205</v>
      </c>
      <c r="C125" s="220"/>
      <c r="D125" s="69">
        <f t="shared" si="36"/>
        <v>0</v>
      </c>
      <c r="E125" s="69">
        <f t="shared" si="36"/>
        <v>0</v>
      </c>
      <c r="F125" s="69"/>
      <c r="G125" s="221">
        <f t="shared" si="37"/>
        <v>0</v>
      </c>
      <c r="H125" s="221">
        <f t="shared" si="37"/>
        <v>0</v>
      </c>
      <c r="I125" s="221">
        <f t="shared" si="37"/>
        <v>0</v>
      </c>
      <c r="J125" s="221">
        <f t="shared" si="37"/>
        <v>0</v>
      </c>
      <c r="K125" s="10">
        <f t="shared" si="37"/>
        <v>0</v>
      </c>
      <c r="L125" s="10">
        <f t="shared" si="37"/>
        <v>0</v>
      </c>
      <c r="M125" s="10">
        <f t="shared" si="37"/>
        <v>0</v>
      </c>
      <c r="N125" s="221">
        <f t="shared" si="37"/>
        <v>5396147.037295782</v>
      </c>
      <c r="O125" s="221">
        <f t="shared" si="38"/>
        <v>-5396147.037295782</v>
      </c>
      <c r="P125" s="221">
        <f t="shared" si="38"/>
        <v>0</v>
      </c>
      <c r="Q125" s="221"/>
      <c r="AC125" s="207"/>
    </row>
    <row r="126" spans="1:29" x14ac:dyDescent="0.25">
      <c r="B126" s="220" t="s">
        <v>206</v>
      </c>
      <c r="C126" s="220"/>
      <c r="D126" s="69">
        <f t="shared" si="36"/>
        <v>0</v>
      </c>
      <c r="E126" s="69">
        <f t="shared" si="36"/>
        <v>0</v>
      </c>
      <c r="F126" s="69"/>
      <c r="G126" s="221">
        <f t="shared" si="37"/>
        <v>0</v>
      </c>
      <c r="H126" s="221">
        <f t="shared" si="37"/>
        <v>0</v>
      </c>
      <c r="I126" s="221">
        <f t="shared" si="37"/>
        <v>0</v>
      </c>
      <c r="J126" s="221">
        <f t="shared" si="37"/>
        <v>0</v>
      </c>
      <c r="K126" s="10">
        <f t="shared" si="37"/>
        <v>0</v>
      </c>
      <c r="L126" s="10">
        <f t="shared" si="37"/>
        <v>0</v>
      </c>
      <c r="M126" s="10">
        <f t="shared" si="37"/>
        <v>0</v>
      </c>
      <c r="N126" s="221">
        <f t="shared" si="37"/>
        <v>153438</v>
      </c>
      <c r="O126" s="221">
        <f t="shared" si="38"/>
        <v>0</v>
      </c>
      <c r="P126" s="221">
        <f t="shared" si="38"/>
        <v>153438</v>
      </c>
      <c r="Q126" s="221"/>
      <c r="AC126" s="207"/>
    </row>
    <row r="127" spans="1:29" x14ac:dyDescent="0.25">
      <c r="B127" s="220" t="s">
        <v>207</v>
      </c>
      <c r="C127" s="220"/>
      <c r="D127" s="69">
        <f t="shared" si="36"/>
        <v>0</v>
      </c>
      <c r="E127" s="69">
        <f t="shared" si="36"/>
        <v>0</v>
      </c>
      <c r="F127" s="69"/>
      <c r="G127" s="221">
        <f t="shared" si="37"/>
        <v>0</v>
      </c>
      <c r="H127" s="221">
        <f t="shared" si="37"/>
        <v>0</v>
      </c>
      <c r="I127" s="221">
        <f t="shared" si="37"/>
        <v>0</v>
      </c>
      <c r="J127" s="221">
        <f t="shared" si="37"/>
        <v>0</v>
      </c>
      <c r="K127" s="10">
        <f t="shared" si="37"/>
        <v>0</v>
      </c>
      <c r="L127" s="10">
        <f t="shared" si="37"/>
        <v>0</v>
      </c>
      <c r="M127" s="10">
        <f t="shared" si="37"/>
        <v>0</v>
      </c>
      <c r="N127" s="221">
        <f t="shared" si="37"/>
        <v>21240</v>
      </c>
      <c r="O127" s="221">
        <f t="shared" si="38"/>
        <v>0</v>
      </c>
      <c r="P127" s="221">
        <f t="shared" si="38"/>
        <v>21240</v>
      </c>
      <c r="Q127" s="221"/>
      <c r="AC127" s="207"/>
    </row>
    <row r="128" spans="1:29" x14ac:dyDescent="0.25">
      <c r="B128" s="220" t="s">
        <v>208</v>
      </c>
      <c r="C128" s="220"/>
      <c r="D128" s="69">
        <f t="shared" si="36"/>
        <v>0</v>
      </c>
      <c r="E128" s="69">
        <f t="shared" si="36"/>
        <v>0</v>
      </c>
      <c r="F128" s="69"/>
      <c r="G128" s="221">
        <f t="shared" si="37"/>
        <v>0</v>
      </c>
      <c r="H128" s="221">
        <f t="shared" si="37"/>
        <v>0</v>
      </c>
      <c r="I128" s="221">
        <f t="shared" si="37"/>
        <v>0</v>
      </c>
      <c r="J128" s="221">
        <f t="shared" si="37"/>
        <v>0</v>
      </c>
      <c r="K128" s="10">
        <f t="shared" si="37"/>
        <v>0</v>
      </c>
      <c r="L128" s="10">
        <f t="shared" si="37"/>
        <v>0</v>
      </c>
      <c r="M128" s="10">
        <f t="shared" si="37"/>
        <v>0</v>
      </c>
      <c r="N128" s="221">
        <f t="shared" si="37"/>
        <v>1490940</v>
      </c>
      <c r="O128" s="221">
        <f t="shared" si="38"/>
        <v>0</v>
      </c>
      <c r="P128" s="221">
        <f t="shared" si="38"/>
        <v>1490940</v>
      </c>
      <c r="Q128" s="221"/>
      <c r="AC128" s="207"/>
    </row>
    <row r="129" spans="2:29" x14ac:dyDescent="0.25">
      <c r="B129" s="220" t="s">
        <v>209</v>
      </c>
      <c r="C129" s="220"/>
      <c r="D129" s="69"/>
      <c r="E129" s="69"/>
      <c r="F129" s="69"/>
      <c r="G129" s="221">
        <f t="shared" si="37"/>
        <v>0</v>
      </c>
      <c r="H129" s="221">
        <f t="shared" si="37"/>
        <v>0</v>
      </c>
      <c r="I129" s="221">
        <f t="shared" si="37"/>
        <v>0</v>
      </c>
      <c r="J129" s="221">
        <f t="shared" si="37"/>
        <v>0</v>
      </c>
      <c r="K129" s="10">
        <f t="shared" si="37"/>
        <v>0</v>
      </c>
      <c r="L129" s="10">
        <f t="shared" si="37"/>
        <v>0</v>
      </c>
      <c r="M129" s="10">
        <f t="shared" si="37"/>
        <v>0</v>
      </c>
      <c r="N129" s="221">
        <f t="shared" si="37"/>
        <v>1869844</v>
      </c>
      <c r="O129" s="221">
        <f t="shared" si="38"/>
        <v>19097</v>
      </c>
      <c r="P129" s="221">
        <f t="shared" si="38"/>
        <v>1888941</v>
      </c>
      <c r="Q129" s="221"/>
      <c r="AC129" s="207"/>
    </row>
    <row r="130" spans="2:29" x14ac:dyDescent="0.25">
      <c r="B130" s="220"/>
      <c r="C130" s="220"/>
      <c r="D130" s="222">
        <f>SUM(D122:D128)</f>
        <v>1132836</v>
      </c>
      <c r="E130" s="222">
        <f t="shared" ref="E130:N130" si="39">SUM(E122:E128)</f>
        <v>401434180.00000006</v>
      </c>
      <c r="F130" s="222"/>
      <c r="G130" s="223">
        <f t="shared" si="39"/>
        <v>23542748.16</v>
      </c>
      <c r="H130" s="223">
        <f t="shared" si="39"/>
        <v>14073090.092000002</v>
      </c>
      <c r="I130" s="223">
        <f t="shared" si="39"/>
        <v>25897041.572681997</v>
      </c>
      <c r="J130" s="223">
        <f t="shared" si="39"/>
        <v>19755930.7062</v>
      </c>
      <c r="K130" s="224">
        <f t="shared" si="39"/>
        <v>4799088.5564099997</v>
      </c>
      <c r="L130" s="224">
        <f t="shared" si="39"/>
        <v>33922553.506399997</v>
      </c>
      <c r="M130" s="224">
        <f t="shared" si="39"/>
        <v>14167737.458299998</v>
      </c>
      <c r="N130" s="223">
        <f t="shared" si="39"/>
        <v>143254673.4492878</v>
      </c>
      <c r="O130" s="223">
        <f>SUM(O122:O128)</f>
        <v>-63838296.558405779</v>
      </c>
      <c r="P130" s="223">
        <f>SUM(P122:P129)</f>
        <v>81305317.890882</v>
      </c>
      <c r="Q130" s="223"/>
      <c r="AC130" s="207"/>
    </row>
    <row r="131" spans="2:29" x14ac:dyDescent="0.25">
      <c r="B131" s="220"/>
      <c r="C131" s="220"/>
      <c r="D131" s="69"/>
      <c r="E131" s="69"/>
      <c r="F131" s="69"/>
      <c r="G131" s="221"/>
      <c r="H131" s="221"/>
      <c r="I131" s="221"/>
      <c r="J131" s="221"/>
      <c r="N131" s="221"/>
      <c r="O131" s="221"/>
      <c r="P131" s="221"/>
      <c r="Q131" s="221"/>
      <c r="AC131" s="207"/>
    </row>
    <row r="132" spans="2:29" ht="15.75" thickBot="1" x14ac:dyDescent="0.3">
      <c r="B132" s="225" t="s">
        <v>34</v>
      </c>
      <c r="C132" s="220"/>
      <c r="D132" s="69">
        <f>SUMIF($B$3:$B$120,$B132,D$3:D$120)</f>
        <v>1132836</v>
      </c>
      <c r="E132" s="69">
        <f>SUMIF($B$3:$B$120,$B132,E$3:E$120)</f>
        <v>401434180</v>
      </c>
      <c r="F132" s="69"/>
      <c r="G132" s="221">
        <f t="shared" ref="G132:N132" si="40">SUMIF($B$3:$B$120,$B132,G$3:G$120)</f>
        <v>23542748.16</v>
      </c>
      <c r="H132" s="221">
        <f t="shared" si="40"/>
        <v>14073090.092000002</v>
      </c>
      <c r="I132" s="221">
        <f t="shared" si="40"/>
        <v>25897041.572681997</v>
      </c>
      <c r="J132" s="221">
        <f t="shared" si="40"/>
        <v>19755930.7062</v>
      </c>
      <c r="K132" s="10">
        <f t="shared" si="40"/>
        <v>4799088.5564099997</v>
      </c>
      <c r="L132" s="10">
        <f t="shared" si="40"/>
        <v>33922553.506399997</v>
      </c>
      <c r="M132" s="10">
        <f t="shared" si="40"/>
        <v>14167737.458299998</v>
      </c>
      <c r="N132" s="221">
        <f t="shared" si="40"/>
        <v>145458055.44928777</v>
      </c>
      <c r="O132" s="221">
        <f>SUMIF($B$3:$B$120,$B132,O$3:O$120)</f>
        <v>-64152737.558405779</v>
      </c>
      <c r="P132" s="221">
        <f>SUMIF($B$3:$B$120,$B132,P$3:P$120)</f>
        <v>81305317.890882</v>
      </c>
      <c r="Q132" s="221"/>
      <c r="AC132" s="207"/>
    </row>
    <row r="133" spans="2:29" ht="15.75" thickTop="1" x14ac:dyDescent="0.25">
      <c r="AC133" s="207"/>
    </row>
    <row r="134" spans="2:29" x14ac:dyDescent="0.25">
      <c r="P134" s="135">
        <v>81305317.890882015</v>
      </c>
    </row>
    <row r="135" spans="2:29" x14ac:dyDescent="0.25">
      <c r="D135" s="138">
        <v>1132612.5940570179</v>
      </c>
      <c r="E135" s="138">
        <v>132344253.78597832</v>
      </c>
      <c r="G135" s="135">
        <f>G122+H122+I122</f>
        <v>57960033.824681997</v>
      </c>
      <c r="P135" s="135">
        <f>P132-P134</f>
        <v>0</v>
      </c>
    </row>
    <row r="136" spans="2:29" x14ac:dyDescent="0.25">
      <c r="D136" s="138">
        <f>D122-D135</f>
        <v>19.405942982062697</v>
      </c>
      <c r="E136" s="138">
        <f>E122-E135</f>
        <v>-13.785978317260742</v>
      </c>
    </row>
  </sheetData>
  <phoneticPr fontId="7" type="noConversion"/>
  <pageMargins left="0.7" right="0.7" top="0.75" bottom="0.75" header="0.3" footer="0.3"/>
  <pageSetup orientation="portrait" horizontalDpi="1200" verticalDpi="1200" r:id="rId1"/>
</worksheet>
</file>

<file path=customXML/item5.xml>��< ? x m l   v e r s i o n = " 1 . 0 "   e n c o d i n g = " u t f - 1 6 " ? >  
 < p r o p e r t i e s   x m l n s = " h t t p : / / w w w . i m a n a g e . c o m / w o r k / x m l s c h e m a " >  
     < d o c u m e n t i d > A C T I V E ! 1 5 6 7 5 7 7 7 . 1 < / d o c u m e n t i d >  
     < s e n d e r i d > K E A B E T < / s e n d e r i d >  
     < s e n d e r e m a i l > B K E A T I N G @ G U N S T E R . C O M < / s e n d e r e m a i l >  
     < l a s t m o d i f i e d > 2 0 2 2 - 0 7 - 0 4 T 1 8 : 1 0 : 2 8 . 0 0 0 0 0 0 0 - 0 4 : 0 0 < / l a s t m o d i f i e d >  
     < d a t a b a s e > A C T I V E < / d a t a b a s e >  
 < / p r o p e r t i e s > 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F28747DC65444BAA5984907B42FC5" ma:contentTypeVersion="4" ma:contentTypeDescription="Create a new document." ma:contentTypeScope="" ma:versionID="f6e5326aa2448e41161bd848bda14262">
  <xsd:schema xmlns:xsd="http://www.w3.org/2001/XMLSchema" xmlns:xs="http://www.w3.org/2001/XMLSchema" xmlns:p="http://schemas.microsoft.com/office/2006/metadata/properties" xmlns:ns2="88ec399f-bc40-423e-a932-6923d6eb88dd" targetNamespace="http://schemas.microsoft.com/office/2006/metadata/properties" ma:root="true" ma:fieldsID="5f16f0f2b539ed0b4c42a57f5709b08d" ns2:_="">
    <xsd:import namespace="88ec399f-bc40-423e-a932-6923d6eb88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c399f-bc40-423e-a932-6923d6eb88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E67F6B-FF46-473F-93B3-B5FCAB3B0F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94A55-FB5F-4BCF-BF2B-C1EC7FFE2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ec399f-bc40-423e-a932-6923d6eb88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25066C-C6FB-4628-81ED-D5F5624D6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TOC</vt:lpstr>
      <vt:lpstr>JDT-4 Page 1</vt:lpstr>
      <vt:lpstr>JDT-4 Page 2-3</vt:lpstr>
      <vt:lpstr>Rate Design (Consol)</vt:lpstr>
      <vt:lpstr>Bill Impact Detail</vt:lpstr>
      <vt:lpstr>G2-8 Summary</vt:lpstr>
      <vt:lpstr>G2-7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2022-06-08T12:17:37Z</dcterms:created>
  <dcterms:modified xsi:type="dcterms:W3CDTF">2022-07-04T22:10:28Z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0x010100DD2F28747DC65444BAA5984907B42FC5</vt:lpwstr>
  </property>
</Properties>
</file>