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5200" windowHeight="11850" tabRatio="917"/>
  </bookViews>
  <sheets>
    <sheet name="2 Proxy Sum" sheetId="3" r:id="rId1"/>
    <sheet name="3 Stock Price" sheetId="4" r:id="rId2"/>
    <sheet name="4 Div Yields" sheetId="29" r:id="rId3"/>
    <sheet name="5 Growth Determinants" sheetId="52" r:id="rId4"/>
    <sheet name="6 DCF Result" sheetId="92" r:id="rId5"/>
    <sheet name="7 Risk Free Rate" sheetId="10" r:id="rId6"/>
    <sheet name="8 Beta" sheetId="15" r:id="rId7"/>
    <sheet name="9 Implied ERP" sheetId="93" r:id="rId8"/>
    <sheet name="10 ERP Result" sheetId="61" r:id="rId9"/>
    <sheet name="11 CAPM Result" sheetId="7" r:id="rId10"/>
    <sheet name="12 COE Summary" sheetId="17" r:id="rId11"/>
    <sheet name="13 Historic Trends" sheetId="94" r:id="rId12"/>
    <sheet name="14 Proxy Debt Ratios" sheetId="80" r:id="rId13"/>
    <sheet name="15 Competitive Debt Ratios" sheetId="90" r:id="rId14"/>
    <sheet name="16 Hamada Model" sheetId="88" r:id="rId15"/>
    <sheet name="17 Final WACC" sheetId="83" r:id="rId16"/>
    <sheet name="Fig Industry Betas" sheetId="91" r:id="rId17"/>
    <sheet name="Fig CAPM Graph" sheetId="67" r:id="rId18"/>
    <sheet name="Fig Bus Cycle" sheetId="68" r:id="rId19"/>
    <sheet name="Fig Diversify" sheetId="70" r:id="rId20"/>
  </sheets>
  <definedNames>
    <definedName name="_xlnm.Print_Area" localSheetId="8">'10 ERP Result'!$A$2:$E$14</definedName>
    <definedName name="_xlnm.Print_Area" localSheetId="11">'13 Historic Trends'!$A$2:$U$48</definedName>
    <definedName name="_xlnm.Print_Area" localSheetId="13">'15 Competitive Debt Ratios'!$A$2:$E$55</definedName>
    <definedName name="_xlnm.Print_Area" localSheetId="18">'Fig Bus Cycle'!$A$3:$M$6</definedName>
    <definedName name="solver_adj" localSheetId="7" hidden="1">'9 Implied ERP'!$C$38</definedName>
    <definedName name="solver_cvg" localSheetId="7" hidden="1">0.0001</definedName>
    <definedName name="solver_drv" localSheetId="7" hidden="1">1</definedName>
    <definedName name="solver_eng" localSheetId="7" hidden="1">1</definedName>
    <definedName name="solver_est" localSheetId="7" hidden="1">1</definedName>
    <definedName name="solver_itr" localSheetId="7" hidden="1">100</definedName>
    <definedName name="solver_lin" localSheetId="7" hidden="1">2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2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'9 Implied ERP'!$C$34</definedName>
    <definedName name="solver_pre" localSheetId="7" hidden="1">0.000001</definedName>
    <definedName name="solver_rbv" localSheetId="7" hidden="1">1</definedName>
    <definedName name="solver_rlx" localSheetId="7" hidden="1">1</definedName>
    <definedName name="solver_rsd" localSheetId="7" hidden="1">0</definedName>
    <definedName name="solver_scl" localSheetId="7" hidden="1">2</definedName>
    <definedName name="solver_sho" localSheetId="7" hidden="1">2</definedName>
    <definedName name="solver_ssz" localSheetId="7" hidden="1">100</definedName>
    <definedName name="solver_tim" localSheetId="7" hidden="1">100</definedName>
    <definedName name="solver_tol" localSheetId="7" hidden="1">0.05</definedName>
    <definedName name="solver_typ" localSheetId="7" hidden="1">3</definedName>
    <definedName name="solver_val" localSheetId="7" hidden="1">3862</definedName>
    <definedName name="solver_ver" localSheetId="7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61" l="1"/>
  <c r="L37" i="83" l="1"/>
  <c r="C37" i="83"/>
  <c r="P31" i="83"/>
  <c r="G31" i="83"/>
  <c r="P30" i="83"/>
  <c r="G30" i="83"/>
  <c r="P29" i="83"/>
  <c r="G29" i="83"/>
  <c r="P28" i="83"/>
  <c r="G28" i="83"/>
  <c r="G37" i="83" l="1"/>
  <c r="P37" i="83"/>
  <c r="G18" i="92" l="1"/>
  <c r="G13" i="83" l="1"/>
  <c r="P13" i="83"/>
  <c r="U40" i="94"/>
  <c r="M40" i="94"/>
  <c r="K40" i="94" s="1"/>
  <c r="U39" i="94"/>
  <c r="M39" i="94"/>
  <c r="K39" i="94"/>
  <c r="U38" i="94"/>
  <c r="M38" i="94"/>
  <c r="K38" i="94" s="1"/>
  <c r="U37" i="94"/>
  <c r="M37" i="94"/>
  <c r="K37" i="94" s="1"/>
  <c r="U36" i="94"/>
  <c r="M36" i="94"/>
  <c r="K36" i="94" s="1"/>
  <c r="U35" i="94"/>
  <c r="M35" i="94"/>
  <c r="K35" i="94" s="1"/>
  <c r="U34" i="94"/>
  <c r="M34" i="94"/>
  <c r="K34" i="94" s="1"/>
  <c r="U33" i="94"/>
  <c r="M33" i="94"/>
  <c r="K33" i="94" s="1"/>
  <c r="U32" i="94"/>
  <c r="M32" i="94"/>
  <c r="K32" i="94" s="1"/>
  <c r="U31" i="94"/>
  <c r="M31" i="94"/>
  <c r="K31" i="94"/>
  <c r="U30" i="94"/>
  <c r="M30" i="94"/>
  <c r="K30" i="94" s="1"/>
  <c r="U29" i="94"/>
  <c r="M29" i="94"/>
  <c r="K29" i="94" s="1"/>
  <c r="U28" i="94"/>
  <c r="M28" i="94"/>
  <c r="K28" i="94"/>
  <c r="U27" i="94"/>
  <c r="M27" i="94"/>
  <c r="K27" i="94"/>
  <c r="U26" i="94"/>
  <c r="M26" i="94"/>
  <c r="K26" i="94" s="1"/>
  <c r="U25" i="94"/>
  <c r="M25" i="94"/>
  <c r="K25" i="94" s="1"/>
  <c r="U24" i="94"/>
  <c r="M24" i="94"/>
  <c r="K24" i="94" s="1"/>
  <c r="U23" i="94"/>
  <c r="M23" i="94"/>
  <c r="K23" i="94"/>
  <c r="U22" i="94"/>
  <c r="M22" i="94"/>
  <c r="K22" i="94" s="1"/>
  <c r="U21" i="94"/>
  <c r="M21" i="94"/>
  <c r="K21" i="94" s="1"/>
  <c r="U20" i="94"/>
  <c r="M20" i="94"/>
  <c r="K20" i="94"/>
  <c r="U19" i="94"/>
  <c r="M19" i="94"/>
  <c r="K19" i="94"/>
  <c r="U18" i="94"/>
  <c r="M18" i="94"/>
  <c r="K18" i="94" s="1"/>
  <c r="U17" i="94"/>
  <c r="M17" i="94"/>
  <c r="K17" i="94" s="1"/>
  <c r="U16" i="94"/>
  <c r="M16" i="94"/>
  <c r="K16" i="94" s="1"/>
  <c r="U15" i="94"/>
  <c r="M15" i="94"/>
  <c r="K15" i="94"/>
  <c r="U14" i="94"/>
  <c r="M14" i="94"/>
  <c r="K14" i="94" s="1"/>
  <c r="U13" i="94"/>
  <c r="M13" i="94"/>
  <c r="K13" i="94" s="1"/>
  <c r="U12" i="94"/>
  <c r="M12" i="94"/>
  <c r="K12" i="94"/>
  <c r="U11" i="94"/>
  <c r="M11" i="94"/>
  <c r="K11" i="94"/>
  <c r="U10" i="94"/>
  <c r="M10" i="94"/>
  <c r="K10" i="94" s="1"/>
  <c r="U9" i="94"/>
  <c r="M9" i="94"/>
  <c r="K9" i="94" s="1"/>
  <c r="C11" i="61" l="1"/>
  <c r="C21" i="93"/>
  <c r="O17" i="93"/>
  <c r="M17" i="93"/>
  <c r="K17" i="93"/>
  <c r="O16" i="93"/>
  <c r="M16" i="93"/>
  <c r="Q16" i="93" s="1"/>
  <c r="K16" i="93"/>
  <c r="O15" i="93"/>
  <c r="M15" i="93"/>
  <c r="Q15" i="93" s="1"/>
  <c r="K15" i="93"/>
  <c r="O14" i="93"/>
  <c r="M14" i="93"/>
  <c r="K14" i="93"/>
  <c r="O13" i="93"/>
  <c r="M13" i="93"/>
  <c r="Q13" i="93" s="1"/>
  <c r="K13" i="93"/>
  <c r="O12" i="93"/>
  <c r="M12" i="93"/>
  <c r="Q12" i="93" s="1"/>
  <c r="K12" i="93"/>
  <c r="O11" i="93"/>
  <c r="M11" i="93"/>
  <c r="Q11" i="93" s="1"/>
  <c r="K11" i="93"/>
  <c r="O10" i="93"/>
  <c r="M10" i="93"/>
  <c r="K10" i="93"/>
  <c r="O9" i="93"/>
  <c r="M9" i="93"/>
  <c r="Q9" i="93" s="1"/>
  <c r="K9" i="93"/>
  <c r="O8" i="93"/>
  <c r="M8" i="93"/>
  <c r="Q8" i="93" s="1"/>
  <c r="K8" i="93"/>
  <c r="O7" i="93"/>
  <c r="M7" i="93"/>
  <c r="Q7" i="93" s="1"/>
  <c r="K7" i="93"/>
  <c r="Q17" i="93" l="1"/>
  <c r="Q10" i="93"/>
  <c r="Q14" i="93"/>
  <c r="C20" i="93"/>
  <c r="G10" i="29" l="1"/>
  <c r="G11" i="29"/>
  <c r="G12" i="29"/>
  <c r="G13" i="29"/>
  <c r="G14" i="29"/>
  <c r="G15" i="29"/>
  <c r="G16" i="29"/>
  <c r="G9" i="29"/>
  <c r="C16" i="92"/>
  <c r="A16" i="92"/>
  <c r="C15" i="92"/>
  <c r="A15" i="92"/>
  <c r="C14" i="92"/>
  <c r="A14" i="92"/>
  <c r="C13" i="92"/>
  <c r="A13" i="92"/>
  <c r="C12" i="92"/>
  <c r="A12" i="92"/>
  <c r="C11" i="92"/>
  <c r="A11" i="92"/>
  <c r="C10" i="92"/>
  <c r="A10" i="92"/>
  <c r="C9" i="92"/>
  <c r="A9" i="92"/>
  <c r="G18" i="29" l="1"/>
  <c r="L16" i="83" l="1"/>
  <c r="E51" i="90"/>
  <c r="C51" i="90"/>
  <c r="M39" i="90"/>
  <c r="K39" i="90"/>
  <c r="C12" i="80" l="1"/>
  <c r="A12" i="80"/>
  <c r="C12" i="15"/>
  <c r="A12" i="15"/>
  <c r="C15" i="29"/>
  <c r="A15" i="29"/>
  <c r="I4" i="4"/>
  <c r="I6" i="4"/>
  <c r="I15" i="29" s="1"/>
  <c r="I7" i="4"/>
  <c r="G11" i="3"/>
  <c r="A25" i="88"/>
  <c r="K15" i="92" l="1"/>
  <c r="K15" i="29"/>
  <c r="E15" i="92" s="1"/>
  <c r="C28" i="88"/>
  <c r="C27" i="88"/>
  <c r="C26" i="88"/>
  <c r="C25" i="88"/>
  <c r="C24" i="88"/>
  <c r="C23" i="88"/>
  <c r="C22" i="88"/>
  <c r="E8" i="88"/>
  <c r="P14" i="83" l="1"/>
  <c r="P12" i="83"/>
  <c r="G7" i="3"/>
  <c r="A8" i="80"/>
  <c r="C8" i="80"/>
  <c r="A8" i="15"/>
  <c r="C8" i="15"/>
  <c r="A11" i="29"/>
  <c r="C11" i="29"/>
  <c r="E4" i="4"/>
  <c r="E6" i="4"/>
  <c r="I11" i="29" s="1"/>
  <c r="E7" i="4"/>
  <c r="K11" i="92" l="1"/>
  <c r="K11" i="29"/>
  <c r="E11" i="92" s="1"/>
  <c r="P16" i="83"/>
  <c r="G14" i="83" l="1"/>
  <c r="C16" i="83" l="1"/>
  <c r="G12" i="83"/>
  <c r="G16" i="83" l="1"/>
  <c r="G6" i="3" l="1"/>
  <c r="G8" i="3"/>
  <c r="G9" i="3"/>
  <c r="G10" i="3"/>
  <c r="A7" i="80"/>
  <c r="C7" i="80"/>
  <c r="A9" i="80"/>
  <c r="C9" i="80"/>
  <c r="A10" i="80"/>
  <c r="C10" i="80"/>
  <c r="A11" i="80"/>
  <c r="C11" i="80"/>
  <c r="A13" i="80"/>
  <c r="C13" i="80"/>
  <c r="C6" i="80"/>
  <c r="A6" i="80"/>
  <c r="E15" i="80"/>
  <c r="Q14" i="90" s="1"/>
  <c r="C7" i="15" l="1"/>
  <c r="C9" i="15"/>
  <c r="C10" i="15"/>
  <c r="C11" i="15"/>
  <c r="C13" i="15"/>
  <c r="A7" i="15"/>
  <c r="A9" i="15"/>
  <c r="A10" i="15"/>
  <c r="A11" i="15"/>
  <c r="A13" i="15"/>
  <c r="C10" i="29"/>
  <c r="C12" i="29"/>
  <c r="C13" i="29"/>
  <c r="C14" i="29"/>
  <c r="C16" i="29"/>
  <c r="A10" i="29"/>
  <c r="A12" i="29"/>
  <c r="A13" i="29"/>
  <c r="A14" i="29"/>
  <c r="A16" i="29"/>
  <c r="D6" i="4"/>
  <c r="I10" i="29" s="1"/>
  <c r="F6" i="4"/>
  <c r="I12" i="29" s="1"/>
  <c r="G6" i="4"/>
  <c r="I13" i="29" s="1"/>
  <c r="H6" i="4"/>
  <c r="I14" i="29" s="1"/>
  <c r="D7" i="4"/>
  <c r="F7" i="4"/>
  <c r="G7" i="4"/>
  <c r="H7" i="4"/>
  <c r="H4" i="4"/>
  <c r="G4" i="4"/>
  <c r="F4" i="4"/>
  <c r="D4" i="4"/>
  <c r="K10" i="92" l="1"/>
  <c r="K14" i="92"/>
  <c r="K13" i="92"/>
  <c r="K12" i="92"/>
  <c r="K14" i="29"/>
  <c r="E14" i="92" s="1"/>
  <c r="K12" i="29"/>
  <c r="E12" i="92" s="1"/>
  <c r="K13" i="29"/>
  <c r="E13" i="92" s="1"/>
  <c r="K10" i="29"/>
  <c r="E10" i="92" s="1"/>
  <c r="G12" i="3"/>
  <c r="J7" i="4" l="1"/>
  <c r="J6" i="4"/>
  <c r="I16" i="29" s="1"/>
  <c r="J4" i="4"/>
  <c r="K16" i="92" l="1"/>
  <c r="K16" i="29"/>
  <c r="E16" i="92" s="1"/>
  <c r="D119" i="68" l="1"/>
  <c r="D118" i="68"/>
  <c r="D117" i="68"/>
  <c r="D116" i="68"/>
  <c r="D115" i="68"/>
  <c r="D114" i="68"/>
  <c r="D113" i="68"/>
  <c r="D112" i="68"/>
  <c r="D111" i="68"/>
  <c r="D110" i="68"/>
  <c r="D109" i="68"/>
  <c r="D108" i="68"/>
  <c r="D107" i="68"/>
  <c r="D106" i="68"/>
  <c r="D105" i="68"/>
  <c r="D104" i="68"/>
  <c r="M5" i="68" s="1"/>
  <c r="D103" i="68"/>
  <c r="D102" i="68"/>
  <c r="D101" i="68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J5" i="68" s="1"/>
  <c r="D63" i="68"/>
  <c r="D62" i="68"/>
  <c r="D61" i="68"/>
  <c r="D60" i="68"/>
  <c r="D59" i="68"/>
  <c r="D58" i="68"/>
  <c r="D57" i="68"/>
  <c r="D56" i="68"/>
  <c r="D55" i="68"/>
  <c r="D54" i="68"/>
  <c r="D53" i="68"/>
  <c r="D52" i="68"/>
  <c r="D51" i="68"/>
  <c r="D50" i="68"/>
  <c r="D49" i="68"/>
  <c r="D48" i="68"/>
  <c r="D47" i="68"/>
  <c r="D46" i="68"/>
  <c r="D45" i="68"/>
  <c r="D44" i="68"/>
  <c r="D43" i="68"/>
  <c r="D42" i="68"/>
  <c r="D41" i="68"/>
  <c r="D40" i="68"/>
  <c r="D39" i="68"/>
  <c r="D38" i="68"/>
  <c r="D37" i="68"/>
  <c r="D36" i="68"/>
  <c r="D35" i="68"/>
  <c r="D34" i="68"/>
  <c r="D33" i="68"/>
  <c r="D32" i="68"/>
  <c r="D31" i="68"/>
  <c r="D30" i="68"/>
  <c r="D29" i="68"/>
  <c r="D28" i="68"/>
  <c r="D27" i="68"/>
  <c r="D26" i="68"/>
  <c r="D25" i="68"/>
  <c r="D24" i="68"/>
  <c r="G5" i="68" s="1"/>
  <c r="D23" i="68"/>
  <c r="D22" i="68"/>
  <c r="D21" i="68"/>
  <c r="D20" i="68"/>
  <c r="D19" i="68"/>
  <c r="D18" i="68"/>
  <c r="D17" i="68"/>
  <c r="D16" i="68"/>
  <c r="D15" i="68"/>
  <c r="D14" i="68"/>
  <c r="D13" i="68"/>
  <c r="D12" i="68"/>
  <c r="D11" i="68"/>
  <c r="D10" i="68"/>
  <c r="D9" i="68"/>
  <c r="D8" i="68"/>
  <c r="D7" i="68"/>
  <c r="D6" i="68"/>
  <c r="D5" i="68"/>
  <c r="D4" i="68"/>
  <c r="E36" i="10" l="1"/>
  <c r="C22" i="93" s="1"/>
  <c r="C36" i="93" s="1"/>
  <c r="C10" i="52" l="1"/>
  <c r="C12" i="52" s="1"/>
  <c r="I10" i="92" l="1"/>
  <c r="M10" i="92" s="1"/>
  <c r="I9" i="92"/>
  <c r="I11" i="92"/>
  <c r="M11" i="92" s="1"/>
  <c r="I16" i="92"/>
  <c r="M16" i="92" s="1"/>
  <c r="I12" i="92"/>
  <c r="M12" i="92" s="1"/>
  <c r="I13" i="92"/>
  <c r="M13" i="92" s="1"/>
  <c r="I14" i="92"/>
  <c r="M14" i="92" s="1"/>
  <c r="I15" i="92"/>
  <c r="M15" i="92" s="1"/>
  <c r="I18" i="92" l="1"/>
  <c r="C13" i="61"/>
  <c r="E9" i="7" s="1"/>
  <c r="C5" i="67" s="1"/>
  <c r="E10" i="88" l="1"/>
  <c r="E18" i="29"/>
  <c r="G5" i="3" l="1"/>
  <c r="C6" i="4" l="1"/>
  <c r="C9" i="29" l="1"/>
  <c r="A9" i="29"/>
  <c r="C4" i="4"/>
  <c r="C7" i="4"/>
  <c r="B7" i="4"/>
  <c r="I9" i="29"/>
  <c r="B6" i="4"/>
  <c r="C23" i="93" s="1"/>
  <c r="C6" i="15"/>
  <c r="A6" i="15"/>
  <c r="I30" i="93" l="1"/>
  <c r="I32" i="93" s="1"/>
  <c r="E30" i="93"/>
  <c r="E32" i="93" s="1"/>
  <c r="C30" i="93"/>
  <c r="C32" i="93" s="1"/>
  <c r="K30" i="93"/>
  <c r="K31" i="93" s="1"/>
  <c r="K32" i="93" s="1"/>
  <c r="G30" i="93"/>
  <c r="G32" i="93" s="1"/>
  <c r="M9" i="92"/>
  <c r="K9" i="92"/>
  <c r="K9" i="29"/>
  <c r="E9" i="92" s="1"/>
  <c r="E18" i="92" s="1"/>
  <c r="A9" i="7"/>
  <c r="I18" i="29"/>
  <c r="E15" i="15"/>
  <c r="E11" i="88" l="1"/>
  <c r="C4" i="67"/>
  <c r="C34" i="93"/>
  <c r="K18" i="29"/>
  <c r="K18" i="92"/>
  <c r="C8" i="17" s="1"/>
  <c r="M18" i="92"/>
  <c r="C6" i="17" s="1"/>
  <c r="C9" i="7"/>
  <c r="C6" i="67" s="1"/>
  <c r="A12" i="67" s="1"/>
  <c r="D10" i="67" s="1"/>
  <c r="B10" i="67" l="1"/>
  <c r="B11" i="67"/>
  <c r="B13" i="67"/>
  <c r="H9" i="7"/>
  <c r="C10" i="17" s="1"/>
  <c r="E12" i="88"/>
  <c r="E13" i="88" s="1"/>
  <c r="B12" i="67"/>
  <c r="C12" i="67" s="1"/>
  <c r="D11" i="67"/>
  <c r="C7" i="67" l="1"/>
  <c r="E26" i="88"/>
  <c r="G26" i="88" s="1"/>
  <c r="C12" i="17" s="1"/>
  <c r="C15" i="17" s="1"/>
  <c r="E28" i="88"/>
  <c r="G28" i="88" s="1"/>
  <c r="E24" i="88"/>
  <c r="G24" i="88" s="1"/>
  <c r="E23" i="88"/>
  <c r="G23" i="88" s="1"/>
  <c r="E27" i="88"/>
  <c r="G27" i="88" s="1"/>
  <c r="E25" i="88"/>
  <c r="G25" i="88" s="1"/>
  <c r="E22" i="88"/>
  <c r="G22" i="88" s="1"/>
  <c r="C11" i="67"/>
  <c r="C10" i="67"/>
  <c r="E11" i="67" s="1"/>
  <c r="C17" i="17" l="1"/>
  <c r="AH31" i="94"/>
</calcChain>
</file>

<file path=xl/sharedStrings.xml><?xml version="1.0" encoding="utf-8"?>
<sst xmlns="http://schemas.openxmlformats.org/spreadsheetml/2006/main" count="464" uniqueCount="283">
  <si>
    <t>Company</t>
  </si>
  <si>
    <t>Ticker</t>
  </si>
  <si>
    <t>Price</t>
  </si>
  <si>
    <t>[1]</t>
  </si>
  <si>
    <t>[2]</t>
  </si>
  <si>
    <t>[3]</t>
  </si>
  <si>
    <t>[4]</t>
  </si>
  <si>
    <t>[5]</t>
  </si>
  <si>
    <t>Standard Deviation</t>
  </si>
  <si>
    <t>30-day Average</t>
  </si>
  <si>
    <t>Date</t>
  </si>
  <si>
    <t>^GSPC</t>
  </si>
  <si>
    <t>Source</t>
  </si>
  <si>
    <t>Capital Asset Pricing Model</t>
  </si>
  <si>
    <t>[6]</t>
  </si>
  <si>
    <t>[7]</t>
  </si>
  <si>
    <t>[8]</t>
  </si>
  <si>
    <t>Financial Strength</t>
  </si>
  <si>
    <t>Rate</t>
  </si>
  <si>
    <t>[9]</t>
  </si>
  <si>
    <t>Dividends</t>
  </si>
  <si>
    <t>Buyback Yield</t>
  </si>
  <si>
    <t>Dividend Yield</t>
  </si>
  <si>
    <t>Operating Earnings</t>
  </si>
  <si>
    <t>Buybacks</t>
  </si>
  <si>
    <t>Year</t>
  </si>
  <si>
    <t>Earnings Yield</t>
  </si>
  <si>
    <t>Gross Cash Yield</t>
  </si>
  <si>
    <t>Cash Yield</t>
  </si>
  <si>
    <t>Growth Rate</t>
  </si>
  <si>
    <t>[10]</t>
  </si>
  <si>
    <t>Risk-free Rate</t>
  </si>
  <si>
    <t>[11]</t>
  </si>
  <si>
    <t>Current Index Value</t>
  </si>
  <si>
    <t>Expected Dividends</t>
  </si>
  <si>
    <t>Expected Terminal Value</t>
  </si>
  <si>
    <t>Present Value</t>
  </si>
  <si>
    <t>Intrinsic Index Value</t>
  </si>
  <si>
    <t>[12]</t>
  </si>
  <si>
    <t>[13]</t>
  </si>
  <si>
    <t>[14]</t>
  </si>
  <si>
    <t>[15]</t>
  </si>
  <si>
    <t>[16]</t>
  </si>
  <si>
    <t>[17]</t>
  </si>
  <si>
    <t>Implied Equity Risk Premium</t>
  </si>
  <si>
    <t>[5] = [2] / [1]</t>
  </si>
  <si>
    <t>[6] = [3] / [1]</t>
  </si>
  <si>
    <t>[7] = [4] / [1]</t>
  </si>
  <si>
    <t>[8] = [6] + [7]</t>
  </si>
  <si>
    <t>[9] = Average of [8]</t>
  </si>
  <si>
    <t>[18]</t>
  </si>
  <si>
    <t>[19]</t>
  </si>
  <si>
    <t>Beta</t>
  </si>
  <si>
    <t>ROE</t>
  </si>
  <si>
    <t>Value Line Safety Rank</t>
  </si>
  <si>
    <t>Market Category</t>
  </si>
  <si>
    <t>Market Cap. ($ millions)</t>
  </si>
  <si>
    <t>Dividend</t>
  </si>
  <si>
    <t>Required Return on Market</t>
  </si>
  <si>
    <t>[20]</t>
  </si>
  <si>
    <t>Average</t>
  </si>
  <si>
    <t>Industry</t>
  </si>
  <si>
    <t>Broadcasting</t>
  </si>
  <si>
    <t>[19] = [20] + [11]</t>
  </si>
  <si>
    <t>[1] Market value of S&amp;P 500</t>
  </si>
  <si>
    <t>Risk Free Rate</t>
  </si>
  <si>
    <r>
      <t>[13-16] Expected dividends = [9]*[12]*(1+[10])</t>
    </r>
    <r>
      <rPr>
        <vertAlign val="superscript"/>
        <sz val="9"/>
        <color theme="1"/>
        <rFont val="Calibri"/>
        <family val="2"/>
        <scheme val="minor"/>
      </rPr>
      <t>n</t>
    </r>
    <r>
      <rPr>
        <sz val="9"/>
        <color theme="1"/>
        <rFont val="Calibri"/>
        <family val="2"/>
        <scheme val="minor"/>
      </rPr>
      <t xml:space="preserve"> ; Present value = expected dividend / (1+[11]+[19])</t>
    </r>
    <r>
      <rPr>
        <vertAlign val="superscript"/>
        <sz val="9"/>
        <color theme="1"/>
        <rFont val="Calibri"/>
        <family val="2"/>
        <scheme val="minor"/>
      </rPr>
      <t>n</t>
    </r>
    <r>
      <rPr>
        <sz val="9"/>
        <color theme="1"/>
        <rFont val="Calibri"/>
        <family val="2"/>
        <scheme val="minor"/>
      </rPr>
      <t xml:space="preserve"> </t>
    </r>
  </si>
  <si>
    <r>
      <t>[17] Expected terminal value = expected dividend * (1+[11]) / [19] ; Present value = (expected dividend + expected terminal value) / (1+[11]+[19])</t>
    </r>
    <r>
      <rPr>
        <vertAlign val="superscript"/>
        <sz val="9"/>
        <color theme="1"/>
        <rFont val="Calibri"/>
        <family val="2"/>
        <scheme val="minor"/>
      </rPr>
      <t>n</t>
    </r>
  </si>
  <si>
    <t>[18] = Sum([13-17]) present values.</t>
  </si>
  <si>
    <t>[20] Internal rate of return calculation setting [18] equal to [12] and solving for the discount rate</t>
  </si>
  <si>
    <t>Risk-Free</t>
  </si>
  <si>
    <t>Risk</t>
  </si>
  <si>
    <t>CAPM</t>
  </si>
  <si>
    <t xml:space="preserve">Rate </t>
  </si>
  <si>
    <t>Premium</t>
  </si>
  <si>
    <t>Company ERP</t>
  </si>
  <si>
    <t>Result</t>
  </si>
  <si>
    <t>A</t>
  </si>
  <si>
    <t xml:space="preserve">All prices are adjusted closing prices reported by Yahoo! Finance, http://finance.yahoo.com </t>
  </si>
  <si>
    <t>Nominal GDP</t>
  </si>
  <si>
    <t>Yield</t>
  </si>
  <si>
    <t>Stock</t>
  </si>
  <si>
    <t>Garrett</t>
  </si>
  <si>
    <t>IESE Business School Survey</t>
  </si>
  <si>
    <t>Highest</t>
  </si>
  <si>
    <t xml:space="preserve">Beta </t>
  </si>
  <si>
    <t xml:space="preserve">See Betas by Sector (US) at http://pages.stern.nyu.edu/~adamodar/.  </t>
  </si>
  <si>
    <t>Equity risk premium</t>
  </si>
  <si>
    <t>X</t>
  </si>
  <si>
    <t>Y</t>
  </si>
  <si>
    <t>ER</t>
  </si>
  <si>
    <t>a</t>
  </si>
  <si>
    <t>b</t>
  </si>
  <si>
    <t>Top Line</t>
  </si>
  <si>
    <t>Mid Line</t>
  </si>
  <si>
    <t>Bot. Line</t>
  </si>
  <si>
    <t>Top Arrow</t>
  </si>
  <si>
    <t>Bottom Arrow</t>
  </si>
  <si>
    <t>CAPM Result</t>
  </si>
  <si>
    <t>Electric Utilities</t>
  </si>
  <si>
    <t>Gas Utilities</t>
  </si>
  <si>
    <t>Total Utilities</t>
  </si>
  <si>
    <t>S&amp;P 500</t>
  </si>
  <si>
    <t>T-Bond</t>
  </si>
  <si>
    <t>Market</t>
  </si>
  <si>
    <t>#</t>
  </si>
  <si>
    <t>Returns</t>
  </si>
  <si>
    <t>COE</t>
  </si>
  <si>
    <t>[4], [5], [6] Annual S&amp;P 500 return, 10-year T-bond Rate, and equity risk premium published by NYU Stern School of Business</t>
  </si>
  <si>
    <t xml:space="preserve">[7] = [5] + [6] ; Market cost of equity represents the required return for investing in all stocks in the market for a given year </t>
  </si>
  <si>
    <t>Market Value</t>
  </si>
  <si>
    <t>[3] = [1] + [2]</t>
  </si>
  <si>
    <t>Utilities</t>
  </si>
  <si>
    <t>Figure</t>
  </si>
  <si>
    <t># Firms</t>
  </si>
  <si>
    <t>Debt Ratio</t>
  </si>
  <si>
    <t>Hospitals/Healthcare Facilities</t>
  </si>
  <si>
    <t>Advertising</t>
  </si>
  <si>
    <t>Retail (Automotive)</t>
  </si>
  <si>
    <t>Brokerage &amp; Investment Banking</t>
  </si>
  <si>
    <t>Auto &amp; Truck</t>
  </si>
  <si>
    <t>Food Wholesalers</t>
  </si>
  <si>
    <t>Bank (Money Center)</t>
  </si>
  <si>
    <t>Transportation</t>
  </si>
  <si>
    <t>Hotel/Gaming</t>
  </si>
  <si>
    <t>Packaging &amp; Container</t>
  </si>
  <si>
    <t>Retail (Grocery and Food)</t>
  </si>
  <si>
    <t>R.E.I.T.</t>
  </si>
  <si>
    <t>Retail (Special Lines)</t>
  </si>
  <si>
    <t>Green &amp; Renewable Energy</t>
  </si>
  <si>
    <t>Recreation</t>
  </si>
  <si>
    <t>Air Transport</t>
  </si>
  <si>
    <t>Retail (Distributors)</t>
  </si>
  <si>
    <t>Computers/Peripherals</t>
  </si>
  <si>
    <t>Telecom (Wireless)</t>
  </si>
  <si>
    <t>Farming/Agriculture</t>
  </si>
  <si>
    <t>Cable TV</t>
  </si>
  <si>
    <t>Computer Services</t>
  </si>
  <si>
    <t>Beverage (Soft)</t>
  </si>
  <si>
    <t>Telecom. Services</t>
  </si>
  <si>
    <t>Trucking</t>
  </si>
  <si>
    <t>Power</t>
  </si>
  <si>
    <t>Office Equipment &amp; Services</t>
  </si>
  <si>
    <t>Chemical (Diversified)</t>
  </si>
  <si>
    <t>Retail (Online)</t>
  </si>
  <si>
    <t>Aerospace/Defense</t>
  </si>
  <si>
    <t>Oil/Gas Distribution</t>
  </si>
  <si>
    <t>Business &amp; Consumer Services</t>
  </si>
  <si>
    <t>Construction Supplies</t>
  </si>
  <si>
    <t>Real Estate (Operations &amp; Services)</t>
  </si>
  <si>
    <t>Household Products</t>
  </si>
  <si>
    <t>Environmental &amp; Waste Services</t>
  </si>
  <si>
    <t>Rubber&amp; Tires</t>
  </si>
  <si>
    <t>Transportation (Railroads)</t>
  </si>
  <si>
    <t>Total / Average</t>
  </si>
  <si>
    <t>Chemical (Basic)</t>
  </si>
  <si>
    <t>Apparel</t>
  </si>
  <si>
    <t>Real Estate (Development)</t>
  </si>
  <si>
    <t>http://pages.stern.nyu.edu/~adamodar/New_Home_Page/datafile/dbtfund.htm</t>
  </si>
  <si>
    <t>*Daily Treasury Yield Curve Rates on 30-year T-bonds, http://www.treasury.gov/resources-center/data-chart-center/interest-rates/</t>
  </si>
  <si>
    <t>Betas from Value Line Investment Survey</t>
  </si>
  <si>
    <t>Company Cost of Equity</t>
  </si>
  <si>
    <t>Company Proposed ROE</t>
  </si>
  <si>
    <t>Gradual ROE Proposal</t>
  </si>
  <si>
    <t>Real GDP</t>
  </si>
  <si>
    <t>Component</t>
  </si>
  <si>
    <t>Ratio</t>
  </si>
  <si>
    <t>Capital</t>
  </si>
  <si>
    <t>Total</t>
  </si>
  <si>
    <t xml:space="preserve">Cost </t>
  </si>
  <si>
    <t>Weighted</t>
  </si>
  <si>
    <t>Cost</t>
  </si>
  <si>
    <t>Proposed</t>
  </si>
  <si>
    <t>Value Line Investment Survey</t>
  </si>
  <si>
    <t>Damodaran (average)</t>
  </si>
  <si>
    <t>[1] From DJG-7, risk-free rate exhibit</t>
  </si>
  <si>
    <t>[3] From DJG-10, equity risk premium exhibit</t>
  </si>
  <si>
    <t>Coal &amp; Related Energy</t>
  </si>
  <si>
    <t>Debt</t>
  </si>
  <si>
    <t>Proxy</t>
  </si>
  <si>
    <t>[2] From DJG-8, beta exhibit (avg. beta of proxy group)</t>
  </si>
  <si>
    <t>[4] ERP estimation from Exhibit DJG-9</t>
  </si>
  <si>
    <t>[4] = [1] + [2] * [3]</t>
  </si>
  <si>
    <t>Unlevering Beta</t>
  </si>
  <si>
    <t>Proposed Debt Ratio</t>
  </si>
  <si>
    <t>Proposed Equity Ratio</t>
  </si>
  <si>
    <t>Debt / Equity Ratio</t>
  </si>
  <si>
    <t>Tax Rate</t>
  </si>
  <si>
    <t>Equity Risk Premium</t>
  </si>
  <si>
    <t>Proxy Group Beta</t>
  </si>
  <si>
    <t>Unlevered Beta</t>
  </si>
  <si>
    <t>Relevered Betas and Cost of Equity Estimates</t>
  </si>
  <si>
    <t>D/E</t>
  </si>
  <si>
    <t>Levered</t>
  </si>
  <si>
    <t>of Equity</t>
  </si>
  <si>
    <t>[3] = [1] / [2]</t>
  </si>
  <si>
    <t>[4] Tax rate</t>
  </si>
  <si>
    <t>[5] Equity risk premium from Exhibit DJG-11</t>
  </si>
  <si>
    <t>[6] Risk-free rate from Exhibit DJG-11</t>
  </si>
  <si>
    <t>[7] Average proxy beta from Exhibit DJG-11</t>
  </si>
  <si>
    <t>[8] = [7]  / (1 + (1 - [4]) * [3])</t>
  </si>
  <si>
    <t>[10] = [9] / (1 - [9])</t>
  </si>
  <si>
    <t>[11] = [8] * (1 + (1 - [4]) * [10])</t>
  </si>
  <si>
    <t>[12] = [6] + [11] * [5]</t>
  </si>
  <si>
    <t>[1] Company proposed debt ratio</t>
  </si>
  <si>
    <t>[2] Company proposed equity ratio</t>
  </si>
  <si>
    <t>[9] Various debt ratios (Garrett proposed highlighted)</t>
  </si>
  <si>
    <t>NI</t>
  </si>
  <si>
    <t>A+</t>
  </si>
  <si>
    <t>B++</t>
  </si>
  <si>
    <t>B+</t>
  </si>
  <si>
    <t>[1], [2], [3] Average annual authorized ROE for electric and gas utilities, RRA Regulatory Focus:  Major Rate Case Decisions; EEI Rate Review</t>
  </si>
  <si>
    <t>Utility (Water)</t>
  </si>
  <si>
    <t>Paper/Forest Products</t>
  </si>
  <si>
    <t>Long-Term Debt</t>
  </si>
  <si>
    <t>Common Equity</t>
  </si>
  <si>
    <t>ATO</t>
  </si>
  <si>
    <t>CPK</t>
  </si>
  <si>
    <t>NJR</t>
  </si>
  <si>
    <t>NWN</t>
  </si>
  <si>
    <t>OGS</t>
  </si>
  <si>
    <t>SWX</t>
  </si>
  <si>
    <t>SR</t>
  </si>
  <si>
    <t>Atmos Energy Corp</t>
  </si>
  <si>
    <t>Chesapeake Utilities Corp</t>
  </si>
  <si>
    <t>New Jersey Resources Corporation</t>
  </si>
  <si>
    <t>NiSource Inc</t>
  </si>
  <si>
    <t>Northwest Natural Holding Company</t>
  </si>
  <si>
    <t>ONE Gas Inc</t>
  </si>
  <si>
    <t>Southwest Gas Holdings Inc</t>
  </si>
  <si>
    <t>Spire Inc.</t>
  </si>
  <si>
    <t>Aeospace</t>
  </si>
  <si>
    <t>Green Energy</t>
  </si>
  <si>
    <t>Hotel / Gaming</t>
  </si>
  <si>
    <t>Quarterly</t>
  </si>
  <si>
    <t>Annualized</t>
  </si>
  <si>
    <t>[2] = [1] * 4</t>
  </si>
  <si>
    <t>Analyst</t>
  </si>
  <si>
    <t>Growth</t>
  </si>
  <si>
    <t>Sustainable</t>
  </si>
  <si>
    <t>(Analyst Growth)</t>
  </si>
  <si>
    <t>DCF Result</t>
  </si>
  <si>
    <t>(Sustainable Growth)</t>
  </si>
  <si>
    <t>[1] Dividend Yield from Exhibit DJG-4</t>
  </si>
  <si>
    <t>[3] Sustainable growth rate from Exhibit DJG-5</t>
  </si>
  <si>
    <r>
      <t>[4]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sustainable growth rate)</t>
    </r>
  </si>
  <si>
    <r>
      <t>[5] Annual Compounding DCF = D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(1 + g) / P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g (using analyst growth rate)</t>
    </r>
  </si>
  <si>
    <t>Debt ratios from Value Line Investment Survey - Year End 2021</t>
  </si>
  <si>
    <t>[2] Forecasted dividend growth rates - Value Line</t>
  </si>
  <si>
    <t>Proxy Group</t>
  </si>
  <si>
    <t>Water Utility</t>
  </si>
  <si>
    <t>Telecom</t>
  </si>
  <si>
    <t>[1] 2022 Q2 reported quarterly dividends per share.  Nasdaq.com</t>
  </si>
  <si>
    <t>[3] Average stock price from Exhibit DJG-3</t>
  </si>
  <si>
    <t>[4] = [2] / [3]</t>
  </si>
  <si>
    <t>Sustainable Growth Determinants</t>
  </si>
  <si>
    <t>[1-4] S&amp;P Quarterly Press Releases, data found at https://us.spindices.com/indices/equity/sp-500 (additional info tab) (all dollar figures are in $ billions)</t>
  </si>
  <si>
    <t>[11] Risk-free rate from DJG risk-free rate exhibit</t>
  </si>
  <si>
    <t>[12] 30-day average of closing index prices from DJG stock price exhibit</t>
  </si>
  <si>
    <r>
      <t>[10] = Compund annual growth rate of [2] = (end value / beginning value)^</t>
    </r>
    <r>
      <rPr>
        <vertAlign val="superscript"/>
        <sz val="9"/>
        <color theme="1"/>
        <rFont val="Calibri"/>
        <family val="2"/>
        <scheme val="minor"/>
      </rPr>
      <t>1/10</t>
    </r>
    <r>
      <rPr>
        <sz val="9"/>
        <color theme="1"/>
        <rFont val="Calibri"/>
        <family val="2"/>
        <scheme val="minor"/>
      </rPr>
      <t>-1</t>
    </r>
  </si>
  <si>
    <t>Short-Term Debt</t>
  </si>
  <si>
    <t>Cost of Equity Model</t>
  </si>
  <si>
    <t>DCF (Sustainable Growth)</t>
  </si>
  <si>
    <t>DCF (Analyst Growth)</t>
  </si>
  <si>
    <t>Company Proposed</t>
  </si>
  <si>
    <t>Garrett Proposed</t>
  </si>
  <si>
    <t>[1],[2] CBO, The 2021 Long-Term Budget Outlook, p. 34</t>
  </si>
  <si>
    <t>[3] From Exhibit DJG-7</t>
  </si>
  <si>
    <t>[3] http://pages.stern.nyu.edu/~adamodar/ , 7-1-22</t>
  </si>
  <si>
    <t>Hamada (at proposed debt ratio)</t>
  </si>
  <si>
    <t>Long Term Debt</t>
  </si>
  <si>
    <t>Short Term Debt</t>
  </si>
  <si>
    <t>Customer Deposits</t>
  </si>
  <si>
    <t>Deferred Taxes</t>
  </si>
  <si>
    <t>Deferred Tax Common</t>
  </si>
  <si>
    <t>Regulatory Tax Liability</t>
  </si>
  <si>
    <t>Reg Tax Liability Common</t>
  </si>
  <si>
    <t>OPC Proposed</t>
  </si>
  <si>
    <t>[1] IESE Business School Survey 2022</t>
  </si>
  <si>
    <t>[2] Kroll Report 2022</t>
  </si>
  <si>
    <t>Kroll (formerly Duff &amp; Phelps)</t>
  </si>
  <si>
    <t>Adjusted Ratios From Schedule G-3</t>
  </si>
  <si>
    <t>Adjusted Ratios From Exhibit No. PRM-1, Sch.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</si>
</sst>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"/>
    <numFmt numFmtId="166" formatCode="#,##0.000_);[Red]\(#,##0.000\)"/>
    <numFmt numFmtId="167" formatCode="0.00_);[Red]\(0.00\)"/>
    <numFmt numFmtId="168" formatCode="0.000_);[Red]\(0.000\)"/>
    <numFmt numFmtId="169" formatCode="#,##0.0000_);[Red]\(#,##0.0000\)"/>
    <numFmt numFmtId="170" formatCode="mm/dd/yy;@"/>
    <numFmt numFmtId="171" formatCode="0.0"/>
    <numFmt numFmtId="172" formatCode="0.0000"/>
    <numFmt numFmtId="173" formatCode="0.00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vertAlign val="subscript"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Verdana"/>
      <family val="2"/>
    </font>
    <font>
      <sz val="12"/>
      <color theme="1"/>
      <name val="Calibri"/>
      <family val="2"/>
    </font>
    <font>
      <sz val="11"/>
      <color theme="0"/>
      <name val="Calibri"/>
      <family val="2"/>
      <scheme val="minor"/>
    </font>
    <font>
      <sz val="10"/>
      <name val="Geneva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166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10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1" xfId="0" applyBorder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wrapText="1"/>
    </xf>
    <xf numFmtId="10" fontId="2" fillId="0" borderId="0" xfId="1" applyNumberFormat="1" applyFont="1" applyAlignment="1">
      <alignment horizontal="center"/>
    </xf>
    <xf numFmtId="10" fontId="0" fillId="0" borderId="0" xfId="1" applyNumberFormat="1" applyFont="1"/>
    <xf numFmtId="165" fontId="0" fillId="0" borderId="2" xfId="0" applyNumberFormat="1" applyBorder="1" applyAlignment="1">
      <alignment horizontal="center"/>
    </xf>
    <xf numFmtId="10" fontId="2" fillId="0" borderId="0" xfId="0" applyNumberFormat="1" applyFont="1"/>
    <xf numFmtId="0" fontId="2" fillId="0" borderId="0" xfId="0" applyFont="1" applyAlignment="1">
      <alignment horizontal="left"/>
    </xf>
    <xf numFmtId="37" fontId="0" fillId="0" borderId="0" xfId="2" applyNumberFormat="1" applyFont="1" applyAlignment="1">
      <alignment horizontal="right" indent="1"/>
    </xf>
    <xf numFmtId="37" fontId="0" fillId="0" borderId="0" xfId="2" applyNumberFormat="1" applyFont="1" applyAlignment="1">
      <alignment horizontal="right" indent="2"/>
    </xf>
    <xf numFmtId="0" fontId="0" fillId="0" borderId="1" xfId="0" applyBorder="1" applyAlignment="1">
      <alignment horizontal="left"/>
    </xf>
    <xf numFmtId="10" fontId="2" fillId="0" borderId="1" xfId="0" applyNumberFormat="1" applyFont="1" applyBorder="1"/>
    <xf numFmtId="170" fontId="0" fillId="0" borderId="0" xfId="0" applyNumberFormat="1" applyAlignment="1">
      <alignment horizontal="center"/>
    </xf>
    <xf numFmtId="0" fontId="0" fillId="0" borderId="0" xfId="0" applyAlignment="1">
      <alignment horizontal="left" inden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71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70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5" fillId="0" borderId="0" xfId="0" applyFont="1"/>
    <xf numFmtId="166" fontId="0" fillId="0" borderId="1" xfId="0" applyNumberForma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/>
    <xf numFmtId="40" fontId="0" fillId="0" borderId="0" xfId="0" applyNumberFormat="1" applyAlignment="1">
      <alignment horizontal="center"/>
    </xf>
    <xf numFmtId="40" fontId="0" fillId="0" borderId="0" xfId="2" applyNumberFormat="1" applyFont="1" applyAlignment="1">
      <alignment horizontal="center"/>
    </xf>
    <xf numFmtId="40" fontId="0" fillId="0" borderId="0" xfId="0" applyNumberFormat="1" applyAlignment="1">
      <alignment horizontal="right" indent="2"/>
    </xf>
    <xf numFmtId="40" fontId="0" fillId="0" borderId="0" xfId="1" applyNumberFormat="1" applyFont="1" applyAlignment="1">
      <alignment horizontal="right" indent="2"/>
    </xf>
    <xf numFmtId="40" fontId="0" fillId="0" borderId="0" xfId="0" applyNumberFormat="1" applyAlignment="1">
      <alignment horizontal="right" indent="3"/>
    </xf>
    <xf numFmtId="8" fontId="2" fillId="0" borderId="0" xfId="0" applyNumberFormat="1" applyFont="1" applyAlignment="1">
      <alignment horizontal="right" indent="3"/>
    </xf>
    <xf numFmtId="40" fontId="0" fillId="0" borderId="1" xfId="1" applyNumberFormat="1" applyFont="1" applyBorder="1" applyAlignment="1">
      <alignment horizontal="right" indent="2"/>
    </xf>
    <xf numFmtId="8" fontId="2" fillId="0" borderId="0" xfId="0" applyNumberFormat="1" applyFont="1" applyAlignment="1">
      <alignment horizontal="right" indent="2"/>
    </xf>
    <xf numFmtId="0" fontId="2" fillId="0" borderId="1" xfId="0" applyFont="1" applyBorder="1" applyAlignment="1">
      <alignment horizontal="center" wrapText="1"/>
    </xf>
    <xf numFmtId="40" fontId="0" fillId="0" borderId="1" xfId="2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" fontId="0" fillId="0" borderId="0" xfId="0" applyNumberFormat="1" applyAlignment="1">
      <alignment horizontal="right" indent="1"/>
    </xf>
    <xf numFmtId="1" fontId="0" fillId="0" borderId="0" xfId="0" applyNumberFormat="1"/>
    <xf numFmtId="1" fontId="0" fillId="0" borderId="1" xfId="0" applyNumberFormat="1" applyBorder="1" applyAlignment="1">
      <alignment horizontal="right" indent="1"/>
    </xf>
    <xf numFmtId="166" fontId="0" fillId="0" borderId="0" xfId="0" applyNumberFormat="1" applyAlignment="1">
      <alignment horizontal="right" indent="2"/>
    </xf>
    <xf numFmtId="166" fontId="0" fillId="0" borderId="1" xfId="0" applyNumberFormat="1" applyBorder="1" applyAlignment="1">
      <alignment horizontal="right" indent="2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1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0" fontId="11" fillId="0" borderId="0" xfId="1" applyNumberFormat="1" applyFont="1"/>
    <xf numFmtId="164" fontId="11" fillId="0" borderId="0" xfId="1" applyNumberFormat="1" applyFont="1" applyAlignment="1">
      <alignment horizontal="center"/>
    </xf>
    <xf numFmtId="10" fontId="11" fillId="0" borderId="0" xfId="1" applyNumberFormat="1" applyFont="1" applyAlignment="1">
      <alignment horizontal="center"/>
    </xf>
    <xf numFmtId="164" fontId="11" fillId="0" borderId="0" xfId="0" applyNumberFormat="1" applyFont="1"/>
    <xf numFmtId="164" fontId="11" fillId="0" borderId="1" xfId="1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0" borderId="1" xfId="0" applyFont="1" applyBorder="1"/>
    <xf numFmtId="10" fontId="12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38" fontId="15" fillId="0" borderId="0" xfId="0" applyNumberFormat="1" applyFont="1" applyAlignment="1">
      <alignment horizontal="right" indent="1"/>
    </xf>
    <xf numFmtId="38" fontId="15" fillId="0" borderId="0" xfId="0" applyNumberFormat="1" applyFont="1" applyAlignment="1">
      <alignment horizontal="right" indent="3"/>
    </xf>
    <xf numFmtId="38" fontId="15" fillId="0" borderId="0" xfId="0" applyNumberFormat="1" applyFont="1" applyAlignment="1">
      <alignment horizontal="left" indent="1"/>
    </xf>
    <xf numFmtId="38" fontId="15" fillId="0" borderId="0" xfId="0" applyNumberFormat="1" applyFont="1" applyAlignment="1">
      <alignment horizontal="left" indent="2"/>
    </xf>
    <xf numFmtId="0" fontId="15" fillId="0" borderId="0" xfId="0" applyFont="1" applyAlignment="1">
      <alignment horizontal="left" indent="3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38" fontId="15" fillId="0" borderId="1" xfId="0" applyNumberFormat="1" applyFont="1" applyBorder="1" applyAlignment="1">
      <alignment horizontal="right" indent="2"/>
    </xf>
    <xf numFmtId="38" fontId="15" fillId="0" borderId="1" xfId="0" applyNumberFormat="1" applyFont="1" applyBorder="1" applyAlignment="1">
      <alignment horizontal="right" indent="3"/>
    </xf>
    <xf numFmtId="38" fontId="15" fillId="0" borderId="1" xfId="0" applyNumberFormat="1" applyFont="1" applyBorder="1" applyAlignment="1">
      <alignment horizontal="left" indent="1"/>
    </xf>
    <xf numFmtId="38" fontId="15" fillId="0" borderId="1" xfId="0" applyNumberFormat="1" applyFont="1" applyBorder="1" applyAlignment="1">
      <alignment horizontal="left" indent="2"/>
    </xf>
    <xf numFmtId="0" fontId="15" fillId="0" borderId="1" xfId="0" applyFont="1" applyBorder="1" applyAlignment="1">
      <alignment horizontal="left" indent="3"/>
    </xf>
    <xf numFmtId="0" fontId="16" fillId="0" borderId="0" xfId="0" applyFont="1" applyAlignment="1">
      <alignment horizontal="center"/>
    </xf>
    <xf numFmtId="38" fontId="15" fillId="0" borderId="0" xfId="0" applyNumberFormat="1" applyFont="1" applyAlignment="1">
      <alignment horizontal="right" indent="2"/>
    </xf>
    <xf numFmtId="0" fontId="17" fillId="0" borderId="0" xfId="0" applyFont="1"/>
    <xf numFmtId="10" fontId="11" fillId="2" borderId="0" xfId="1" applyNumberFormat="1" applyFont="1" applyFill="1"/>
    <xf numFmtId="0" fontId="18" fillId="0" borderId="0" xfId="0" applyFont="1" applyAlignment="1">
      <alignment wrapText="1"/>
    </xf>
    <xf numFmtId="2" fontId="18" fillId="0" borderId="0" xfId="0" applyNumberFormat="1" applyFont="1" applyAlignment="1">
      <alignment horizontal="center" wrapText="1"/>
    </xf>
    <xf numFmtId="0" fontId="19" fillId="0" borderId="0" xfId="0" applyFont="1"/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72" fontId="0" fillId="0" borderId="0" xfId="0" applyNumberFormat="1"/>
    <xf numFmtId="2" fontId="0" fillId="3" borderId="0" xfId="0" applyNumberFormat="1" applyFill="1"/>
    <xf numFmtId="172" fontId="0" fillId="3" borderId="0" xfId="0" applyNumberFormat="1" applyFill="1"/>
    <xf numFmtId="0" fontId="4" fillId="0" borderId="1" xfId="4" applyBorder="1"/>
    <xf numFmtId="0" fontId="4" fillId="0" borderId="0" xfId="4"/>
    <xf numFmtId="0" fontId="4" fillId="0" borderId="1" xfId="4" applyBorder="1" applyAlignment="1">
      <alignment horizontal="center"/>
    </xf>
    <xf numFmtId="0" fontId="4" fillId="0" borderId="0" xfId="4" applyAlignment="1">
      <alignment horizontal="center"/>
    </xf>
    <xf numFmtId="1" fontId="4" fillId="0" borderId="0" xfId="4" applyNumberFormat="1"/>
    <xf numFmtId="0" fontId="20" fillId="4" borderId="0" xfId="0" applyFont="1" applyFill="1" applyAlignment="1">
      <alignment horizontal="right"/>
    </xf>
    <xf numFmtId="0" fontId="0" fillId="0" borderId="0" xfId="0" applyFont="1" applyAlignment="1">
      <alignment horizontal="left" indent="1"/>
    </xf>
    <xf numFmtId="0" fontId="0" fillId="0" borderId="0" xfId="0" applyFont="1" applyAlignment="1">
      <alignment horizontal="left" indent="3"/>
    </xf>
    <xf numFmtId="0" fontId="0" fillId="0" borderId="1" xfId="0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164" fontId="0" fillId="0" borderId="0" xfId="0" applyNumberFormat="1"/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Fill="1" applyBorder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/>
    <xf numFmtId="164" fontId="13" fillId="0" borderId="0" xfId="1" applyNumberFormat="1" applyFont="1" applyAlignment="1">
      <alignment vertical="top"/>
    </xf>
    <xf numFmtId="0" fontId="5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1" applyFont="1" applyAlignment="1">
      <alignment horizontal="center"/>
    </xf>
    <xf numFmtId="0" fontId="1" fillId="0" borderId="1" xfId="0" applyFont="1" applyBorder="1"/>
    <xf numFmtId="9" fontId="1" fillId="0" borderId="1" xfId="1" applyBorder="1"/>
    <xf numFmtId="0" fontId="1" fillId="0" borderId="0" xfId="0" applyFont="1"/>
    <xf numFmtId="0" fontId="1" fillId="0" borderId="0" xfId="0" applyFont="1" applyAlignment="1">
      <alignment horizontal="right" indent="2"/>
    </xf>
    <xf numFmtId="0" fontId="1" fillId="0" borderId="0" xfId="0" applyFont="1" applyAlignment="1">
      <alignment horizontal="center"/>
    </xf>
    <xf numFmtId="9" fontId="1" fillId="0" borderId="0" xfId="1" applyAlignment="1">
      <alignment horizontal="center"/>
    </xf>
    <xf numFmtId="0" fontId="0" fillId="0" borderId="0" xfId="0" applyAlignment="1">
      <alignment horizontal="right" indent="2"/>
    </xf>
    <xf numFmtId="9" fontId="1" fillId="0" borderId="0" xfId="1" applyFont="1" applyFill="1" applyAlignment="1">
      <alignment horizontal="center"/>
    </xf>
    <xf numFmtId="9" fontId="1" fillId="0" borderId="0" xfId="1" applyFont="1" applyAlignment="1">
      <alignment horizontal="center"/>
    </xf>
    <xf numFmtId="0" fontId="1" fillId="0" borderId="1" xfId="0" applyFont="1" applyBorder="1" applyAlignment="1">
      <alignment horizontal="right" indent="2"/>
    </xf>
    <xf numFmtId="37" fontId="2" fillId="0" borderId="0" xfId="2" applyNumberFormat="1" applyFont="1" applyAlignment="1">
      <alignment horizontal="right" indent="1"/>
    </xf>
    <xf numFmtId="9" fontId="2" fillId="0" borderId="0" xfId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9" fontId="1" fillId="0" borderId="0" xfId="1" applyFont="1" applyFill="1" applyAlignment="1">
      <alignment horizontal="center" vertical="center"/>
    </xf>
    <xf numFmtId="9" fontId="1" fillId="0" borderId="0" xfId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indent="1"/>
    </xf>
    <xf numFmtId="10" fontId="11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9" fontId="2" fillId="0" borderId="1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/>
    <xf numFmtId="0" fontId="15" fillId="0" borderId="1" xfId="0" applyFont="1" applyFill="1" applyBorder="1" applyAlignment="1">
      <alignment horizontal="center"/>
    </xf>
    <xf numFmtId="9" fontId="0" fillId="0" borderId="0" xfId="1" applyFont="1"/>
    <xf numFmtId="0" fontId="0" fillId="0" borderId="0" xfId="0" applyFill="1" applyAlignment="1">
      <alignment horizontal="center" wrapText="1"/>
    </xf>
    <xf numFmtId="0" fontId="0" fillId="0" borderId="1" xfId="0" applyFill="1" applyBorder="1"/>
    <xf numFmtId="9" fontId="0" fillId="0" borderId="1" xfId="1" applyFont="1" applyFill="1" applyBorder="1" applyAlignment="1">
      <alignment horizontal="center"/>
    </xf>
    <xf numFmtId="9" fontId="0" fillId="0" borderId="0" xfId="1" applyNumberFormat="1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right" indent="1"/>
    </xf>
    <xf numFmtId="10" fontId="0" fillId="0" borderId="0" xfId="1" applyNumberFormat="1" applyFont="1" applyAlignment="1">
      <alignment horizontal="right" indent="1"/>
    </xf>
    <xf numFmtId="164" fontId="0" fillId="0" borderId="0" xfId="1" applyNumberFormat="1" applyFon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1" xfId="1" applyNumberFormat="1" applyFont="1" applyBorder="1" applyAlignment="1">
      <alignment horizontal="right" indent="1"/>
    </xf>
    <xf numFmtId="0" fontId="0" fillId="0" borderId="0" xfId="0" applyAlignment="1">
      <alignment horizontal="left" vertical="center"/>
    </xf>
    <xf numFmtId="10" fontId="0" fillId="0" borderId="1" xfId="0" applyNumberFormat="1" applyBorder="1" applyAlignment="1">
      <alignment horizontal="right" indent="1"/>
    </xf>
    <xf numFmtId="10" fontId="0" fillId="0" borderId="0" xfId="0" applyNumberFormat="1" applyAlignment="1">
      <alignment horizontal="right" indent="1"/>
    </xf>
    <xf numFmtId="10" fontId="0" fillId="0" borderId="0" xfId="1" applyNumberFormat="1" applyFont="1" applyFill="1"/>
    <xf numFmtId="0" fontId="23" fillId="0" borderId="0" xfId="0" applyFont="1" applyAlignment="1">
      <alignment horizontal="center"/>
    </xf>
    <xf numFmtId="0" fontId="23" fillId="0" borderId="0" xfId="0" applyFont="1"/>
    <xf numFmtId="9" fontId="1" fillId="0" borderId="0" xfId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44" fontId="0" fillId="0" borderId="0" xfId="13" applyFont="1"/>
    <xf numFmtId="44" fontId="0" fillId="0" borderId="0" xfId="13" applyNumberFormat="1" applyFont="1"/>
    <xf numFmtId="164" fontId="2" fillId="5" borderId="0" xfId="0" applyNumberFormat="1" applyFont="1" applyFill="1" applyAlignment="1">
      <alignment horizontal="center"/>
    </xf>
    <xf numFmtId="166" fontId="0" fillId="0" borderId="0" xfId="0" applyNumberFormat="1"/>
    <xf numFmtId="9" fontId="0" fillId="0" borderId="0" xfId="0" applyNumberFormat="1"/>
    <xf numFmtId="164" fontId="0" fillId="0" borderId="1" xfId="0" applyNumberFormat="1" applyBorder="1"/>
    <xf numFmtId="10" fontId="0" fillId="0" borderId="1" xfId="0" applyNumberFormat="1" applyBorder="1"/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2" fontId="0" fillId="0" borderId="0" xfId="0" applyNumberFormat="1"/>
    <xf numFmtId="42" fontId="0" fillId="0" borderId="0" xfId="0" applyNumberFormat="1" applyAlignment="1">
      <alignment horizontal="center"/>
    </xf>
    <xf numFmtId="9" fontId="0" fillId="0" borderId="0" xfId="1" applyFont="1" applyFill="1"/>
    <xf numFmtId="164" fontId="0" fillId="0" borderId="0" xfId="1" applyNumberFormat="1" applyFont="1" applyFill="1"/>
    <xf numFmtId="2" fontId="0" fillId="0" borderId="0" xfId="1" applyNumberFormat="1" applyFont="1" applyFill="1"/>
    <xf numFmtId="9" fontId="0" fillId="0" borderId="0" xfId="1" applyFont="1" applyAlignment="1">
      <alignment horizontal="right" indent="1"/>
    </xf>
    <xf numFmtId="9" fontId="0" fillId="0" borderId="0" xfId="1" applyFont="1" applyFill="1" applyAlignment="1">
      <alignment horizontal="right" indent="1"/>
    </xf>
    <xf numFmtId="10" fontId="0" fillId="5" borderId="0" xfId="0" applyNumberFormat="1" applyFill="1" applyAlignment="1">
      <alignment horizontal="right" indent="1"/>
    </xf>
    <xf numFmtId="170" fontId="0" fillId="0" borderId="0" xfId="0" applyNumberForma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left"/>
    </xf>
    <xf numFmtId="0" fontId="0" fillId="7" borderId="0" xfId="0" applyFill="1"/>
    <xf numFmtId="9" fontId="1" fillId="7" borderId="0" xfId="1" applyFont="1" applyFill="1" applyAlignment="1">
      <alignment horizontal="center"/>
    </xf>
    <xf numFmtId="0" fontId="1" fillId="7" borderId="1" xfId="0" applyFont="1" applyFill="1" applyBorder="1"/>
    <xf numFmtId="9" fontId="1" fillId="7" borderId="1" xfId="1" applyFill="1" applyBorder="1" applyAlignment="1">
      <alignment horizontal="center"/>
    </xf>
    <xf numFmtId="9" fontId="1" fillId="0" borderId="1" xfId="1" applyBorder="1" applyAlignment="1">
      <alignment horizontal="center"/>
    </xf>
    <xf numFmtId="10" fontId="0" fillId="0" borderId="0" xfId="1" applyNumberFormat="1" applyFont="1" applyFill="1" applyAlignment="1">
      <alignment horizontal="right" indent="1"/>
    </xf>
    <xf numFmtId="0" fontId="0" fillId="0" borderId="0" xfId="0"/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right" indent="2"/>
    </xf>
    <xf numFmtId="164" fontId="2" fillId="0" borderId="0" xfId="1" applyNumberFormat="1" applyFont="1" applyAlignment="1">
      <alignment horizontal="right" indent="2"/>
    </xf>
    <xf numFmtId="164" fontId="0" fillId="0" borderId="0" xfId="1" applyNumberFormat="1" applyFont="1" applyBorder="1" applyAlignment="1">
      <alignment horizontal="right" indent="2"/>
    </xf>
    <xf numFmtId="164" fontId="2" fillId="0" borderId="0" xfId="1" applyNumberFormat="1" applyFont="1" applyBorder="1" applyAlignment="1">
      <alignment horizontal="right" indent="2"/>
    </xf>
    <xf numFmtId="37" fontId="0" fillId="0" borderId="0" xfId="2" applyNumberFormat="1" applyFont="1" applyFill="1" applyAlignment="1">
      <alignment horizontal="center"/>
    </xf>
    <xf numFmtId="164" fontId="2" fillId="5" borderId="4" xfId="1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left"/>
    </xf>
    <xf numFmtId="10" fontId="0" fillId="0" borderId="0" xfId="1" applyNumberFormat="1" applyFont="1" applyFill="1" applyAlignment="1">
      <alignment horizontal="left"/>
    </xf>
    <xf numFmtId="164" fontId="2" fillId="5" borderId="0" xfId="1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horizontal="center" vertical="center"/>
    </xf>
    <xf numFmtId="10" fontId="0" fillId="8" borderId="0" xfId="0" applyNumberFormat="1" applyFill="1" applyAlignment="1">
      <alignment horizontal="right" indent="1"/>
    </xf>
    <xf numFmtId="164" fontId="0" fillId="8" borderId="0" xfId="1" applyNumberFormat="1" applyFont="1" applyFill="1" applyAlignment="1">
      <alignment horizontal="right" indent="1"/>
    </xf>
    <xf numFmtId="164" fontId="0" fillId="5" borderId="0" xfId="1" applyNumberFormat="1" applyFont="1" applyFill="1" applyAlignment="1">
      <alignment horizontal="right" indent="1"/>
    </xf>
    <xf numFmtId="164" fontId="0" fillId="0" borderId="0" xfId="1" applyNumberFormat="1" applyFont="1" applyFill="1" applyAlignment="1">
      <alignment horizontal="right" indent="1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0" fontId="8" fillId="0" borderId="0" xfId="0" applyFont="1" applyBorder="1"/>
    <xf numFmtId="164" fontId="8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2" fillId="5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right" indent="2"/>
    </xf>
    <xf numFmtId="164" fontId="0" fillId="0" borderId="0" xfId="0" applyNumberFormat="1" applyAlignment="1">
      <alignment horizontal="right" indent="2"/>
    </xf>
    <xf numFmtId="0" fontId="1" fillId="2" borderId="0" xfId="0" applyFont="1" applyFill="1"/>
    <xf numFmtId="0" fontId="11" fillId="0" borderId="1" xfId="0" applyFont="1" applyFill="1" applyBorder="1"/>
    <xf numFmtId="0" fontId="1" fillId="0" borderId="1" xfId="0" applyFont="1" applyFill="1" applyBorder="1"/>
    <xf numFmtId="164" fontId="8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3" fontId="0" fillId="0" borderId="0" xfId="0" applyNumberFormat="1"/>
    <xf numFmtId="173" fontId="0" fillId="0" borderId="1" xfId="0" applyNumberFormat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173" fontId="0" fillId="5" borderId="0" xfId="0" applyNumberFormat="1" applyFill="1"/>
    <xf numFmtId="10" fontId="0" fillId="5" borderId="0" xfId="0" applyNumberFormat="1" applyFill="1"/>
    <xf numFmtId="0" fontId="0" fillId="0" borderId="0" xfId="0"/>
    <xf numFmtId="0" fontId="0" fillId="0" borderId="0" xfId="0" applyFont="1" applyFill="1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5" fillId="0" borderId="0" xfId="0" applyFont="1" applyFill="1"/>
    <xf numFmtId="14" fontId="5" fillId="0" borderId="0" xfId="0" applyNumberFormat="1" applyFont="1"/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4">
    <cellStyle name="_x000a_bidires=100_x000d_" xfId="3"/>
    <cellStyle name="Comma" xfId="2" builtinId="3"/>
    <cellStyle name="Comma 2" xfId="6"/>
    <cellStyle name="Currency" xfId="13" builtinId="4"/>
    <cellStyle name="Currency 15" xfId="9"/>
    <cellStyle name="Normal" xfId="0" builtinId="0"/>
    <cellStyle name="Normal 2" xfId="4"/>
    <cellStyle name="Normal 3" xfId="11"/>
    <cellStyle name="Normal 4 2" xfId="8"/>
    <cellStyle name="Percent" xfId="1" builtinId="5"/>
    <cellStyle name="Percent 10" xfId="10"/>
    <cellStyle name="Percent 2" xfId="5"/>
    <cellStyle name="Percent 3" xfId="7"/>
    <cellStyle name="Percent 4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0"/>
          <c:order val="0"/>
          <c:tx>
            <c:strRef>
              <c:f>'10 ERP Result'!$A$5</c:f>
              <c:strCache>
                <c:ptCount val="1"/>
                <c:pt idx="0">
                  <c:v>IESE Business School Survey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0"/>
              <c:layout>
                <c:manualLayout>
                  <c:x val="-3.3078677233260097E-3"/>
                  <c:y val="-7.39221148845880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IESE </a:t>
                    </a:r>
                  </a:p>
                  <a:p>
                    <a:r>
                      <a:rPr lang="en-US"/>
                      <a:t>Expert Survey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Result'!$C$5</c:f>
              <c:numCache>
                <c:formatCode>0.0%</c:formatCode>
                <c:ptCount val="1"/>
                <c:pt idx="0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8-417D-8839-F59111CA5FA3}"/>
            </c:ext>
          </c:extLst>
        </c:ser>
        <c:ser>
          <c:idx val="5"/>
          <c:order val="1"/>
          <c:tx>
            <c:v>Damodaran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3.3085190065950247E-3"/>
                  <c:y val="-2.844966524915244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Result'!$C$9</c:f>
              <c:numCache>
                <c:formatCode>0.0%</c:formatCode>
                <c:ptCount val="1"/>
                <c:pt idx="0">
                  <c:v>5.5059999999999998E-2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18-417D-8839-F59111CA5FA3}"/>
            </c:ext>
          </c:extLst>
        </c:ser>
        <c:ser>
          <c:idx val="0"/>
          <c:order val="2"/>
          <c:tx>
            <c:strRef>
              <c:f>'10 ERP Result'!$H$5</c:f>
              <c:strCache>
                <c:ptCount val="1"/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'10 ERP Result'!$C$7</c:f>
              <c:numCache>
                <c:formatCode>0.0%</c:formatCode>
                <c:ptCount val="1"/>
                <c:pt idx="0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8-417D-8839-F59111CA5FA3}"/>
            </c:ext>
          </c:extLst>
        </c:ser>
        <c:ser>
          <c:idx val="2"/>
          <c:order val="3"/>
          <c:tx>
            <c:strRef>
              <c:f>'10 ERP Result'!$A$11</c:f>
              <c:strCache>
                <c:ptCount val="1"/>
                <c:pt idx="0">
                  <c:v>Garrett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6.080259909566853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Result'!$C$11</c:f>
              <c:numCache>
                <c:formatCode>0.0%</c:formatCode>
                <c:ptCount val="1"/>
                <c:pt idx="0">
                  <c:v>5.7818586596033145E-2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18-417D-8839-F59111CA5FA3}"/>
            </c:ext>
          </c:extLst>
        </c:ser>
        <c:ser>
          <c:idx val="3"/>
          <c:order val="4"/>
          <c:tx>
            <c:strRef>
              <c:f>'10 ERP Result'!$H$4</c:f>
              <c:strCache>
                <c:ptCount val="1"/>
                <c:pt idx="0">
                  <c:v>Company ERP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prstClr val="black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14300"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018-417D-8839-F59111CA5FA3}"/>
              </c:ext>
            </c:extLst>
          </c:dPt>
          <c:dLbls>
            <c:dLbl>
              <c:idx val="0"/>
              <c:layout>
                <c:manualLayout>
                  <c:x val="-9.5688231446537392E-4"/>
                  <c:y val="-1.6058447270781467E-2"/>
                </c:manualLayout>
              </c:layout>
              <c:tx>
                <c:rich>
                  <a:bodyPr/>
                  <a:lstStyle/>
                  <a:p>
                    <a:r>
                      <a:rPr lang="en-US" sz="1800"/>
                      <a:t>Moul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0649480432327"/>
                      <c:h val="9.61811723451573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0018-417D-8839-F59111CA5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'10 ERP Result'!$I$4</c:f>
              <c:numCache>
                <c:formatCode>0.00%</c:formatCode>
                <c:ptCount val="1"/>
                <c:pt idx="0">
                  <c:v>0.1023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18-417D-8839-F59111CA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-30"/>
        <c:axId val="387372176"/>
        <c:axId val="387371056"/>
      </c:barChart>
      <c:catAx>
        <c:axId val="387372176"/>
        <c:scaling>
          <c:orientation val="minMax"/>
        </c:scaling>
        <c:delete val="1"/>
        <c:axPos val="b"/>
        <c:majorTickMark val="out"/>
        <c:minorTickMark val="none"/>
        <c:tickLblPos val="none"/>
        <c:crossAx val="387371056"/>
        <c:crosses val="autoZero"/>
        <c:auto val="1"/>
        <c:lblAlgn val="ctr"/>
        <c:lblOffset val="100"/>
        <c:noMultiLvlLbl val="0"/>
      </c:catAx>
      <c:valAx>
        <c:axId val="387371056"/>
        <c:scaling>
          <c:orientation val="minMax"/>
          <c:max val="0.12000000000000001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%" sourceLinked="0"/>
        <c:majorTickMark val="out"/>
        <c:minorTickMark val="none"/>
        <c:tickLblPos val="nextTo"/>
        <c:crossAx val="387372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588" l="0.70000000000000062" r="0.70000000000000062" t="0.7500000000000058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Authorized Electric ROE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'13 Historic Trends'!$A$9:$A$40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xVal>
          <c:yVal>
            <c:numRef>
              <c:f>'13 Historic Trends'!$C$9:$C$40</c:f>
              <c:numCache>
                <c:formatCode>0.00%</c:formatCode>
                <c:ptCount val="32"/>
                <c:pt idx="0">
                  <c:v>0.127</c:v>
                </c:pt>
                <c:pt idx="1">
                  <c:v>0.12539999999999998</c:v>
                </c:pt>
                <c:pt idx="2">
                  <c:v>0.12089999999999999</c:v>
                </c:pt>
                <c:pt idx="3">
                  <c:v>0.11460000000000001</c:v>
                </c:pt>
                <c:pt idx="4">
                  <c:v>0.11210000000000001</c:v>
                </c:pt>
                <c:pt idx="5">
                  <c:v>0.1158</c:v>
                </c:pt>
                <c:pt idx="6">
                  <c:v>0.114</c:v>
                </c:pt>
                <c:pt idx="7">
                  <c:v>0.1133</c:v>
                </c:pt>
                <c:pt idx="8">
                  <c:v>0.1177</c:v>
                </c:pt>
                <c:pt idx="9">
                  <c:v>0.1072</c:v>
                </c:pt>
                <c:pt idx="10">
                  <c:v>0.1158</c:v>
                </c:pt>
                <c:pt idx="11">
                  <c:v>0.11070000000000001</c:v>
                </c:pt>
                <c:pt idx="12">
                  <c:v>0.11210000000000001</c:v>
                </c:pt>
                <c:pt idx="13">
                  <c:v>0.1096</c:v>
                </c:pt>
                <c:pt idx="14">
                  <c:v>0.1081</c:v>
                </c:pt>
                <c:pt idx="15">
                  <c:v>0.1051</c:v>
                </c:pt>
                <c:pt idx="16">
                  <c:v>0.1032</c:v>
                </c:pt>
                <c:pt idx="17">
                  <c:v>0.10300000000000001</c:v>
                </c:pt>
                <c:pt idx="18">
                  <c:v>0.1041</c:v>
                </c:pt>
                <c:pt idx="19">
                  <c:v>0.1052</c:v>
                </c:pt>
                <c:pt idx="20">
                  <c:v>0.10369999999999999</c:v>
                </c:pt>
                <c:pt idx="21">
                  <c:v>0.10289999999999999</c:v>
                </c:pt>
                <c:pt idx="22">
                  <c:v>0.1017</c:v>
                </c:pt>
                <c:pt idx="23">
                  <c:v>0.1003</c:v>
                </c:pt>
                <c:pt idx="24">
                  <c:v>9.9100000000000008E-2</c:v>
                </c:pt>
                <c:pt idx="25">
                  <c:v>9.849999999999999E-2</c:v>
                </c:pt>
                <c:pt idx="26">
                  <c:v>9.7699999999999995E-2</c:v>
                </c:pt>
                <c:pt idx="27">
                  <c:v>9.74E-2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9.4399999999999998E-2</c:v>
                </c:pt>
                <c:pt idx="31">
                  <c:v>9.4E-2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0A1-4D6C-8727-A69C2F823A8C}"/>
            </c:ext>
          </c:extLst>
        </c:ser>
        <c:ser>
          <c:idx val="3"/>
          <c:order val="3"/>
          <c:tx>
            <c:v>Risk-free Rate</c:v>
          </c:tx>
          <c:spPr>
            <a:ln w="25400" cap="rnd">
              <a:solidFill>
                <a:schemeClr val="accent4"/>
              </a:solidFill>
              <a:prstDash val="lgDash"/>
              <a:round/>
            </a:ln>
            <a:effectLst/>
          </c:spPr>
          <c:marker>
            <c:symbol val="none"/>
          </c:marker>
          <c:xVal>
            <c:numRef>
              <c:f>'13 Historic Trends'!$A$9:$A$40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xVal>
          <c:yVal>
            <c:numRef>
              <c:f>'13 Historic Trends'!$Q$9:$Q$40</c:f>
              <c:numCache>
                <c:formatCode>0.00%</c:formatCode>
                <c:ptCount val="32"/>
                <c:pt idx="0">
                  <c:v>8.0699999999999994E-2</c:v>
                </c:pt>
                <c:pt idx="1">
                  <c:v>6.7000000000000004E-2</c:v>
                </c:pt>
                <c:pt idx="2">
                  <c:v>6.6799999999999998E-2</c:v>
                </c:pt>
                <c:pt idx="3">
                  <c:v>5.79E-2</c:v>
                </c:pt>
                <c:pt idx="4">
                  <c:v>7.8200000000000006E-2</c:v>
                </c:pt>
                <c:pt idx="5">
                  <c:v>5.57E-2</c:v>
                </c:pt>
                <c:pt idx="6">
                  <c:v>6.4100000000000004E-2</c:v>
                </c:pt>
                <c:pt idx="7">
                  <c:v>5.74E-2</c:v>
                </c:pt>
                <c:pt idx="8">
                  <c:v>4.65E-2</c:v>
                </c:pt>
                <c:pt idx="9">
                  <c:v>6.4399999999999999E-2</c:v>
                </c:pt>
                <c:pt idx="10">
                  <c:v>5.11E-2</c:v>
                </c:pt>
                <c:pt idx="11">
                  <c:v>5.0500000000000003E-2</c:v>
                </c:pt>
                <c:pt idx="12">
                  <c:v>3.8100000000000002E-2</c:v>
                </c:pt>
                <c:pt idx="13">
                  <c:v>4.2500000000000003E-2</c:v>
                </c:pt>
                <c:pt idx="14">
                  <c:v>4.2200000000000001E-2</c:v>
                </c:pt>
                <c:pt idx="15">
                  <c:v>4.3900000000000002E-2</c:v>
                </c:pt>
                <c:pt idx="16">
                  <c:v>4.7E-2</c:v>
                </c:pt>
                <c:pt idx="17">
                  <c:v>4.02E-2</c:v>
                </c:pt>
                <c:pt idx="18">
                  <c:v>2.2100000000000002E-2</c:v>
                </c:pt>
                <c:pt idx="19">
                  <c:v>3.8399999999999997E-2</c:v>
                </c:pt>
                <c:pt idx="20">
                  <c:v>3.2899999999999999E-2</c:v>
                </c:pt>
                <c:pt idx="21">
                  <c:v>1.8800000000000001E-2</c:v>
                </c:pt>
                <c:pt idx="22">
                  <c:v>1.7600000000000001E-2</c:v>
                </c:pt>
                <c:pt idx="23">
                  <c:v>3.04E-2</c:v>
                </c:pt>
                <c:pt idx="24">
                  <c:v>2.1700000000000001E-2</c:v>
                </c:pt>
                <c:pt idx="25">
                  <c:v>2.2700000000000001E-2</c:v>
                </c:pt>
                <c:pt idx="26">
                  <c:v>2.4500000000000001E-2</c:v>
                </c:pt>
                <c:pt idx="27">
                  <c:v>2.41E-2</c:v>
                </c:pt>
                <c:pt idx="28">
                  <c:v>2.6800000000000001E-2</c:v>
                </c:pt>
                <c:pt idx="29">
                  <c:v>1.9199999999999998E-2</c:v>
                </c:pt>
                <c:pt idx="30">
                  <c:v>9.2999999999999992E-3</c:v>
                </c:pt>
                <c:pt idx="31">
                  <c:v>1.5100000000000001E-2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A1-4D6C-8727-A69C2F823A8C}"/>
            </c:ext>
          </c:extLst>
        </c:ser>
        <c:ser>
          <c:idx val="4"/>
          <c:order val="4"/>
          <c:tx>
            <c:v>Equity Risk Premium</c:v>
          </c:tx>
          <c:spPr>
            <a:ln w="2540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'13 Historic Trends'!$A$9:$A$40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xVal>
          <c:yVal>
            <c:numRef>
              <c:f>'13 Historic Trends'!$S$9:$S$40</c:f>
              <c:numCache>
                <c:formatCode>0.00%</c:formatCode>
                <c:ptCount val="32"/>
                <c:pt idx="0">
                  <c:v>3.8899999999999997E-2</c:v>
                </c:pt>
                <c:pt idx="1">
                  <c:v>3.4799999999999998E-2</c:v>
                </c:pt>
                <c:pt idx="2">
                  <c:v>3.5499999999999997E-2</c:v>
                </c:pt>
                <c:pt idx="3">
                  <c:v>3.1699999999999999E-2</c:v>
                </c:pt>
                <c:pt idx="4">
                  <c:v>3.5499999999999997E-2</c:v>
                </c:pt>
                <c:pt idx="5">
                  <c:v>3.2899999999999999E-2</c:v>
                </c:pt>
                <c:pt idx="6">
                  <c:v>3.2000000000000001E-2</c:v>
                </c:pt>
                <c:pt idx="7">
                  <c:v>2.7300000000000001E-2</c:v>
                </c:pt>
                <c:pt idx="8">
                  <c:v>2.2599999999999999E-2</c:v>
                </c:pt>
                <c:pt idx="9">
                  <c:v>2.0500000000000001E-2</c:v>
                </c:pt>
                <c:pt idx="10">
                  <c:v>2.87E-2</c:v>
                </c:pt>
                <c:pt idx="11">
                  <c:v>3.6200000000000003E-2</c:v>
                </c:pt>
                <c:pt idx="12">
                  <c:v>4.1000000000000002E-2</c:v>
                </c:pt>
                <c:pt idx="13">
                  <c:v>3.6900000000000002E-2</c:v>
                </c:pt>
                <c:pt idx="14">
                  <c:v>3.6499999999999998E-2</c:v>
                </c:pt>
                <c:pt idx="15">
                  <c:v>4.0800000000000003E-2</c:v>
                </c:pt>
                <c:pt idx="16">
                  <c:v>4.1599999999999998E-2</c:v>
                </c:pt>
                <c:pt idx="17">
                  <c:v>4.3700000000000003E-2</c:v>
                </c:pt>
                <c:pt idx="18">
                  <c:v>6.4299999999999996E-2</c:v>
                </c:pt>
                <c:pt idx="19">
                  <c:v>4.36E-2</c:v>
                </c:pt>
                <c:pt idx="20">
                  <c:v>5.1999999999999998E-2</c:v>
                </c:pt>
                <c:pt idx="21">
                  <c:v>6.0100000000000001E-2</c:v>
                </c:pt>
                <c:pt idx="22">
                  <c:v>5.7799999999999997E-2</c:v>
                </c:pt>
                <c:pt idx="23">
                  <c:v>4.9599999999999998E-2</c:v>
                </c:pt>
                <c:pt idx="24">
                  <c:v>5.7799999999999997E-2</c:v>
                </c:pt>
                <c:pt idx="25">
                  <c:v>6.1199999999999997E-2</c:v>
                </c:pt>
                <c:pt idx="26">
                  <c:v>5.6899999999999999E-2</c:v>
                </c:pt>
                <c:pt idx="27">
                  <c:v>5.0799999999999998E-2</c:v>
                </c:pt>
                <c:pt idx="28">
                  <c:v>5.96E-2</c:v>
                </c:pt>
                <c:pt idx="29">
                  <c:v>5.1999999999999998E-2</c:v>
                </c:pt>
                <c:pt idx="30">
                  <c:v>4.7199999999999999E-2</c:v>
                </c:pt>
                <c:pt idx="31">
                  <c:v>4.24E-2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A1-4D6C-8727-A69C2F823A8C}"/>
            </c:ext>
          </c:extLst>
        </c:ser>
        <c:ser>
          <c:idx val="5"/>
          <c:order val="5"/>
          <c:tx>
            <c:v>Market Cost of Equity</c:v>
          </c:tx>
          <c:spPr>
            <a:ln w="25400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'13 Historic Trends'!$A$9:$A$40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xVal>
          <c:yVal>
            <c:numRef>
              <c:f>'13 Historic Trends'!$U$9:$U$40</c:f>
              <c:numCache>
                <c:formatCode>0.00%</c:formatCode>
                <c:ptCount val="32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  <c:pt idx="30">
                  <c:v>5.6499999999999995E-2</c:v>
                </c:pt>
                <c:pt idx="31">
                  <c:v>5.7500000000000002E-2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0A1-4D6C-8727-A69C2F82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Authorized Gas ROE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'13 Historic Trends'!$A$9:$A$42</c15:sqref>
                        </c15:formulaRef>
                      </c:ext>
                    </c:extLst>
                    <c:numCache>
                      <c:formatCode>General</c:formatCode>
                      <c:ptCount val="34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'13 Historic Trends'!$G$9:$G$40</c15:sqref>
                        </c15:formulaRef>
                      </c:ext>
                    </c:extLst>
                    <c:numCache>
                      <c:formatCode>0.00%</c:formatCode>
                      <c:ptCount val="32"/>
                      <c:pt idx="0">
                        <c:v>0.1268</c:v>
                      </c:pt>
                      <c:pt idx="1">
                        <c:v>0.1245</c:v>
                      </c:pt>
                      <c:pt idx="2">
                        <c:v>0.1202</c:v>
                      </c:pt>
                      <c:pt idx="3">
                        <c:v>0.1137</c:v>
                      </c:pt>
                      <c:pt idx="4">
                        <c:v>0.1124</c:v>
                      </c:pt>
                      <c:pt idx="5">
                        <c:v>0.1144</c:v>
                      </c:pt>
                      <c:pt idx="6">
                        <c:v>0.11119999999999999</c:v>
                      </c:pt>
                      <c:pt idx="7">
                        <c:v>0.113</c:v>
                      </c:pt>
                      <c:pt idx="8">
                        <c:v>0.11509999999999999</c:v>
                      </c:pt>
                      <c:pt idx="9">
                        <c:v>0.1074</c:v>
                      </c:pt>
                      <c:pt idx="10">
                        <c:v>0.1134</c:v>
                      </c:pt>
                      <c:pt idx="11">
                        <c:v>0.1096</c:v>
                      </c:pt>
                      <c:pt idx="12">
                        <c:v>0.11169999999999999</c:v>
                      </c:pt>
                      <c:pt idx="13">
                        <c:v>0.1099</c:v>
                      </c:pt>
                      <c:pt idx="14">
                        <c:v>0.10630000000000001</c:v>
                      </c:pt>
                      <c:pt idx="15">
                        <c:v>0.1041</c:v>
                      </c:pt>
                      <c:pt idx="16">
                        <c:v>0.10400000000000001</c:v>
                      </c:pt>
                      <c:pt idx="17">
                        <c:v>0.10220000000000001</c:v>
                      </c:pt>
                      <c:pt idx="18">
                        <c:v>0.10390000000000001</c:v>
                      </c:pt>
                      <c:pt idx="19">
                        <c:v>0.10220000000000001</c:v>
                      </c:pt>
                      <c:pt idx="20">
                        <c:v>0.10150000000000001</c:v>
                      </c:pt>
                      <c:pt idx="21">
                        <c:v>9.9199999999999997E-2</c:v>
                      </c:pt>
                      <c:pt idx="22">
                        <c:v>9.9399999999999988E-2</c:v>
                      </c:pt>
                      <c:pt idx="23">
                        <c:v>9.6799999999999997E-2</c:v>
                      </c:pt>
                      <c:pt idx="24">
                        <c:v>9.7799999999999998E-2</c:v>
                      </c:pt>
                      <c:pt idx="25">
                        <c:v>9.6000000000000002E-2</c:v>
                      </c:pt>
                      <c:pt idx="26">
                        <c:v>9.5399999999999985E-2</c:v>
                      </c:pt>
                      <c:pt idx="27">
                        <c:v>9.7200000000000009E-2</c:v>
                      </c:pt>
                      <c:pt idx="28">
                        <c:v>9.6199999999999994E-2</c:v>
                      </c:pt>
                      <c:pt idx="29">
                        <c:v>9.7100000000000006E-2</c:v>
                      </c:pt>
                      <c:pt idx="30">
                        <c:v>9.4600000000000004E-2</c:v>
                      </c:pt>
                      <c:pt idx="31">
                        <c:v>9.5200000000000007E-2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A0A1-4D6C-8727-A69C2F823A8C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Trends'!$O$9:$O$40</c15:sqref>
                        </c15:formulaRef>
                      </c:ext>
                    </c:extLst>
                    <c:numCache>
                      <c:formatCode>0.00%</c:formatCode>
                      <c:ptCount val="32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  <c:pt idx="28">
                        <c:v>-4.2299999999999997E-2</c:v>
                      </c:pt>
                      <c:pt idx="29">
                        <c:v>0.31219999999999998</c:v>
                      </c:pt>
                      <c:pt idx="30">
                        <c:v>0.18010000000000001</c:v>
                      </c:pt>
                      <c:pt idx="31">
                        <c:v>0.18010000000000001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A1-4D6C-8727-A69C2F823A8C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Trends'!$K$9:$K$40</c15:sqref>
                        </c15:formulaRef>
                      </c:ext>
                    </c:extLst>
                    <c:numCache>
                      <c:formatCode>0.00%</c:formatCode>
                      <c:ptCount val="32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  <c:pt idx="28">
                        <c:v>9.6317460317460329E-2</c:v>
                      </c:pt>
                      <c:pt idx="29">
                        <c:v>9.676161616161616E-2</c:v>
                      </c:pt>
                      <c:pt idx="30">
                        <c:v>9.4488311688311677E-2</c:v>
                      </c:pt>
                      <c:pt idx="31">
                        <c:v>9.4414285714285714E-2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A1-4D6C-8727-A69C2F823A8C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Avg. Awarded Gas ROE</c:v>
          </c:tx>
          <c:spPr>
            <a:ln w="254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'13 Historic Trends'!$A$9:$A$41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2021</c:v>
                </c:pt>
              </c:numCache>
            </c:numRef>
          </c:xVal>
          <c:yVal>
            <c:numRef>
              <c:f>'13 Historic Trends'!$G$9:$G$40</c:f>
              <c:numCache>
                <c:formatCode>0.00%</c:formatCode>
                <c:ptCount val="32"/>
                <c:pt idx="0">
                  <c:v>0.1268</c:v>
                </c:pt>
                <c:pt idx="1">
                  <c:v>0.1245</c:v>
                </c:pt>
                <c:pt idx="2">
                  <c:v>0.1202</c:v>
                </c:pt>
                <c:pt idx="3">
                  <c:v>0.1137</c:v>
                </c:pt>
                <c:pt idx="4">
                  <c:v>0.1124</c:v>
                </c:pt>
                <c:pt idx="5">
                  <c:v>0.1144</c:v>
                </c:pt>
                <c:pt idx="6">
                  <c:v>0.11119999999999999</c:v>
                </c:pt>
                <c:pt idx="7">
                  <c:v>0.113</c:v>
                </c:pt>
                <c:pt idx="8">
                  <c:v>0.11509999999999999</c:v>
                </c:pt>
                <c:pt idx="9">
                  <c:v>0.1074</c:v>
                </c:pt>
                <c:pt idx="10">
                  <c:v>0.1134</c:v>
                </c:pt>
                <c:pt idx="11">
                  <c:v>0.1096</c:v>
                </c:pt>
                <c:pt idx="12">
                  <c:v>0.11169999999999999</c:v>
                </c:pt>
                <c:pt idx="13">
                  <c:v>0.1099</c:v>
                </c:pt>
                <c:pt idx="14">
                  <c:v>0.10630000000000001</c:v>
                </c:pt>
                <c:pt idx="15">
                  <c:v>0.1041</c:v>
                </c:pt>
                <c:pt idx="16">
                  <c:v>0.10400000000000001</c:v>
                </c:pt>
                <c:pt idx="17">
                  <c:v>0.10220000000000001</c:v>
                </c:pt>
                <c:pt idx="18">
                  <c:v>0.10390000000000001</c:v>
                </c:pt>
                <c:pt idx="19">
                  <c:v>0.10220000000000001</c:v>
                </c:pt>
                <c:pt idx="20">
                  <c:v>0.10150000000000001</c:v>
                </c:pt>
                <c:pt idx="21">
                  <c:v>9.9199999999999997E-2</c:v>
                </c:pt>
                <c:pt idx="22">
                  <c:v>9.9399999999999988E-2</c:v>
                </c:pt>
                <c:pt idx="23">
                  <c:v>9.6799999999999997E-2</c:v>
                </c:pt>
                <c:pt idx="24">
                  <c:v>9.7799999999999998E-2</c:v>
                </c:pt>
                <c:pt idx="25">
                  <c:v>9.6000000000000002E-2</c:v>
                </c:pt>
                <c:pt idx="26">
                  <c:v>9.5399999999999985E-2</c:v>
                </c:pt>
                <c:pt idx="27">
                  <c:v>9.7200000000000009E-2</c:v>
                </c:pt>
                <c:pt idx="28">
                  <c:v>9.6199999999999994E-2</c:v>
                </c:pt>
                <c:pt idx="29">
                  <c:v>9.7100000000000006E-2</c:v>
                </c:pt>
                <c:pt idx="30">
                  <c:v>9.4600000000000004E-2</c:v>
                </c:pt>
                <c:pt idx="31">
                  <c:v>9.5200000000000007E-2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0D21-4E6F-98C8-393F5E3D624F}"/>
            </c:ext>
          </c:extLst>
        </c:ser>
        <c:ser>
          <c:idx val="5"/>
          <c:order val="5"/>
          <c:tx>
            <c:v>Market Cost of Equity</c:v>
          </c:tx>
          <c:spPr>
            <a:ln w="317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'13 Historic Trends'!$A$9:$A$40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xVal>
          <c:yVal>
            <c:numRef>
              <c:f>'13 Historic Trends'!$U$9:$U$40</c:f>
              <c:numCache>
                <c:formatCode>0.00%</c:formatCode>
                <c:ptCount val="32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  <c:pt idx="30">
                  <c:v>5.6499999999999995E-2</c:v>
                </c:pt>
                <c:pt idx="31">
                  <c:v>5.7500000000000002E-2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21-4E6F-98C8-393F5E3D624F}"/>
            </c:ext>
          </c:extLst>
        </c:ser>
        <c:ser>
          <c:idx val="7"/>
          <c:order val="7"/>
          <c:tx>
            <c:strRef>
              <c:f>'13 Historic Trends'!$AH$30</c:f>
              <c:strCache>
                <c:ptCount val="1"/>
                <c:pt idx="0">
                  <c:v>Company Cost of Equity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664819964759342E-3"/>
                  <c:y val="3.53501864898460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21-4E6F-98C8-393F5E3D6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'13 Historic Trends'!$A$41</c:f>
              <c:numCache>
                <c:formatCode>General</c:formatCode>
                <c:ptCount val="1"/>
                <c:pt idx="0">
                  <c:v>2021</c:v>
                </c:pt>
              </c:numCache>
            </c:numRef>
          </c:xVal>
          <c:yVal>
            <c:numRef>
              <c:f>'13 Historic Trends'!$AH$31</c:f>
              <c:numCache>
                <c:formatCode>0.0%</c:formatCode>
                <c:ptCount val="1"/>
                <c:pt idx="0">
                  <c:v>7.8318814758726832E-2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D21-4E6F-98C8-393F5E3D624F}"/>
            </c:ext>
          </c:extLst>
        </c:ser>
        <c:ser>
          <c:idx val="8"/>
          <c:order val="8"/>
          <c:tx>
            <c:strRef>
              <c:f>'13 Historic Trends'!$AH$33</c:f>
              <c:strCache>
                <c:ptCount val="1"/>
                <c:pt idx="0">
                  <c:v>Company Proposed ROE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square"/>
              <c:size val="8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D21-4E6F-98C8-393F5E3D624F}"/>
              </c:ext>
            </c:extLst>
          </c:dPt>
          <c:dLbls>
            <c:dLbl>
              <c:idx val="0"/>
              <c:layout>
                <c:manualLayout>
                  <c:x val="-5.7135069553363544E-3"/>
                  <c:y val="-3.48252521066448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21-4E6F-98C8-393F5E3D6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'13 Historic Trends'!$A$41</c:f>
              <c:numCache>
                <c:formatCode>General</c:formatCode>
                <c:ptCount val="1"/>
                <c:pt idx="0">
                  <c:v>2021</c:v>
                </c:pt>
              </c:numCache>
            </c:numRef>
          </c:xVal>
          <c:yVal>
            <c:numRef>
              <c:f>'13 Historic Trends'!$AH$34</c:f>
              <c:numCache>
                <c:formatCode>0.00%</c:formatCode>
                <c:ptCount val="1"/>
                <c:pt idx="0">
                  <c:v>0.1125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D21-4E6F-98C8-393F5E3D624F}"/>
            </c:ext>
          </c:extLst>
        </c:ser>
        <c:ser>
          <c:idx val="9"/>
          <c:order val="9"/>
          <c:tx>
            <c:strRef>
              <c:f>'13 Historic Trends'!$AH$36</c:f>
              <c:strCache>
                <c:ptCount val="1"/>
                <c:pt idx="0">
                  <c:v>Gradual ROE Proposal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0664819964759342E-3"/>
                  <c:y val="2.6246719160104988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21-4E6F-98C8-393F5E3D62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'13 Historic Trends'!$A$41</c:f>
              <c:numCache>
                <c:formatCode>General</c:formatCode>
                <c:ptCount val="1"/>
                <c:pt idx="0">
                  <c:v>2021</c:v>
                </c:pt>
              </c:numCache>
            </c:numRef>
          </c:xVal>
          <c:yVal>
            <c:numRef>
              <c:f>'13 Historic Trends'!$AH$37</c:f>
              <c:numCache>
                <c:formatCode>0.00%</c:formatCode>
                <c:ptCount val="1"/>
                <c:pt idx="0">
                  <c:v>9.2499999999999999E-2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D21-4E6F-98C8-393F5E3D6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Avg. Awarded Electric ROE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'13 Historic Trends'!$A$9:$A$40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'13 Historic Trends'!$C$9:$C$40</c15:sqref>
                        </c15:formulaRef>
                      </c:ext>
                    </c:extLst>
                    <c:numCache>
                      <c:formatCode>0.00%</c:formatCode>
                      <c:ptCount val="32"/>
                      <c:pt idx="0">
                        <c:v>0.127</c:v>
                      </c:pt>
                      <c:pt idx="1">
                        <c:v>0.12539999999999998</c:v>
                      </c:pt>
                      <c:pt idx="2">
                        <c:v>0.12089999999999999</c:v>
                      </c:pt>
                      <c:pt idx="3">
                        <c:v>0.11460000000000001</c:v>
                      </c:pt>
                      <c:pt idx="4">
                        <c:v>0.11210000000000001</c:v>
                      </c:pt>
                      <c:pt idx="5">
                        <c:v>0.1158</c:v>
                      </c:pt>
                      <c:pt idx="6">
                        <c:v>0.114</c:v>
                      </c:pt>
                      <c:pt idx="7">
                        <c:v>0.1133</c:v>
                      </c:pt>
                      <c:pt idx="8">
                        <c:v>0.1177</c:v>
                      </c:pt>
                      <c:pt idx="9">
                        <c:v>0.1072</c:v>
                      </c:pt>
                      <c:pt idx="10">
                        <c:v>0.1158</c:v>
                      </c:pt>
                      <c:pt idx="11">
                        <c:v>0.11070000000000001</c:v>
                      </c:pt>
                      <c:pt idx="12">
                        <c:v>0.11210000000000001</c:v>
                      </c:pt>
                      <c:pt idx="13">
                        <c:v>0.1096</c:v>
                      </c:pt>
                      <c:pt idx="14">
                        <c:v>0.1081</c:v>
                      </c:pt>
                      <c:pt idx="15">
                        <c:v>0.1051</c:v>
                      </c:pt>
                      <c:pt idx="16">
                        <c:v>0.1032</c:v>
                      </c:pt>
                      <c:pt idx="17">
                        <c:v>0.10300000000000001</c:v>
                      </c:pt>
                      <c:pt idx="18">
                        <c:v>0.1041</c:v>
                      </c:pt>
                      <c:pt idx="19">
                        <c:v>0.1052</c:v>
                      </c:pt>
                      <c:pt idx="20">
                        <c:v>0.10369999999999999</c:v>
                      </c:pt>
                      <c:pt idx="21">
                        <c:v>0.10289999999999999</c:v>
                      </c:pt>
                      <c:pt idx="22">
                        <c:v>0.1017</c:v>
                      </c:pt>
                      <c:pt idx="23">
                        <c:v>0.1003</c:v>
                      </c:pt>
                      <c:pt idx="24">
                        <c:v>9.9100000000000008E-2</c:v>
                      </c:pt>
                      <c:pt idx="25">
                        <c:v>9.849999999999999E-2</c:v>
                      </c:pt>
                      <c:pt idx="26">
                        <c:v>9.7699999999999995E-2</c:v>
                      </c:pt>
                      <c:pt idx="27">
                        <c:v>9.74E-2</c:v>
                      </c:pt>
                      <c:pt idx="28">
                        <c:v>9.64E-2</c:v>
                      </c:pt>
                      <c:pt idx="29">
                        <c:v>9.6600000000000005E-2</c:v>
                      </c:pt>
                      <c:pt idx="30">
                        <c:v>9.4399999999999998E-2</c:v>
                      </c:pt>
                      <c:pt idx="31">
                        <c:v>9.4E-2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0D21-4E6F-98C8-393F5E3D624F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Trends'!$O$9:$O$36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D21-4E6F-98C8-393F5E3D624F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Trends'!$Q$9:$Q$36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D21-4E6F-98C8-393F5E3D624F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Trends'!$S$9:$S$36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D21-4E6F-98C8-393F5E3D624F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Trends'!$K$9:$K$36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D21-4E6F-98C8-393F5E3D624F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5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Authorized Electric ROE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'13 Historic Trends'!$A$9:$A$40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xVal>
          <c:yVal>
            <c:numRef>
              <c:f>'13 Historic Trends'!$C$9:$C$40</c:f>
              <c:numCache>
                <c:formatCode>0.00%</c:formatCode>
                <c:ptCount val="32"/>
                <c:pt idx="0">
                  <c:v>0.127</c:v>
                </c:pt>
                <c:pt idx="1">
                  <c:v>0.12539999999999998</c:v>
                </c:pt>
                <c:pt idx="2">
                  <c:v>0.12089999999999999</c:v>
                </c:pt>
                <c:pt idx="3">
                  <c:v>0.11460000000000001</c:v>
                </c:pt>
                <c:pt idx="4">
                  <c:v>0.11210000000000001</c:v>
                </c:pt>
                <c:pt idx="5">
                  <c:v>0.1158</c:v>
                </c:pt>
                <c:pt idx="6">
                  <c:v>0.114</c:v>
                </c:pt>
                <c:pt idx="7">
                  <c:v>0.1133</c:v>
                </c:pt>
                <c:pt idx="8">
                  <c:v>0.1177</c:v>
                </c:pt>
                <c:pt idx="9">
                  <c:v>0.1072</c:v>
                </c:pt>
                <c:pt idx="10">
                  <c:v>0.1158</c:v>
                </c:pt>
                <c:pt idx="11">
                  <c:v>0.11070000000000001</c:v>
                </c:pt>
                <c:pt idx="12">
                  <c:v>0.11210000000000001</c:v>
                </c:pt>
                <c:pt idx="13">
                  <c:v>0.1096</c:v>
                </c:pt>
                <c:pt idx="14">
                  <c:v>0.1081</c:v>
                </c:pt>
                <c:pt idx="15">
                  <c:v>0.1051</c:v>
                </c:pt>
                <c:pt idx="16">
                  <c:v>0.1032</c:v>
                </c:pt>
                <c:pt idx="17">
                  <c:v>0.10300000000000001</c:v>
                </c:pt>
                <c:pt idx="18">
                  <c:v>0.1041</c:v>
                </c:pt>
                <c:pt idx="19">
                  <c:v>0.1052</c:v>
                </c:pt>
                <c:pt idx="20">
                  <c:v>0.10369999999999999</c:v>
                </c:pt>
                <c:pt idx="21">
                  <c:v>0.10289999999999999</c:v>
                </c:pt>
                <c:pt idx="22">
                  <c:v>0.1017</c:v>
                </c:pt>
                <c:pt idx="23">
                  <c:v>0.1003</c:v>
                </c:pt>
                <c:pt idx="24">
                  <c:v>9.9100000000000008E-2</c:v>
                </c:pt>
                <c:pt idx="25">
                  <c:v>9.849999999999999E-2</c:v>
                </c:pt>
                <c:pt idx="26">
                  <c:v>9.7699999999999995E-2</c:v>
                </c:pt>
                <c:pt idx="27">
                  <c:v>9.74E-2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9.4399999999999998E-2</c:v>
                </c:pt>
                <c:pt idx="31">
                  <c:v>9.4E-2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76F-4F6E-8A99-EBB3770D2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Authorized Gas ROE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'13 Historic Trends'!$G$9:$G$36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0.1268</c:v>
                      </c:pt>
                      <c:pt idx="1">
                        <c:v>0.1245</c:v>
                      </c:pt>
                      <c:pt idx="2">
                        <c:v>0.1202</c:v>
                      </c:pt>
                      <c:pt idx="3">
                        <c:v>0.1137</c:v>
                      </c:pt>
                      <c:pt idx="4">
                        <c:v>0.1124</c:v>
                      </c:pt>
                      <c:pt idx="5">
                        <c:v>0.1144</c:v>
                      </c:pt>
                      <c:pt idx="6">
                        <c:v>0.11119999999999999</c:v>
                      </c:pt>
                      <c:pt idx="7">
                        <c:v>0.113</c:v>
                      </c:pt>
                      <c:pt idx="8">
                        <c:v>0.11509999999999999</c:v>
                      </c:pt>
                      <c:pt idx="9">
                        <c:v>0.1074</c:v>
                      </c:pt>
                      <c:pt idx="10">
                        <c:v>0.1134</c:v>
                      </c:pt>
                      <c:pt idx="11">
                        <c:v>0.1096</c:v>
                      </c:pt>
                      <c:pt idx="12">
                        <c:v>0.11169999999999999</c:v>
                      </c:pt>
                      <c:pt idx="13">
                        <c:v>0.1099</c:v>
                      </c:pt>
                      <c:pt idx="14">
                        <c:v>0.10630000000000001</c:v>
                      </c:pt>
                      <c:pt idx="15">
                        <c:v>0.1041</c:v>
                      </c:pt>
                      <c:pt idx="16">
                        <c:v>0.10400000000000001</c:v>
                      </c:pt>
                      <c:pt idx="17">
                        <c:v>0.10220000000000001</c:v>
                      </c:pt>
                      <c:pt idx="18">
                        <c:v>0.10390000000000001</c:v>
                      </c:pt>
                      <c:pt idx="19">
                        <c:v>0.10220000000000001</c:v>
                      </c:pt>
                      <c:pt idx="20">
                        <c:v>0.10150000000000001</c:v>
                      </c:pt>
                      <c:pt idx="21">
                        <c:v>9.9199999999999997E-2</c:v>
                      </c:pt>
                      <c:pt idx="22">
                        <c:v>9.9399999999999988E-2</c:v>
                      </c:pt>
                      <c:pt idx="23">
                        <c:v>9.6799999999999997E-2</c:v>
                      </c:pt>
                      <c:pt idx="24">
                        <c:v>9.7799999999999998E-2</c:v>
                      </c:pt>
                      <c:pt idx="25">
                        <c:v>9.6000000000000002E-2</c:v>
                      </c:pt>
                      <c:pt idx="26">
                        <c:v>9.5399999999999985E-2</c:v>
                      </c:pt>
                      <c:pt idx="27">
                        <c:v>9.7200000000000009E-2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276F-4F6E-8A99-EBB3770D2EA8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Trends'!$O$9:$O$36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76F-4F6E-8A99-EBB3770D2EA8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Trends'!$Q$9:$Q$36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76F-4F6E-8A99-EBB3770D2EA8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Trends'!$S$9:$S$36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76F-4F6E-8A99-EBB3770D2EA8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Market Cost of Equity</c:v>
                </c:tx>
                <c:spPr>
                  <a:ln w="31750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Trends'!$U$9:$U$36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0.11959999999999998</c:v>
                      </c:pt>
                      <c:pt idx="1">
                        <c:v>0.1018</c:v>
                      </c:pt>
                      <c:pt idx="2">
                        <c:v>0.1023</c:v>
                      </c:pt>
                      <c:pt idx="3">
                        <c:v>8.9599999999999999E-2</c:v>
                      </c:pt>
                      <c:pt idx="4">
                        <c:v>0.1137</c:v>
                      </c:pt>
                      <c:pt idx="5">
                        <c:v>8.8599999999999998E-2</c:v>
                      </c:pt>
                      <c:pt idx="6">
                        <c:v>9.6100000000000005E-2</c:v>
                      </c:pt>
                      <c:pt idx="7">
                        <c:v>8.4699999999999998E-2</c:v>
                      </c:pt>
                      <c:pt idx="8">
                        <c:v>6.9099999999999995E-2</c:v>
                      </c:pt>
                      <c:pt idx="9">
                        <c:v>8.4900000000000003E-2</c:v>
                      </c:pt>
                      <c:pt idx="10">
                        <c:v>7.9799999999999996E-2</c:v>
                      </c:pt>
                      <c:pt idx="11">
                        <c:v>8.6699999999999999E-2</c:v>
                      </c:pt>
                      <c:pt idx="12">
                        <c:v>7.9100000000000004E-2</c:v>
                      </c:pt>
                      <c:pt idx="13">
                        <c:v>7.9399999999999998E-2</c:v>
                      </c:pt>
                      <c:pt idx="14">
                        <c:v>7.8699999999999992E-2</c:v>
                      </c:pt>
                      <c:pt idx="15">
                        <c:v>8.4699999999999998E-2</c:v>
                      </c:pt>
                      <c:pt idx="16">
                        <c:v>8.8599999999999998E-2</c:v>
                      </c:pt>
                      <c:pt idx="17">
                        <c:v>8.3900000000000002E-2</c:v>
                      </c:pt>
                      <c:pt idx="18">
                        <c:v>8.6400000000000005E-2</c:v>
                      </c:pt>
                      <c:pt idx="19">
                        <c:v>8.199999999999999E-2</c:v>
                      </c:pt>
                      <c:pt idx="20">
                        <c:v>8.4900000000000003E-2</c:v>
                      </c:pt>
                      <c:pt idx="21">
                        <c:v>7.8899999999999998E-2</c:v>
                      </c:pt>
                      <c:pt idx="22">
                        <c:v>7.5399999999999995E-2</c:v>
                      </c:pt>
                      <c:pt idx="23">
                        <c:v>0.08</c:v>
                      </c:pt>
                      <c:pt idx="24">
                        <c:v>7.9500000000000001E-2</c:v>
                      </c:pt>
                      <c:pt idx="25">
                        <c:v>8.3900000000000002E-2</c:v>
                      </c:pt>
                      <c:pt idx="26">
                        <c:v>8.14E-2</c:v>
                      </c:pt>
                      <c:pt idx="27">
                        <c:v>7.4899999999999994E-2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76F-4F6E-8A99-EBB3770D2EA8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Trends'!$K$9:$K$36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76F-4F6E-8A99-EBB3770D2EA8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Garrett Cost of Equity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3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3.535018648984602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276F-4F6E-8A99-EBB3770D2EA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Trends'!$AH$31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7.8318814758726832E-2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76F-4F6E-8A99-EBB3770D2EA8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Company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dPt>
                  <c:idx val="0"/>
                  <c:marker>
                    <c:symbol val="square"/>
                    <c:size val="8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76F-4F6E-8A99-EBB3770D2EA8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5.7135069553363544E-3"/>
                        <c:y val="-3.48252521066448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276F-4F6E-8A99-EBB3770D2EA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Trends'!$AH$34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0.1125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76F-4F6E-8A99-EBB3770D2EA8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Garrett Proposal - Gradual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accent1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2.6246719160104988E-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276F-4F6E-8A99-EBB3770D2EA8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Trends'!$AH$37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9.2499999999999999E-2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76F-4F6E-8A99-EBB3770D2EA8}"/>
                  </c:ext>
                </c:extLst>
              </c15:ser>
            </c15:filteredScatterSeries>
            <c15:filteredScatte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Trends'!$Q$6:$Q$7</c15:sqref>
                        </c15:formulaRef>
                      </c:ext>
                    </c:extLst>
                    <c:strCache>
                      <c:ptCount val="2"/>
                      <c:pt idx="0">
                        <c:v>T-Bond</c:v>
                      </c:pt>
                      <c:pt idx="1">
                        <c:v>Rate</c:v>
                      </c:pt>
                    </c:strCache>
                  </c:strRef>
                </c:tx>
                <c:spPr>
                  <a:ln w="190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Trends'!$A$9:$A$40</c15:sqref>
                        </c15:formulaRef>
                      </c:ext>
                    </c:extLst>
                    <c:numCache>
                      <c:formatCode>General</c:formatCode>
                      <c:ptCount val="32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Trends'!$Q$9:$Q$40</c15:sqref>
                        </c15:formulaRef>
                      </c:ext>
                    </c:extLst>
                    <c:numCache>
                      <c:formatCode>0.00%</c:formatCode>
                      <c:ptCount val="32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  <c:pt idx="28">
                        <c:v>2.6800000000000001E-2</c:v>
                      </c:pt>
                      <c:pt idx="29">
                        <c:v>1.9199999999999998E-2</c:v>
                      </c:pt>
                      <c:pt idx="30">
                        <c:v>9.2999999999999992E-3</c:v>
                      </c:pt>
                      <c:pt idx="31">
                        <c:v>1.5100000000000001E-2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76F-4F6E-8A99-EBB3770D2EA8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1"/>
          <c:tx>
            <c:v>Authorized Electric ROE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'13 Historic Trends'!$A$9:$A$40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xVal>
          <c:yVal>
            <c:numRef>
              <c:f>'13 Historic Trends'!$C$9:$C$40</c:f>
              <c:numCache>
                <c:formatCode>0.00%</c:formatCode>
                <c:ptCount val="32"/>
                <c:pt idx="0">
                  <c:v>0.127</c:v>
                </c:pt>
                <c:pt idx="1">
                  <c:v>0.12539999999999998</c:v>
                </c:pt>
                <c:pt idx="2">
                  <c:v>0.12089999999999999</c:v>
                </c:pt>
                <c:pt idx="3">
                  <c:v>0.11460000000000001</c:v>
                </c:pt>
                <c:pt idx="4">
                  <c:v>0.11210000000000001</c:v>
                </c:pt>
                <c:pt idx="5">
                  <c:v>0.1158</c:v>
                </c:pt>
                <c:pt idx="6">
                  <c:v>0.114</c:v>
                </c:pt>
                <c:pt idx="7">
                  <c:v>0.1133</c:v>
                </c:pt>
                <c:pt idx="8">
                  <c:v>0.1177</c:v>
                </c:pt>
                <c:pt idx="9">
                  <c:v>0.1072</c:v>
                </c:pt>
                <c:pt idx="10">
                  <c:v>0.1158</c:v>
                </c:pt>
                <c:pt idx="11">
                  <c:v>0.11070000000000001</c:v>
                </c:pt>
                <c:pt idx="12">
                  <c:v>0.11210000000000001</c:v>
                </c:pt>
                <c:pt idx="13">
                  <c:v>0.1096</c:v>
                </c:pt>
                <c:pt idx="14">
                  <c:v>0.1081</c:v>
                </c:pt>
                <c:pt idx="15">
                  <c:v>0.1051</c:v>
                </c:pt>
                <c:pt idx="16">
                  <c:v>0.1032</c:v>
                </c:pt>
                <c:pt idx="17">
                  <c:v>0.10300000000000001</c:v>
                </c:pt>
                <c:pt idx="18">
                  <c:v>0.1041</c:v>
                </c:pt>
                <c:pt idx="19">
                  <c:v>0.1052</c:v>
                </c:pt>
                <c:pt idx="20">
                  <c:v>0.10369999999999999</c:v>
                </c:pt>
                <c:pt idx="21">
                  <c:v>0.10289999999999999</c:v>
                </c:pt>
                <c:pt idx="22">
                  <c:v>0.1017</c:v>
                </c:pt>
                <c:pt idx="23">
                  <c:v>0.1003</c:v>
                </c:pt>
                <c:pt idx="24">
                  <c:v>9.9100000000000008E-2</c:v>
                </c:pt>
                <c:pt idx="25">
                  <c:v>9.849999999999999E-2</c:v>
                </c:pt>
                <c:pt idx="26">
                  <c:v>9.7699999999999995E-2</c:v>
                </c:pt>
                <c:pt idx="27">
                  <c:v>9.74E-2</c:v>
                </c:pt>
                <c:pt idx="28">
                  <c:v>9.64E-2</c:v>
                </c:pt>
                <c:pt idx="29">
                  <c:v>9.6600000000000005E-2</c:v>
                </c:pt>
                <c:pt idx="30">
                  <c:v>9.4399999999999998E-2</c:v>
                </c:pt>
                <c:pt idx="31">
                  <c:v>9.4E-2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F91C-4B83-9749-4F92C084602B}"/>
            </c:ext>
          </c:extLst>
        </c:ser>
        <c:ser>
          <c:idx val="5"/>
          <c:order val="5"/>
          <c:tx>
            <c:v>Market Cost of Equity</c:v>
          </c:tx>
          <c:spPr>
            <a:ln w="317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'13 Historic Trends'!$A$9:$A$36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xVal>
          <c:yVal>
            <c:numRef>
              <c:f>'13 Historic Trends'!$U$9:$U$40</c:f>
              <c:numCache>
                <c:formatCode>0.00%</c:formatCode>
                <c:ptCount val="32"/>
                <c:pt idx="0">
                  <c:v>0.11959999999999998</c:v>
                </c:pt>
                <c:pt idx="1">
                  <c:v>0.1018</c:v>
                </c:pt>
                <c:pt idx="2">
                  <c:v>0.1023</c:v>
                </c:pt>
                <c:pt idx="3">
                  <c:v>8.9599999999999999E-2</c:v>
                </c:pt>
                <c:pt idx="4">
                  <c:v>0.1137</c:v>
                </c:pt>
                <c:pt idx="5">
                  <c:v>8.8599999999999998E-2</c:v>
                </c:pt>
                <c:pt idx="6">
                  <c:v>9.6100000000000005E-2</c:v>
                </c:pt>
                <c:pt idx="7">
                  <c:v>8.4699999999999998E-2</c:v>
                </c:pt>
                <c:pt idx="8">
                  <c:v>6.9099999999999995E-2</c:v>
                </c:pt>
                <c:pt idx="9">
                  <c:v>8.4900000000000003E-2</c:v>
                </c:pt>
                <c:pt idx="10">
                  <c:v>7.9799999999999996E-2</c:v>
                </c:pt>
                <c:pt idx="11">
                  <c:v>8.6699999999999999E-2</c:v>
                </c:pt>
                <c:pt idx="12">
                  <c:v>7.9100000000000004E-2</c:v>
                </c:pt>
                <c:pt idx="13">
                  <c:v>7.9399999999999998E-2</c:v>
                </c:pt>
                <c:pt idx="14">
                  <c:v>7.8699999999999992E-2</c:v>
                </c:pt>
                <c:pt idx="15">
                  <c:v>8.4699999999999998E-2</c:v>
                </c:pt>
                <c:pt idx="16">
                  <c:v>8.8599999999999998E-2</c:v>
                </c:pt>
                <c:pt idx="17">
                  <c:v>8.3900000000000002E-2</c:v>
                </c:pt>
                <c:pt idx="18">
                  <c:v>8.6400000000000005E-2</c:v>
                </c:pt>
                <c:pt idx="19">
                  <c:v>8.199999999999999E-2</c:v>
                </c:pt>
                <c:pt idx="20">
                  <c:v>8.4900000000000003E-2</c:v>
                </c:pt>
                <c:pt idx="21">
                  <c:v>7.8899999999999998E-2</c:v>
                </c:pt>
                <c:pt idx="22">
                  <c:v>7.5399999999999995E-2</c:v>
                </c:pt>
                <c:pt idx="23">
                  <c:v>0.08</c:v>
                </c:pt>
                <c:pt idx="24">
                  <c:v>7.9500000000000001E-2</c:v>
                </c:pt>
                <c:pt idx="25">
                  <c:v>8.3900000000000002E-2</c:v>
                </c:pt>
                <c:pt idx="26">
                  <c:v>8.14E-2</c:v>
                </c:pt>
                <c:pt idx="27">
                  <c:v>7.4899999999999994E-2</c:v>
                </c:pt>
                <c:pt idx="28">
                  <c:v>8.6400000000000005E-2</c:v>
                </c:pt>
                <c:pt idx="29">
                  <c:v>7.1199999999999999E-2</c:v>
                </c:pt>
                <c:pt idx="30">
                  <c:v>5.6499999999999995E-2</c:v>
                </c:pt>
                <c:pt idx="31">
                  <c:v>5.7500000000000002E-2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1C-4B83-9749-4F92C084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113408"/>
        <c:axId val="53210947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Authorized Gas ROE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'13 Historic Trends'!$G$9:$G$36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0.1268</c:v>
                      </c:pt>
                      <c:pt idx="1">
                        <c:v>0.1245</c:v>
                      </c:pt>
                      <c:pt idx="2">
                        <c:v>0.1202</c:v>
                      </c:pt>
                      <c:pt idx="3">
                        <c:v>0.1137</c:v>
                      </c:pt>
                      <c:pt idx="4">
                        <c:v>0.1124</c:v>
                      </c:pt>
                      <c:pt idx="5">
                        <c:v>0.1144</c:v>
                      </c:pt>
                      <c:pt idx="6">
                        <c:v>0.11119999999999999</c:v>
                      </c:pt>
                      <c:pt idx="7">
                        <c:v>0.113</c:v>
                      </c:pt>
                      <c:pt idx="8">
                        <c:v>0.11509999999999999</c:v>
                      </c:pt>
                      <c:pt idx="9">
                        <c:v>0.1074</c:v>
                      </c:pt>
                      <c:pt idx="10">
                        <c:v>0.1134</c:v>
                      </c:pt>
                      <c:pt idx="11">
                        <c:v>0.1096</c:v>
                      </c:pt>
                      <c:pt idx="12">
                        <c:v>0.11169999999999999</c:v>
                      </c:pt>
                      <c:pt idx="13">
                        <c:v>0.1099</c:v>
                      </c:pt>
                      <c:pt idx="14">
                        <c:v>0.10630000000000001</c:v>
                      </c:pt>
                      <c:pt idx="15">
                        <c:v>0.1041</c:v>
                      </c:pt>
                      <c:pt idx="16">
                        <c:v>0.10400000000000001</c:v>
                      </c:pt>
                      <c:pt idx="17">
                        <c:v>0.10220000000000001</c:v>
                      </c:pt>
                      <c:pt idx="18">
                        <c:v>0.10390000000000001</c:v>
                      </c:pt>
                      <c:pt idx="19">
                        <c:v>0.10220000000000001</c:v>
                      </c:pt>
                      <c:pt idx="20">
                        <c:v>0.10150000000000001</c:v>
                      </c:pt>
                      <c:pt idx="21">
                        <c:v>9.9199999999999997E-2</c:v>
                      </c:pt>
                      <c:pt idx="22">
                        <c:v>9.9399999999999988E-2</c:v>
                      </c:pt>
                      <c:pt idx="23">
                        <c:v>9.6799999999999997E-2</c:v>
                      </c:pt>
                      <c:pt idx="24">
                        <c:v>9.7799999999999998E-2</c:v>
                      </c:pt>
                      <c:pt idx="25">
                        <c:v>9.6000000000000002E-2</c:v>
                      </c:pt>
                      <c:pt idx="26">
                        <c:v>9.5399999999999985E-2</c:v>
                      </c:pt>
                      <c:pt idx="27">
                        <c:v>9.7200000000000009E-2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F91C-4B83-9749-4F92C084602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S&amp;P 500 Returns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Trends'!$O$9:$O$36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-3.0599999999999999E-2</c:v>
                      </c:pt>
                      <c:pt idx="1">
                        <c:v>0.30230000000000001</c:v>
                      </c:pt>
                      <c:pt idx="2">
                        <c:v>7.4899999999999994E-2</c:v>
                      </c:pt>
                      <c:pt idx="3">
                        <c:v>9.9699999999999997E-2</c:v>
                      </c:pt>
                      <c:pt idx="4">
                        <c:v>1.3299999999999999E-2</c:v>
                      </c:pt>
                      <c:pt idx="5">
                        <c:v>0.372</c:v>
                      </c:pt>
                      <c:pt idx="6">
                        <c:v>0.2268</c:v>
                      </c:pt>
                      <c:pt idx="7">
                        <c:v>0.33100000000000002</c:v>
                      </c:pt>
                      <c:pt idx="8">
                        <c:v>0.28339999999999999</c:v>
                      </c:pt>
                      <c:pt idx="9">
                        <c:v>0.2089</c:v>
                      </c:pt>
                      <c:pt idx="10">
                        <c:v>-9.0300000000000005E-2</c:v>
                      </c:pt>
                      <c:pt idx="11">
                        <c:v>-0.11849999999999999</c:v>
                      </c:pt>
                      <c:pt idx="12">
                        <c:v>-0.21970000000000001</c:v>
                      </c:pt>
                      <c:pt idx="13">
                        <c:v>0.28360000000000002</c:v>
                      </c:pt>
                      <c:pt idx="14">
                        <c:v>0.1074</c:v>
                      </c:pt>
                      <c:pt idx="15">
                        <c:v>4.8300000000000003E-2</c:v>
                      </c:pt>
                      <c:pt idx="16">
                        <c:v>0.15609999999999999</c:v>
                      </c:pt>
                      <c:pt idx="17">
                        <c:v>5.4800000000000001E-2</c:v>
                      </c:pt>
                      <c:pt idx="18">
                        <c:v>-0.36549999999999999</c:v>
                      </c:pt>
                      <c:pt idx="19">
                        <c:v>0.25940000000000002</c:v>
                      </c:pt>
                      <c:pt idx="20">
                        <c:v>0.1482</c:v>
                      </c:pt>
                      <c:pt idx="21">
                        <c:v>2.1000000000000001E-2</c:v>
                      </c:pt>
                      <c:pt idx="22">
                        <c:v>0.15890000000000001</c:v>
                      </c:pt>
                      <c:pt idx="23">
                        <c:v>0.32150000000000001</c:v>
                      </c:pt>
                      <c:pt idx="24">
                        <c:v>0.13519999999999999</c:v>
                      </c:pt>
                      <c:pt idx="25">
                        <c:v>1.38E-2</c:v>
                      </c:pt>
                      <c:pt idx="26">
                        <c:v>0.1177</c:v>
                      </c:pt>
                      <c:pt idx="27">
                        <c:v>0.21609999999999999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91C-4B83-9749-4F92C084602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Risk-free Rate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Trends'!$Q$9:$Q$36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8.0699999999999994E-2</c:v>
                      </c:pt>
                      <c:pt idx="1">
                        <c:v>6.7000000000000004E-2</c:v>
                      </c:pt>
                      <c:pt idx="2">
                        <c:v>6.6799999999999998E-2</c:v>
                      </c:pt>
                      <c:pt idx="3">
                        <c:v>5.79E-2</c:v>
                      </c:pt>
                      <c:pt idx="4">
                        <c:v>7.8200000000000006E-2</c:v>
                      </c:pt>
                      <c:pt idx="5">
                        <c:v>5.57E-2</c:v>
                      </c:pt>
                      <c:pt idx="6">
                        <c:v>6.4100000000000004E-2</c:v>
                      </c:pt>
                      <c:pt idx="7">
                        <c:v>5.74E-2</c:v>
                      </c:pt>
                      <c:pt idx="8">
                        <c:v>4.65E-2</c:v>
                      </c:pt>
                      <c:pt idx="9">
                        <c:v>6.4399999999999999E-2</c:v>
                      </c:pt>
                      <c:pt idx="10">
                        <c:v>5.11E-2</c:v>
                      </c:pt>
                      <c:pt idx="11">
                        <c:v>5.0500000000000003E-2</c:v>
                      </c:pt>
                      <c:pt idx="12">
                        <c:v>3.8100000000000002E-2</c:v>
                      </c:pt>
                      <c:pt idx="13">
                        <c:v>4.2500000000000003E-2</c:v>
                      </c:pt>
                      <c:pt idx="14">
                        <c:v>4.2200000000000001E-2</c:v>
                      </c:pt>
                      <c:pt idx="15">
                        <c:v>4.3900000000000002E-2</c:v>
                      </c:pt>
                      <c:pt idx="16">
                        <c:v>4.7E-2</c:v>
                      </c:pt>
                      <c:pt idx="17">
                        <c:v>4.02E-2</c:v>
                      </c:pt>
                      <c:pt idx="18">
                        <c:v>2.2100000000000002E-2</c:v>
                      </c:pt>
                      <c:pt idx="19">
                        <c:v>3.8399999999999997E-2</c:v>
                      </c:pt>
                      <c:pt idx="20">
                        <c:v>3.2899999999999999E-2</c:v>
                      </c:pt>
                      <c:pt idx="21">
                        <c:v>1.8800000000000001E-2</c:v>
                      </c:pt>
                      <c:pt idx="22">
                        <c:v>1.7600000000000001E-2</c:v>
                      </c:pt>
                      <c:pt idx="23">
                        <c:v>3.04E-2</c:v>
                      </c:pt>
                      <c:pt idx="24">
                        <c:v>2.1700000000000001E-2</c:v>
                      </c:pt>
                      <c:pt idx="25">
                        <c:v>2.2700000000000001E-2</c:v>
                      </c:pt>
                      <c:pt idx="26">
                        <c:v>2.4500000000000001E-2</c:v>
                      </c:pt>
                      <c:pt idx="27">
                        <c:v>2.41E-2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91C-4B83-9749-4F92C084602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Equity Risk Premium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Trends'!$S$9:$S$36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3.8899999999999997E-2</c:v>
                      </c:pt>
                      <c:pt idx="1">
                        <c:v>3.4799999999999998E-2</c:v>
                      </c:pt>
                      <c:pt idx="2">
                        <c:v>3.5499999999999997E-2</c:v>
                      </c:pt>
                      <c:pt idx="3">
                        <c:v>3.1699999999999999E-2</c:v>
                      </c:pt>
                      <c:pt idx="4">
                        <c:v>3.5499999999999997E-2</c:v>
                      </c:pt>
                      <c:pt idx="5">
                        <c:v>3.2899999999999999E-2</c:v>
                      </c:pt>
                      <c:pt idx="6">
                        <c:v>3.2000000000000001E-2</c:v>
                      </c:pt>
                      <c:pt idx="7">
                        <c:v>2.7300000000000001E-2</c:v>
                      </c:pt>
                      <c:pt idx="8">
                        <c:v>2.2599999999999999E-2</c:v>
                      </c:pt>
                      <c:pt idx="9">
                        <c:v>2.0500000000000001E-2</c:v>
                      </c:pt>
                      <c:pt idx="10">
                        <c:v>2.87E-2</c:v>
                      </c:pt>
                      <c:pt idx="11">
                        <c:v>3.6200000000000003E-2</c:v>
                      </c:pt>
                      <c:pt idx="12">
                        <c:v>4.1000000000000002E-2</c:v>
                      </c:pt>
                      <c:pt idx="13">
                        <c:v>3.6900000000000002E-2</c:v>
                      </c:pt>
                      <c:pt idx="14">
                        <c:v>3.6499999999999998E-2</c:v>
                      </c:pt>
                      <c:pt idx="15">
                        <c:v>4.0800000000000003E-2</c:v>
                      </c:pt>
                      <c:pt idx="16">
                        <c:v>4.1599999999999998E-2</c:v>
                      </c:pt>
                      <c:pt idx="17">
                        <c:v>4.3700000000000003E-2</c:v>
                      </c:pt>
                      <c:pt idx="18">
                        <c:v>6.4299999999999996E-2</c:v>
                      </c:pt>
                      <c:pt idx="19">
                        <c:v>4.36E-2</c:v>
                      </c:pt>
                      <c:pt idx="20">
                        <c:v>5.1999999999999998E-2</c:v>
                      </c:pt>
                      <c:pt idx="21">
                        <c:v>6.0100000000000001E-2</c:v>
                      </c:pt>
                      <c:pt idx="22">
                        <c:v>5.7799999999999997E-2</c:v>
                      </c:pt>
                      <c:pt idx="23">
                        <c:v>4.9599999999999998E-2</c:v>
                      </c:pt>
                      <c:pt idx="24">
                        <c:v>5.7799999999999997E-2</c:v>
                      </c:pt>
                      <c:pt idx="25">
                        <c:v>6.1199999999999997E-2</c:v>
                      </c:pt>
                      <c:pt idx="26">
                        <c:v>5.6899999999999999E-2</c:v>
                      </c:pt>
                      <c:pt idx="27">
                        <c:v>5.0799999999999998E-2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91C-4B83-9749-4F92C084602B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Authorized Total ROE</c:v>
                </c:tx>
                <c:spPr>
                  <a:ln w="2540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Trends'!$A$9:$A$36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Trends'!$K$9:$K$36</c15:sqref>
                        </c15:formulaRef>
                      </c:ext>
                    </c:extLst>
                    <c:numCache>
                      <c:formatCode>0.00%</c:formatCode>
                      <c:ptCount val="28"/>
                      <c:pt idx="0">
                        <c:v>0.12690704225352112</c:v>
                      </c:pt>
                      <c:pt idx="1">
                        <c:v>0.12501780821917807</c:v>
                      </c:pt>
                      <c:pt idx="2">
                        <c:v>0.12063150684931508</c:v>
                      </c:pt>
                      <c:pt idx="3">
                        <c:v>0.11407058823529412</c:v>
                      </c:pt>
                      <c:pt idx="4">
                        <c:v>0.11223846153846154</c:v>
                      </c:pt>
                      <c:pt idx="5">
                        <c:v>0.11535609756097562</c:v>
                      </c:pt>
                      <c:pt idx="6">
                        <c:v>0.11263999999999999</c:v>
                      </c:pt>
                      <c:pt idx="7">
                        <c:v>0.11313636363636365</c:v>
                      </c:pt>
                      <c:pt idx="8">
                        <c:v>0.1164</c:v>
                      </c:pt>
                      <c:pt idx="9">
                        <c:v>0.10730000000000001</c:v>
                      </c:pt>
                      <c:pt idx="10">
                        <c:v>0.11438181818181818</c:v>
                      </c:pt>
                      <c:pt idx="11">
                        <c:v>0.110425</c:v>
                      </c:pt>
                      <c:pt idx="12">
                        <c:v>0.11186969696969698</c:v>
                      </c:pt>
                      <c:pt idx="13">
                        <c:v>0.10976666666666668</c:v>
                      </c:pt>
                      <c:pt idx="14">
                        <c:v>0.10717906976744188</c:v>
                      </c:pt>
                      <c:pt idx="15">
                        <c:v>0.10458000000000001</c:v>
                      </c:pt>
                      <c:pt idx="16">
                        <c:v>0.10349268292682925</c:v>
                      </c:pt>
                      <c:pt idx="17">
                        <c:v>0.10261643835616439</c:v>
                      </c:pt>
                      <c:pt idx="18">
                        <c:v>0.10400724637681161</c:v>
                      </c:pt>
                      <c:pt idx="19">
                        <c:v>0.10391428571428572</c:v>
                      </c:pt>
                      <c:pt idx="20">
                        <c:v>0.10284199999999999</c:v>
                      </c:pt>
                      <c:pt idx="21">
                        <c:v>0.10187931034482758</c:v>
                      </c:pt>
                      <c:pt idx="22">
                        <c:v>0.10083440860215054</c:v>
                      </c:pt>
                      <c:pt idx="23">
                        <c:v>9.9249999999999991E-2</c:v>
                      </c:pt>
                      <c:pt idx="24">
                        <c:v>9.8571875000000003E-2</c:v>
                      </c:pt>
                      <c:pt idx="25">
                        <c:v>9.7630434782608688E-2</c:v>
                      </c:pt>
                      <c:pt idx="26">
                        <c:v>9.6820588235294103E-2</c:v>
                      </c:pt>
                      <c:pt idx="27">
                        <c:v>9.7337662337662334E-2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91C-4B83-9749-4F92C084602B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Garrett Cost of Equity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diamond"/>
                  <c:size val="10"/>
                  <c:spPr>
                    <a:solidFill>
                      <a:schemeClr val="accent3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3.535018648984602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F91C-4B83-9749-4F92C084602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Trends'!$AH$31</c15:sqref>
                        </c15:formulaRef>
                      </c:ext>
                    </c:extLst>
                    <c:numCache>
                      <c:formatCode>0.0%</c:formatCode>
                      <c:ptCount val="1"/>
                      <c:pt idx="0">
                        <c:v>7.8318814758726832E-2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91C-4B83-9749-4F92C084602B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Company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square"/>
                  <c:size val="6"/>
                  <c:spPr>
                    <a:solidFill>
                      <a:schemeClr val="accent2"/>
                    </a:solidFill>
                    <a:ln w="9525">
                      <a:noFill/>
                    </a:ln>
                    <a:effectLst/>
                  </c:spPr>
                </c:marker>
                <c:dPt>
                  <c:idx val="0"/>
                  <c:marker>
                    <c:symbol val="square"/>
                    <c:size val="8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:marker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F91C-4B83-9749-4F92C084602B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5.7135069553363544E-3"/>
                        <c:y val="-3.482525210664488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F91C-4B83-9749-4F92C084602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Trends'!$AH$34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0.1125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91C-4B83-9749-4F92C084602B}"/>
                  </c:ext>
                </c:extLst>
              </c15:ser>
            </c15:filteredScatterSeries>
            <c15:filteredScatterSeries>
              <c15:ser>
                <c:idx val="9"/>
                <c:order val="9"/>
                <c:tx>
                  <c:v>Garrett Proposal - Gradual ROE</c:v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8"/>
                  <c:spPr>
                    <a:solidFill>
                      <a:schemeClr val="accent1"/>
                    </a:solidFill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5.0664819964759342E-3"/>
                        <c:y val="2.6246719160104988E-5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F91C-4B83-9749-4F92C084602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Trends'!$A$41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2021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'13 Historic Trends'!$AH$37</c15:sqref>
                        </c15:formulaRef>
                      </c:ext>
                    </c:extLst>
                    <c:numCache>
                      <c:formatCode>0.00%</c:formatCode>
                      <c:ptCount val="1"/>
                      <c:pt idx="0">
                        <c:v>9.2499999999999999E-2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91C-4B83-9749-4F92C084602B}"/>
                  </c:ext>
                </c:extLst>
              </c15:ser>
            </c15:filteredScatterSeries>
          </c:ext>
        </c:extLst>
      </c:scatterChart>
      <c:valAx>
        <c:axId val="532113408"/>
        <c:scaling>
          <c:orientation val="minMax"/>
          <c:max val="2020"/>
          <c:min val="19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09472"/>
        <c:crosses val="autoZero"/>
        <c:crossBetween val="midCat"/>
      </c:valAx>
      <c:valAx>
        <c:axId val="532109472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1134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62916155857243E-2"/>
          <c:y val="8.269097807105516E-2"/>
          <c:w val="0.89140133345400785"/>
          <c:h val="0.81802185380152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Industry Betas'!$A$5</c:f>
              <c:strCache>
                <c:ptCount val="1"/>
                <c:pt idx="0">
                  <c:v>Utilities</c:v>
                </c:pt>
              </c:strCache>
            </c:strRef>
          </c:tx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/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F9A-475F-B10F-F6E772D9C6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Betas'!$B$5</c:f>
              <c:numCache>
                <c:formatCode>0.00</c:formatCode>
                <c:ptCount val="1"/>
                <c:pt idx="0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A-475F-B10F-F6E772D9C693}"/>
            </c:ext>
          </c:extLst>
        </c:ser>
        <c:ser>
          <c:idx val="1"/>
          <c:order val="1"/>
          <c:tx>
            <c:strRef>
              <c:f>'Fig Industry Betas'!$A$6</c:f>
              <c:strCache>
                <c:ptCount val="1"/>
                <c:pt idx="0">
                  <c:v>Aeospace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Betas'!$B$6</c:f>
              <c:numCache>
                <c:formatCode>0.00</c:formatCode>
                <c:ptCount val="1"/>
                <c:pt idx="0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A-475F-B10F-F6E772D9C693}"/>
            </c:ext>
          </c:extLst>
        </c:ser>
        <c:ser>
          <c:idx val="2"/>
          <c:order val="2"/>
          <c:tx>
            <c:strRef>
              <c:f>'Fig Industry Betas'!$A$7</c:f>
              <c:strCache>
                <c:ptCount val="1"/>
                <c:pt idx="0">
                  <c:v>Trucking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Betas'!$B$7</c:f>
              <c:numCache>
                <c:formatCode>0.00</c:formatCode>
                <c:ptCount val="1"/>
                <c:pt idx="0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A-475F-B10F-F6E772D9C693}"/>
            </c:ext>
          </c:extLst>
        </c:ser>
        <c:ser>
          <c:idx val="3"/>
          <c:order val="3"/>
          <c:tx>
            <c:strRef>
              <c:f>'Fig Industry Betas'!$A$8</c:f>
              <c:strCache>
                <c:ptCount val="1"/>
                <c:pt idx="0">
                  <c:v>Green Energy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Betas'!$B$8</c:f>
              <c:numCache>
                <c:formatCode>0.00</c:formatCode>
                <c:ptCount val="1"/>
                <c:pt idx="0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A-475F-B10F-F6E772D9C693}"/>
            </c:ext>
          </c:extLst>
        </c:ser>
        <c:ser>
          <c:idx val="4"/>
          <c:order val="4"/>
          <c:tx>
            <c:strRef>
              <c:f>'Fig Industry Betas'!$A$9</c:f>
              <c:strCache>
                <c:ptCount val="1"/>
                <c:pt idx="0">
                  <c:v>Hotel / Gaming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 Industry Betas'!$B$9</c:f>
              <c:numCache>
                <c:formatCode>0.00</c:formatCode>
                <c:ptCount val="1"/>
                <c:pt idx="0">
                  <c:v>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9A-475F-B10F-F6E772D9C6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-51"/>
        <c:axId val="390906992"/>
        <c:axId val="390907552"/>
      </c:barChart>
      <c:catAx>
        <c:axId val="390906992"/>
        <c:scaling>
          <c:orientation val="minMax"/>
        </c:scaling>
        <c:delete val="1"/>
        <c:axPos val="b"/>
        <c:majorTickMark val="none"/>
        <c:minorTickMark val="none"/>
        <c:tickLblPos val="none"/>
        <c:crossAx val="390907552"/>
        <c:crosses val="autoZero"/>
        <c:auto val="1"/>
        <c:lblAlgn val="ctr"/>
        <c:lblOffset val="100"/>
        <c:noMultiLvlLbl val="0"/>
      </c:catAx>
      <c:valAx>
        <c:axId val="390907552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>
                    <a:solidFill>
                      <a:sysClr val="windowText" lastClr="000000"/>
                    </a:solidFill>
                  </a:rPr>
                  <a:t>Beta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0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K = R</a:t>
            </a:r>
            <a:r>
              <a:rPr lang="en-US" sz="1800" i="1" baseline="-25000">
                <a:latin typeface="Cambria Math" panose="02040503050406030204" pitchFamily="18" charset="0"/>
                <a:ea typeface="Cambria Math" panose="02040503050406030204" pitchFamily="18" charset="0"/>
              </a:rPr>
              <a:t>F</a:t>
            </a: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 + </a:t>
            </a:r>
            <a:r>
              <a:rPr lang="el-GR" sz="1800" i="1">
                <a:latin typeface="Cambria Math" panose="02040503050406030204" pitchFamily="18" charset="0"/>
                <a:ea typeface="Cambria Math" panose="02040503050406030204" pitchFamily="18" charset="0"/>
              </a:rPr>
              <a:t>β</a:t>
            </a:r>
            <a:r>
              <a:rPr lang="en-US" sz="1800" i="1">
                <a:latin typeface="Cambria Math" panose="02040503050406030204" pitchFamily="18" charset="0"/>
                <a:ea typeface="Cambria Math" panose="02040503050406030204" pitchFamily="18" charset="0"/>
              </a:rPr>
              <a:t>(ERP)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116009885446752"/>
          <c:y val="0.13172682414698161"/>
          <c:w val="0.68290820393946083"/>
          <c:h val="0.71886866141732286"/>
        </c:manualLayout>
      </c:layout>
      <c:scatterChart>
        <c:scatterStyle val="smoothMarker"/>
        <c:varyColors val="0"/>
        <c:ser>
          <c:idx val="0"/>
          <c:order val="0"/>
          <c:tx>
            <c:v>SML</c:v>
          </c:tx>
          <c:marker>
            <c:symbol val="none"/>
          </c:marker>
          <c:xVal>
            <c:numRef>
              <c:f>'Fig CAPM Graph'!$A$10:$A$14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0.83125000000000004</c:v>
                </c:pt>
                <c:pt idx="3">
                  <c:v>1</c:v>
                </c:pt>
              </c:numCache>
            </c:numRef>
          </c:xVal>
          <c:yVal>
            <c:numRef>
              <c:f>'Fig CAPM Graph'!$B$10:$B$14</c:f>
              <c:numCache>
                <c:formatCode>0.0000</c:formatCode>
                <c:ptCount val="5"/>
                <c:pt idx="0">
                  <c:v>3.2163333333333335E-2</c:v>
                </c:pt>
                <c:pt idx="1">
                  <c:v>6.0148156657837473E-2</c:v>
                </c:pt>
                <c:pt idx="2">
                  <c:v>7.868810211032147E-2</c:v>
                </c:pt>
                <c:pt idx="3">
                  <c:v>8.8132979982341625E-2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77-4368-AAC1-F808B78923B7}"/>
            </c:ext>
          </c:extLst>
        </c:ser>
        <c:ser>
          <c:idx val="1"/>
          <c:order val="1"/>
          <c:spPr>
            <a:ln>
              <a:solidFill>
                <a:srgbClr val="F79646"/>
              </a:solidFill>
            </a:ln>
          </c:spPr>
          <c:marker>
            <c:symbol val="none"/>
          </c:marker>
          <c:xVal>
            <c:numRef>
              <c:f>'Fig CAPM Graph'!$A$10:$A$14</c:f>
              <c:numCache>
                <c:formatCode>0.00</c:formatCode>
                <c:ptCount val="5"/>
                <c:pt idx="0">
                  <c:v>0</c:v>
                </c:pt>
                <c:pt idx="1">
                  <c:v>0.5</c:v>
                </c:pt>
                <c:pt idx="2">
                  <c:v>0.83125000000000004</c:v>
                </c:pt>
                <c:pt idx="3">
                  <c:v>1</c:v>
                </c:pt>
              </c:numCache>
            </c:numRef>
          </c:xVal>
          <c:yVal>
            <c:numRef>
              <c:f>'Fig CAPM Graph'!$C$10:$C$12</c:f>
              <c:numCache>
                <c:formatCode>0.0000</c:formatCode>
                <c:ptCount val="3"/>
                <c:pt idx="0">
                  <c:v>7.868810211032147E-2</c:v>
                </c:pt>
                <c:pt idx="1">
                  <c:v>7.868810211032147E-2</c:v>
                </c:pt>
                <c:pt idx="2">
                  <c:v>7.868810211032147E-2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77-4368-AAC1-F808B78923B7}"/>
            </c:ext>
          </c:extLst>
        </c:ser>
        <c:ser>
          <c:idx val="2"/>
          <c:order val="2"/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'Fig CAPM Graph'!$D$10:$D$11</c:f>
              <c:numCache>
                <c:formatCode>0.0000</c:formatCode>
                <c:ptCount val="2"/>
                <c:pt idx="0">
                  <c:v>0.83125000000000004</c:v>
                </c:pt>
                <c:pt idx="1">
                  <c:v>0.83125000000000004</c:v>
                </c:pt>
              </c:numCache>
            </c:numRef>
          </c:xVal>
          <c:yVal>
            <c:numRef>
              <c:f>'Fig CAPM Graph'!$E$10:$E$11</c:f>
              <c:numCache>
                <c:formatCode>0.0000</c:formatCode>
                <c:ptCount val="2"/>
                <c:pt idx="0">
                  <c:v>0</c:v>
                </c:pt>
                <c:pt idx="1">
                  <c:v>7.868810211032147E-2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77-4368-AAC1-F808B789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11472"/>
        <c:axId val="390912032"/>
      </c:scatterChart>
      <c:valAx>
        <c:axId val="390911472"/>
        <c:scaling>
          <c:orientation val="minMax"/>
          <c:max val="1"/>
          <c:min val="0"/>
        </c:scaling>
        <c:delete val="0"/>
        <c:axPos val="b"/>
        <c:title>
          <c:tx>
            <c:rich>
              <a:bodyPr/>
              <a:lstStyle/>
              <a:p>
                <a:pPr algn="ctr">
                  <a:defRPr sz="1400"/>
                </a:pPr>
                <a:r>
                  <a:rPr lang="en-US" sz="1400"/>
                  <a:t>Beta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90912032"/>
        <c:crosses val="autoZero"/>
        <c:crossBetween val="midCat"/>
        <c:majorUnit val="0.83000000000000007"/>
      </c:valAx>
      <c:valAx>
        <c:axId val="390912032"/>
        <c:scaling>
          <c:orientation val="minMax"/>
          <c:max val="9.0000000000000024E-2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Cost of Equity</a:t>
                </a:r>
              </a:p>
            </c:rich>
          </c:tx>
          <c:layout>
            <c:manualLayout>
              <c:xMode val="edge"/>
              <c:yMode val="edge"/>
              <c:x val="1.2160034951158425E-2"/>
              <c:y val="0.26460181741086047"/>
            </c:manualLayout>
          </c:layout>
          <c:overlay val="0"/>
        </c:title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b="0">
                <a:solidFill>
                  <a:sysClr val="windowText" lastClr="000000"/>
                </a:solidFill>
              </a:defRPr>
            </a:pPr>
            <a:endParaRPr lang="en-US"/>
          </a:p>
        </c:txPr>
        <c:crossAx val="390911472"/>
        <c:crosses val="autoZero"/>
        <c:crossBetween val="midCat"/>
        <c:majorUnit val="7.9000000000000015E-2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22" l="0.70000000000000062" r="0.70000000000000062" t="0.75000000000000722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33013676320683E-2"/>
          <c:y val="0.12402165506574003"/>
          <c:w val="0.88331094976762614"/>
          <c:h val="0.75842227378190252"/>
        </c:manualLayout>
      </c:layout>
      <c:scatterChart>
        <c:scatterStyle val="smoothMarker"/>
        <c:varyColors val="0"/>
        <c:ser>
          <c:idx val="0"/>
          <c:order val="0"/>
          <c:tx>
            <c:v>Growth Rate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Cycle'!$C$4:$C$119</c:f>
              <c:numCache>
                <c:formatCode>General</c:formatCode>
                <c:ptCount val="1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</c:numCache>
            </c:numRef>
          </c:xVal>
          <c:yVal>
            <c:numRef>
              <c:f>'Fig Bus Cycle'!$D$4:$D$119</c:f>
              <c:numCache>
                <c:formatCode>0</c:formatCode>
                <c:ptCount val="116"/>
                <c:pt idx="0">
                  <c:v>0</c:v>
                </c:pt>
                <c:pt idx="1">
                  <c:v>5.46</c:v>
                </c:pt>
                <c:pt idx="2">
                  <c:v>21.68</c:v>
                </c:pt>
                <c:pt idx="3">
                  <c:v>48.42</c:v>
                </c:pt>
                <c:pt idx="4">
                  <c:v>85.44</c:v>
                </c:pt>
                <c:pt idx="5">
                  <c:v>132.5</c:v>
                </c:pt>
                <c:pt idx="6">
                  <c:v>189.36</c:v>
                </c:pt>
                <c:pt idx="7">
                  <c:v>255.78</c:v>
                </c:pt>
                <c:pt idx="8">
                  <c:v>331.52</c:v>
                </c:pt>
                <c:pt idx="9">
                  <c:v>416.34</c:v>
                </c:pt>
                <c:pt idx="10">
                  <c:v>510</c:v>
                </c:pt>
                <c:pt idx="11">
                  <c:v>612.26</c:v>
                </c:pt>
                <c:pt idx="12">
                  <c:v>722.88</c:v>
                </c:pt>
                <c:pt idx="13">
                  <c:v>841.62</c:v>
                </c:pt>
                <c:pt idx="14">
                  <c:v>968.24</c:v>
                </c:pt>
                <c:pt idx="15">
                  <c:v>1102.5</c:v>
                </c:pt>
                <c:pt idx="16">
                  <c:v>1244.1600000000001</c:v>
                </c:pt>
                <c:pt idx="17">
                  <c:v>1392.98</c:v>
                </c:pt>
                <c:pt idx="18">
                  <c:v>1548.72</c:v>
                </c:pt>
                <c:pt idx="19">
                  <c:v>1711.1399999999999</c:v>
                </c:pt>
                <c:pt idx="20">
                  <c:v>1880</c:v>
                </c:pt>
                <c:pt idx="21">
                  <c:v>2055.06</c:v>
                </c:pt>
                <c:pt idx="22">
                  <c:v>2236.08</c:v>
                </c:pt>
                <c:pt idx="23">
                  <c:v>2422.8200000000002</c:v>
                </c:pt>
                <c:pt idx="24">
                  <c:v>2615.04</c:v>
                </c:pt>
                <c:pt idx="25">
                  <c:v>2812.5</c:v>
                </c:pt>
                <c:pt idx="26">
                  <c:v>3014.96</c:v>
                </c:pt>
                <c:pt idx="27">
                  <c:v>3222.18</c:v>
                </c:pt>
                <c:pt idx="28">
                  <c:v>3433.92</c:v>
                </c:pt>
                <c:pt idx="29">
                  <c:v>3649.94</c:v>
                </c:pt>
                <c:pt idx="30">
                  <c:v>3870</c:v>
                </c:pt>
                <c:pt idx="31">
                  <c:v>4093.8599999999997</c:v>
                </c:pt>
                <c:pt idx="32">
                  <c:v>4321.28</c:v>
                </c:pt>
                <c:pt idx="33">
                  <c:v>4552.0200000000004</c:v>
                </c:pt>
                <c:pt idx="34">
                  <c:v>4785.84</c:v>
                </c:pt>
                <c:pt idx="35">
                  <c:v>5022.5</c:v>
                </c:pt>
                <c:pt idx="36">
                  <c:v>5261.76</c:v>
                </c:pt>
                <c:pt idx="37">
                  <c:v>5503.38</c:v>
                </c:pt>
                <c:pt idx="38">
                  <c:v>5747.12</c:v>
                </c:pt>
                <c:pt idx="39">
                  <c:v>5992.74</c:v>
                </c:pt>
                <c:pt idx="40">
                  <c:v>6240</c:v>
                </c:pt>
                <c:pt idx="41">
                  <c:v>6488.66</c:v>
                </c:pt>
                <c:pt idx="42">
                  <c:v>6738.48</c:v>
                </c:pt>
                <c:pt idx="43">
                  <c:v>6989.2199999999993</c:v>
                </c:pt>
                <c:pt idx="44">
                  <c:v>7240.6399999999994</c:v>
                </c:pt>
                <c:pt idx="45">
                  <c:v>7492.5</c:v>
                </c:pt>
                <c:pt idx="46">
                  <c:v>7744.5599999999995</c:v>
                </c:pt>
                <c:pt idx="47">
                  <c:v>7996.58</c:v>
                </c:pt>
                <c:pt idx="48">
                  <c:v>8248.32</c:v>
                </c:pt>
                <c:pt idx="49">
                  <c:v>8499.5400000000009</c:v>
                </c:pt>
                <c:pt idx="50">
                  <c:v>8750</c:v>
                </c:pt>
                <c:pt idx="51">
                  <c:v>8999.4599999999991</c:v>
                </c:pt>
                <c:pt idx="52">
                  <c:v>9247.68</c:v>
                </c:pt>
                <c:pt idx="53">
                  <c:v>9494.42</c:v>
                </c:pt>
                <c:pt idx="54">
                  <c:v>9739.4399999999987</c:v>
                </c:pt>
                <c:pt idx="55">
                  <c:v>9982.5</c:v>
                </c:pt>
                <c:pt idx="56">
                  <c:v>10223.36</c:v>
                </c:pt>
                <c:pt idx="57">
                  <c:v>10461.779999999999</c:v>
                </c:pt>
                <c:pt idx="58">
                  <c:v>10697.52</c:v>
                </c:pt>
                <c:pt idx="59">
                  <c:v>10930.34</c:v>
                </c:pt>
                <c:pt idx="60">
                  <c:v>11160</c:v>
                </c:pt>
                <c:pt idx="61">
                  <c:v>11386.26</c:v>
                </c:pt>
                <c:pt idx="62">
                  <c:v>11608.88</c:v>
                </c:pt>
                <c:pt idx="63">
                  <c:v>11827.619999999999</c:v>
                </c:pt>
                <c:pt idx="64">
                  <c:v>12042.24</c:v>
                </c:pt>
                <c:pt idx="65">
                  <c:v>12252.5</c:v>
                </c:pt>
                <c:pt idx="66">
                  <c:v>12458.16</c:v>
                </c:pt>
                <c:pt idx="67">
                  <c:v>12658.98</c:v>
                </c:pt>
                <c:pt idx="68">
                  <c:v>12854.72</c:v>
                </c:pt>
                <c:pt idx="69">
                  <c:v>13045.14</c:v>
                </c:pt>
                <c:pt idx="70">
                  <c:v>13230</c:v>
                </c:pt>
                <c:pt idx="71">
                  <c:v>13409.06</c:v>
                </c:pt>
                <c:pt idx="72">
                  <c:v>13582.08</c:v>
                </c:pt>
                <c:pt idx="73">
                  <c:v>13748.82</c:v>
                </c:pt>
                <c:pt idx="74">
                  <c:v>13909.039999999999</c:v>
                </c:pt>
                <c:pt idx="75">
                  <c:v>14062.5</c:v>
                </c:pt>
                <c:pt idx="76">
                  <c:v>14208.96</c:v>
                </c:pt>
                <c:pt idx="77">
                  <c:v>14348.18</c:v>
                </c:pt>
                <c:pt idx="78">
                  <c:v>14479.919999999998</c:v>
                </c:pt>
                <c:pt idx="79">
                  <c:v>14603.939999999999</c:v>
                </c:pt>
                <c:pt idx="80">
                  <c:v>14720</c:v>
                </c:pt>
                <c:pt idx="81">
                  <c:v>14827.86</c:v>
                </c:pt>
                <c:pt idx="82">
                  <c:v>14927.279999999999</c:v>
                </c:pt>
                <c:pt idx="83">
                  <c:v>15018.02</c:v>
                </c:pt>
                <c:pt idx="84">
                  <c:v>15099.84</c:v>
                </c:pt>
                <c:pt idx="85">
                  <c:v>15172.5</c:v>
                </c:pt>
                <c:pt idx="86">
                  <c:v>15235.759999999998</c:v>
                </c:pt>
                <c:pt idx="87">
                  <c:v>15289.380000000001</c:v>
                </c:pt>
                <c:pt idx="88">
                  <c:v>15333.119999999999</c:v>
                </c:pt>
                <c:pt idx="89">
                  <c:v>15366.739999999998</c:v>
                </c:pt>
                <c:pt idx="90">
                  <c:v>15390</c:v>
                </c:pt>
                <c:pt idx="91">
                  <c:v>15402.66</c:v>
                </c:pt>
                <c:pt idx="92">
                  <c:v>15404.48</c:v>
                </c:pt>
                <c:pt idx="93">
                  <c:v>15395.219999999998</c:v>
                </c:pt>
                <c:pt idx="94">
                  <c:v>15374.64</c:v>
                </c:pt>
                <c:pt idx="95">
                  <c:v>15342.5</c:v>
                </c:pt>
                <c:pt idx="96">
                  <c:v>15298.559999999998</c:v>
                </c:pt>
                <c:pt idx="97">
                  <c:v>15242.580000000002</c:v>
                </c:pt>
                <c:pt idx="98">
                  <c:v>15174.32</c:v>
                </c:pt>
                <c:pt idx="99">
                  <c:v>15093.54</c:v>
                </c:pt>
                <c:pt idx="100">
                  <c:v>15000</c:v>
                </c:pt>
                <c:pt idx="101">
                  <c:v>14893.46</c:v>
                </c:pt>
                <c:pt idx="102">
                  <c:v>14773.68</c:v>
                </c:pt>
                <c:pt idx="103">
                  <c:v>14640.419999999998</c:v>
                </c:pt>
                <c:pt idx="104">
                  <c:v>14493.440000000002</c:v>
                </c:pt>
                <c:pt idx="105">
                  <c:v>14332.5</c:v>
                </c:pt>
                <c:pt idx="106">
                  <c:v>14157.36</c:v>
                </c:pt>
                <c:pt idx="107">
                  <c:v>13967.779999999999</c:v>
                </c:pt>
                <c:pt idx="108">
                  <c:v>13763.519999999997</c:v>
                </c:pt>
                <c:pt idx="109">
                  <c:v>13544.339999999997</c:v>
                </c:pt>
                <c:pt idx="110">
                  <c:v>13310</c:v>
                </c:pt>
                <c:pt idx="111">
                  <c:v>13060.260000000002</c:v>
                </c:pt>
                <c:pt idx="112">
                  <c:v>12794.879999999997</c:v>
                </c:pt>
                <c:pt idx="113">
                  <c:v>12513.619999999995</c:v>
                </c:pt>
                <c:pt idx="114">
                  <c:v>12216.239999999998</c:v>
                </c:pt>
                <c:pt idx="115">
                  <c:v>11902.5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60-4664-A374-A27E4BEE566D}"/>
            </c:ext>
          </c:extLst>
        </c:ser>
        <c:ser>
          <c:idx val="1"/>
          <c:order val="1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Cycle'!$F$4:$F$5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'Fig Bus Cycle'!$G$4:$G$5</c:f>
              <c:numCache>
                <c:formatCode>General</c:formatCode>
                <c:ptCount val="2"/>
                <c:pt idx="0">
                  <c:v>0</c:v>
                </c:pt>
                <c:pt idx="1">
                  <c:v>1880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60-4664-A374-A27E4BEE566D}"/>
            </c:ext>
          </c:extLst>
        </c:ser>
        <c:ser>
          <c:idx val="2"/>
          <c:order val="2"/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Cycle'!$I$4:$I$5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xVal>
          <c:yVal>
            <c:numRef>
              <c:f>'Fig Bus Cycle'!$J$4:$J$5</c:f>
              <c:numCache>
                <c:formatCode>General</c:formatCode>
                <c:ptCount val="2"/>
                <c:pt idx="0">
                  <c:v>0</c:v>
                </c:pt>
                <c:pt idx="1">
                  <c:v>11160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C60-4664-A374-A27E4BEE566D}"/>
            </c:ext>
          </c:extLst>
        </c:ser>
        <c:ser>
          <c:idx val="3"/>
          <c:order val="3"/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 Bus Cycle'!$L$4:$L$5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xVal>
          <c:yVal>
            <c:numRef>
              <c:f>'Fig Bus Cycle'!$M$4:$M$5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C60-4664-A374-A27E4BEE5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025840"/>
        <c:axId val="393156048"/>
      </c:scatterChart>
      <c:valAx>
        <c:axId val="391025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93156048"/>
        <c:crosses val="autoZero"/>
        <c:crossBetween val="midCat"/>
      </c:valAx>
      <c:valAx>
        <c:axId val="39315604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391025840"/>
        <c:crosses val="autoZero"/>
        <c:crossBetween val="midCat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02198118334001E-2"/>
          <c:y val="3.2796660703637445E-2"/>
          <c:w val="0.68483426209071663"/>
          <c:h val="0.84117179202867898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'Fig Diversify'!$A$2:$A$21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'Fig Diversify'!$B$2:$B$21</c:f>
              <c:numCache>
                <c:formatCode>General</c:formatCode>
                <c:ptCount val="20"/>
                <c:pt idx="0">
                  <c:v>100</c:v>
                </c:pt>
                <c:pt idx="1">
                  <c:v>75</c:v>
                </c:pt>
                <c:pt idx="2">
                  <c:v>55</c:v>
                </c:pt>
                <c:pt idx="3">
                  <c:v>37</c:v>
                </c:pt>
                <c:pt idx="4">
                  <c:v>25</c:v>
                </c:pt>
                <c:pt idx="5">
                  <c:v>17</c:v>
                </c:pt>
                <c:pt idx="6">
                  <c:v>12</c:v>
                </c:pt>
                <c:pt idx="7">
                  <c:v>8.25</c:v>
                </c:pt>
                <c:pt idx="8">
                  <c:v>5.5</c:v>
                </c:pt>
                <c:pt idx="9">
                  <c:v>4</c:v>
                </c:pt>
                <c:pt idx="10">
                  <c:v>3.2</c:v>
                </c:pt>
                <c:pt idx="11">
                  <c:v>2.7</c:v>
                </c:pt>
                <c:pt idx="12">
                  <c:v>2.2999999999999998</c:v>
                </c:pt>
                <c:pt idx="13">
                  <c:v>1.9</c:v>
                </c:pt>
                <c:pt idx="14">
                  <c:v>1.7</c:v>
                </c:pt>
                <c:pt idx="15">
                  <c:v>1.5</c:v>
                </c:pt>
                <c:pt idx="16">
                  <c:v>1.3</c:v>
                </c:pt>
                <c:pt idx="17">
                  <c:v>1.2</c:v>
                </c:pt>
                <c:pt idx="18">
                  <c:v>1.1000000000000001</c:v>
                </c:pt>
                <c:pt idx="19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B8-45C9-92C8-863BFB83A8E7}"/>
            </c:ext>
          </c:extLst>
        </c:ser>
        <c:ser>
          <c:idx val="1"/>
          <c:order val="1"/>
          <c:tx>
            <c:v>Top Line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Diversify'!$D$2:$D$22</c:f>
              <c:numCache>
                <c:formatCode>General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B8-45C9-92C8-863BFB83A8E7}"/>
            </c:ext>
          </c:extLst>
        </c:ser>
        <c:ser>
          <c:idx val="2"/>
          <c:order val="2"/>
          <c:tx>
            <c:v>Middle Line</c:v>
          </c:tx>
          <c:spPr>
            <a:ln>
              <a:solidFill>
                <a:prstClr val="black"/>
              </a:solidFill>
              <a:prstDash val="sysDash"/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Diversify'!$E$2:$E$22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2B8-45C9-92C8-863BFB83A8E7}"/>
            </c:ext>
          </c:extLst>
        </c:ser>
        <c:ser>
          <c:idx val="3"/>
          <c:order val="3"/>
          <c:tx>
            <c:v>Bottom Line</c:v>
          </c:tx>
          <c:spPr>
            <a:ln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'Fig Diversify'!$C$2:$C$22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'Fig Diversify'!$F$2:$F$22</c:f>
              <c:numCache>
                <c:formatCode>General</c:formatCode>
                <c:ptCount val="21"/>
                <c:pt idx="0">
                  <c:v>-40</c:v>
                </c:pt>
                <c:pt idx="1">
                  <c:v>-40</c:v>
                </c:pt>
                <c:pt idx="2">
                  <c:v>-40</c:v>
                </c:pt>
                <c:pt idx="3">
                  <c:v>-40</c:v>
                </c:pt>
                <c:pt idx="4">
                  <c:v>-40</c:v>
                </c:pt>
                <c:pt idx="5">
                  <c:v>-40</c:v>
                </c:pt>
                <c:pt idx="6">
                  <c:v>-40</c:v>
                </c:pt>
                <c:pt idx="7">
                  <c:v>-40</c:v>
                </c:pt>
                <c:pt idx="8">
                  <c:v>-40</c:v>
                </c:pt>
                <c:pt idx="9">
                  <c:v>-40</c:v>
                </c:pt>
                <c:pt idx="10">
                  <c:v>-40</c:v>
                </c:pt>
                <c:pt idx="11">
                  <c:v>-40</c:v>
                </c:pt>
                <c:pt idx="12">
                  <c:v>-40</c:v>
                </c:pt>
                <c:pt idx="13">
                  <c:v>-40</c:v>
                </c:pt>
                <c:pt idx="14">
                  <c:v>-40</c:v>
                </c:pt>
                <c:pt idx="15">
                  <c:v>-40</c:v>
                </c:pt>
                <c:pt idx="16">
                  <c:v>-40</c:v>
                </c:pt>
                <c:pt idx="17">
                  <c:v>-40</c:v>
                </c:pt>
                <c:pt idx="18">
                  <c:v>-40</c:v>
                </c:pt>
                <c:pt idx="19">
                  <c:v>-40</c:v>
                </c:pt>
                <c:pt idx="20">
                  <c:v>-40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B8-45C9-92C8-863BFB83A8E7}"/>
            </c:ext>
          </c:extLst>
        </c:ser>
        <c:ser>
          <c:idx val="4"/>
          <c:order val="4"/>
          <c:tx>
            <c:v>Top Arrow</c:v>
          </c:tx>
          <c:spPr>
            <a:ln>
              <a:headEnd type="triangle" w="lg" len="lg"/>
              <a:tailEnd type="triangle" w="lg" len="lg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accent5"/>
                </a:solidFill>
                <a:headEnd type="triangle" w="lg" len="lg"/>
                <a:tailEnd type="triangle" w="lg" len="lg"/>
              </a:ln>
            </c:spPr>
            <c:extLst>
              <c:ext xmlns:c16="http://schemas.microsoft.com/office/drawing/2014/chart" uri="{C3380CC4-5D6E-409C-BE32-E72D297353CC}">
                <c16:uniqueId val="{00000005-52B8-45C9-92C8-863BFB83A8E7}"/>
              </c:ext>
            </c:extLst>
          </c:dPt>
          <c:xVal>
            <c:numRef>
              <c:f>'Fig Diversify'!$G$2:$G$3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'Fig Diversify'!$H$2:$H$3</c:f>
              <c:numCache>
                <c:formatCode>General</c:formatCode>
                <c:ptCount val="2"/>
                <c:pt idx="0">
                  <c:v>10</c:v>
                </c:pt>
                <c:pt idx="1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2B8-45C9-92C8-863BFB83A8E7}"/>
            </c:ext>
          </c:extLst>
        </c:ser>
        <c:ser>
          <c:idx val="5"/>
          <c:order val="5"/>
          <c:tx>
            <c:v>Bottom Arrow</c:v>
          </c:tx>
          <c:spPr>
            <a:ln>
              <a:solidFill>
                <a:schemeClr val="accent3"/>
              </a:solidFill>
              <a:headEnd type="triangle" w="lg" len="lg"/>
              <a:tailEnd type="triangle" w="lg" len="lg"/>
            </a:ln>
          </c:spPr>
          <c:marker>
            <c:symbol val="none"/>
          </c:marker>
          <c:xVal>
            <c:numRef>
              <c:f>'Fig Diversify'!$I$2:$I$3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'Fig Diversify'!$J$2:$J$3</c:f>
              <c:numCache>
                <c:formatCode>General</c:formatCode>
                <c:ptCount val="2"/>
                <c:pt idx="0">
                  <c:v>-5</c:v>
                </c:pt>
                <c:pt idx="1">
                  <c:v>-35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2B8-45C9-92C8-863BFB83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312400"/>
        <c:axId val="390312960"/>
      </c:scatterChart>
      <c:valAx>
        <c:axId val="390312400"/>
        <c:scaling>
          <c:orientation val="minMax"/>
          <c:max val="25"/>
          <c:min val="0"/>
        </c:scaling>
        <c:delete val="1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Number of </a:t>
                </a:r>
                <a:r>
                  <a:rPr lang="en-US" sz="1200" baseline="0"/>
                  <a:t> Securities in Portfolio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17769348520203748"/>
              <c:y val="0.9179703472894819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390312960"/>
        <c:crosses val="autoZero"/>
        <c:crossBetween val="midCat"/>
        <c:majorUnit val="10"/>
      </c:valAx>
      <c:valAx>
        <c:axId val="390312960"/>
        <c:scaling>
          <c:orientation val="minMax"/>
          <c:max val="100"/>
          <c:min val="-4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Portfolio  Variance</a:t>
                </a:r>
              </a:p>
            </c:rich>
          </c:tx>
          <c:layout>
            <c:manualLayout>
              <c:xMode val="edge"/>
              <c:yMode val="edge"/>
              <c:x val="3.050108932461874E-2"/>
              <c:y val="0.32305203799436139"/>
            </c:manualLayout>
          </c:layout>
          <c:overlay val="0"/>
        </c:title>
        <c:numFmt formatCode=";;;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crossAx val="390312400"/>
        <c:crosses val="autoZero"/>
        <c:crossBetween val="midCat"/>
        <c:majorUnit val="5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522" l="0.70000000000000062" r="0.70000000000000062" t="0.75000000000000522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137583</xdr:colOff>
      <xdr:row>2</xdr:row>
      <xdr:rowOff>42335</xdr:rowOff>
    </xdr:from>
    <xdr:to>
      <xdr:col>23</xdr:col>
      <xdr:colOff>74083</xdr:colOff>
      <xdr:row>23</xdr:row>
      <xdr:rowOff>31751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98E16-67EE-4AE6-BD93-2F223D0E3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0.15007</cdr:x>
      <cdr:y>0.77726</cdr:y>
    </cdr:from>
    <cdr:to>
      <cdr:x>0.2886</cdr:x>
      <cdr:y>0.96056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0600" y="3190875"/>
          <a:ext cx="914400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0.08081</cdr:x>
      <cdr:y>0.89095</cdr:y>
    </cdr:from>
    <cdr:to>
      <cdr:x>0.19163</cdr:x>
      <cdr:y>0.95777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33400" y="3657599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Start-up</a:t>
          </a:r>
        </a:p>
      </cdr:txBody>
    </cdr:sp>
  </cdr:relSizeAnchor>
  <cdr:relSizeAnchor xmlns:cdr="http://schemas.openxmlformats.org/drawingml/2006/chartDrawing">
    <cdr:from>
      <cdr:x>0.28716</cdr:x>
      <cdr:y>0.89791</cdr:y>
    </cdr:from>
    <cdr:to>
      <cdr:x>0.39798</cdr:x>
      <cdr:y>0.96473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5475" y="3686175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Growth</a:t>
          </a:r>
        </a:p>
      </cdr:txBody>
    </cdr:sp>
  </cdr:relSizeAnchor>
  <cdr:relSizeAnchor xmlns:cdr="http://schemas.openxmlformats.org/drawingml/2006/chartDrawing">
    <cdr:from>
      <cdr:x>0.52092</cdr:x>
      <cdr:y>0.89559</cdr:y>
    </cdr:from>
    <cdr:to>
      <cdr:x>0.63175</cdr:x>
      <cdr:y>0.96241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438525" y="3676650"/>
          <a:ext cx="73152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Maturity</a:t>
          </a:r>
        </a:p>
      </cdr:txBody>
    </cdr:sp>
  </cdr:relSizeAnchor>
  <cdr:relSizeAnchor xmlns:cdr="http://schemas.openxmlformats.org/drawingml/2006/chartDrawing">
    <cdr:from>
      <cdr:x>0.50877</cdr:x>
      <cdr:y>0.39689</cdr:y>
    </cdr:from>
    <cdr:to>
      <cdr:x>0.68787</cdr:x>
      <cdr:y>0.46372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43618" y="1686037"/>
          <a:ext cx="1212202" cy="283904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2">
          <a:schemeClr val="accent6"/>
        </a:fillRef>
        <a:effectRef xmlns:a="http://schemas.openxmlformats.org/drawingml/2006/main" idx="1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Public</a:t>
          </a:r>
          <a:r>
            <a:rPr lang="en-US" sz="1400" baseline="0"/>
            <a:t> Utilities</a:t>
          </a:r>
          <a:endParaRPr lang="en-US" sz="14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</xdr:colOff>
      <xdr:row>4</xdr:row>
      <xdr:rowOff>83820</xdr:rowOff>
    </xdr:from>
    <xdr:to>
      <xdr:col>21</xdr:col>
      <xdr:colOff>167640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0031EB-40B2-4A9B-8DED-EB7A56F83B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0.76455</cdr:x>
      <cdr:y>0.21478</cdr:y>
    </cdr:from>
    <cdr:to>
      <cdr:x>0.95564</cdr:x>
      <cdr:y>0.32442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05300" y="918162"/>
          <a:ext cx="1076096" cy="468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accent5"/>
              </a:solidFill>
            </a:rPr>
            <a:t>Firm-Specific</a:t>
          </a:r>
          <a:r>
            <a:rPr lang="en-US" sz="1200" b="1" baseline="0">
              <a:solidFill>
                <a:schemeClr val="accent5"/>
              </a:solidFill>
            </a:rPr>
            <a:t> Risk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accent5"/>
              </a:solidFill>
            </a:rPr>
            <a:t> (unrewarded)</a:t>
          </a:r>
          <a:endParaRPr lang="en-US" sz="1200" b="1">
            <a:solidFill>
              <a:schemeClr val="accent5"/>
            </a:solidFill>
          </a:endParaRPr>
        </a:p>
      </cdr:txBody>
    </cdr:sp>
  </cdr:relSizeAnchor>
  <cdr:relSizeAnchor xmlns:cdr="http://schemas.openxmlformats.org/drawingml/2006/chartDrawing">
    <cdr:from>
      <cdr:x>0.81046</cdr:x>
      <cdr:y>0.65832</cdr:y>
    </cdr:from>
    <cdr:to>
      <cdr:x>0.96732</cdr:x>
      <cdr:y>0.87299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724400" y="28041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0.77896</cdr:x>
      <cdr:y>0.70102</cdr:y>
    </cdr:from>
    <cdr:to>
      <cdr:x>0.93583</cdr:x>
      <cdr:y>0.81818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386472" y="2996723"/>
          <a:ext cx="883363" cy="5008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accent3"/>
              </a:solidFill>
            </a:rPr>
            <a:t>Market Risk</a:t>
          </a:r>
        </a:p>
        <a:p xmlns:a="http://schemas.openxmlformats.org/drawingml/2006/main">
          <a:pPr algn="ctr"/>
          <a:r>
            <a:rPr lang="en-US" sz="1200" b="1">
              <a:solidFill>
                <a:schemeClr val="accent3"/>
              </a:solidFill>
            </a:rPr>
            <a:t>(rewarded)</a:t>
          </a:r>
        </a:p>
      </cdr:txBody>
    </cdr:sp>
  </cdr:relSizeAnchor>
  <cdr:relSizeAnchor xmlns:cdr="http://schemas.openxmlformats.org/drawingml/2006/chartDrawing">
    <cdr:from>
      <cdr:x>0.05586</cdr:x>
      <cdr:y>0.85976</cdr:y>
    </cdr:from>
    <cdr:to>
      <cdr:x>0.09711</cdr:x>
      <cdr:y>0.92832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14563" y="3675298"/>
          <a:ext cx="232286" cy="293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0</a:t>
          </a:r>
        </a:p>
      </cdr:txBody>
    </cdr:sp>
  </cdr:relSizeAnchor>
  <cdr:relSizeAnchor xmlns:cdr="http://schemas.openxmlformats.org/drawingml/2006/chartDrawing">
    <cdr:from>
      <cdr:x>0.60408</cdr:x>
      <cdr:y>0.86823</cdr:y>
    </cdr:from>
    <cdr:to>
      <cdr:x>0.68283</cdr:x>
      <cdr:y>0.93679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01701" y="3711517"/>
          <a:ext cx="443456" cy="2930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500+</a:t>
          </a:r>
        </a:p>
      </cdr:txBody>
    </cdr:sp>
  </cdr:relSizeAnchor>
  <cdr:relSizeAnchor xmlns:cdr="http://schemas.openxmlformats.org/drawingml/2006/chartDrawing">
    <cdr:from>
      <cdr:x>0.43572</cdr:x>
      <cdr:y>0.21925</cdr:y>
    </cdr:from>
    <cdr:to>
      <cdr:x>0.64411</cdr:x>
      <cdr:y>0.37433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2453640" y="937260"/>
          <a:ext cx="1173480" cy="66294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- Utility Operations</a:t>
          </a:r>
        </a:p>
        <a:p xmlns:a="http://schemas.openxmlformats.org/drawingml/2006/main">
          <a:r>
            <a:rPr lang="en-US" sz="1100"/>
            <a:t>- Financial Risk</a:t>
          </a:r>
        </a:p>
        <a:p xmlns:a="http://schemas.openxmlformats.org/drawingml/2006/main">
          <a:r>
            <a:rPr lang="en-US" sz="1100"/>
            <a:t>- Default Risk </a:t>
          </a: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0.50744</cdr:x>
      <cdr:y>0.70945</cdr:y>
    </cdr:from>
    <cdr:to>
      <cdr:x>0.66982</cdr:x>
      <cdr:y>0.82531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857500" y="3032760"/>
          <a:ext cx="91440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0.42355</cdr:x>
      <cdr:y>0.69162</cdr:y>
    </cdr:from>
    <cdr:to>
      <cdr:x>0.63735</cdr:x>
      <cdr:y>0.80214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385060" y="2956560"/>
          <a:ext cx="1203960" cy="47244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2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-</a:t>
          </a:r>
          <a:r>
            <a:rPr lang="en-US" sz="1100" baseline="0"/>
            <a:t> Interest Rate Risk</a:t>
          </a:r>
        </a:p>
        <a:p xmlns:a="http://schemas.openxmlformats.org/drawingml/2006/main">
          <a:r>
            <a:rPr lang="en-US" sz="1100" baseline="0"/>
            <a:t>- Inflation Risk</a:t>
          </a:r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0.45292</cdr:x>
      <cdr:y>0.45751</cdr:y>
    </cdr:from>
    <cdr:to>
      <cdr:x>0.57423</cdr:x>
      <cdr:y>0.53943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1272523-ADD0-4887-92EA-1A5294C6192B}"/>
            </a:ext>
          </a:extLst>
        </cdr:cNvPr>
        <cdr:cNvSpPr txBox="1"/>
      </cdr:nvSpPr>
      <cdr:spPr>
        <a:xfrm xmlns:a="http://schemas.openxmlformats.org/drawingml/2006/main">
          <a:off x="3585441" y="1796355"/>
          <a:ext cx="960330" cy="321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Kroll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</xdr:row>
      <xdr:rowOff>147638</xdr:rowOff>
    </xdr:from>
    <xdr:to>
      <xdr:col>32</xdr:col>
      <xdr:colOff>47625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2D78A-4759-4807-A120-395CFE9FE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9526</xdr:colOff>
      <xdr:row>26</xdr:row>
      <xdr:rowOff>180975</xdr:rowOff>
    </xdr:from>
    <xdr:to>
      <xdr:col>32</xdr:col>
      <xdr:colOff>142875</xdr:colOff>
      <xdr:row>48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B6E7E9-3C2F-444D-8E56-54ACC9ECA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9525</xdr:colOff>
      <xdr:row>50</xdr:row>
      <xdr:rowOff>47625</xdr:rowOff>
    </xdr:from>
    <xdr:to>
      <xdr:col>32</xdr:col>
      <xdr:colOff>142874</xdr:colOff>
      <xdr:row>69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2857AA-C229-4C89-AAFB-048BB373F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28575</xdr:colOff>
      <xdr:row>70</xdr:row>
      <xdr:rowOff>161925</xdr:rowOff>
    </xdr:from>
    <xdr:to>
      <xdr:col>32</xdr:col>
      <xdr:colOff>161924</xdr:colOff>
      <xdr:row>89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B57DE5-1E2C-4F1F-8502-F9097138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0.1477</cdr:x>
      <cdr:y>0.08421</cdr:y>
    </cdr:from>
    <cdr:to>
      <cdr:x>0.19103</cdr:x>
      <cdr:y>0.32674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CF3E631E-32F3-4FE4-8335-FBC88B064CE5}"/>
            </a:ext>
          </a:extLst>
        </cdr:cNvPr>
        <cdr:cNvSpPr/>
      </cdr:nvSpPr>
      <cdr:spPr>
        <a:xfrm xmlns:a="http://schemas.openxmlformats.org/drawingml/2006/main">
          <a:off x="830009" y="304781"/>
          <a:ext cx="243504" cy="87783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317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0.18644</cdr:x>
      <cdr:y>0.66842</cdr:y>
    </cdr:from>
    <cdr:to>
      <cdr:x>0.34915</cdr:x>
      <cdr:y>0.72105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8F7F0EA-4DFD-4EA5-8E92-E255CE2B01CA}"/>
            </a:ext>
          </a:extLst>
        </cdr:cNvPr>
        <cdr:cNvSpPr txBox="1"/>
      </cdr:nvSpPr>
      <cdr:spPr>
        <a:xfrm xmlns:a="http://schemas.openxmlformats.org/drawingml/2006/main">
          <a:off x="1047749" y="2419350"/>
          <a:ext cx="9144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</cdr:x>
      <cdr:y>0.50263</cdr:y>
    </cdr:from>
    <cdr:to>
      <cdr:x>0.74746</cdr:x>
      <cdr:y>0.57632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4A5AEA99-2F08-4ACD-ABE6-070FFCEC1913}"/>
            </a:ext>
          </a:extLst>
        </cdr:cNvPr>
        <cdr:cNvSpPr txBox="1"/>
      </cdr:nvSpPr>
      <cdr:spPr>
        <a:xfrm xmlns:a="http://schemas.openxmlformats.org/drawingml/2006/main">
          <a:off x="561974" y="1819275"/>
          <a:ext cx="36385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C00000"/>
              </a:solidFill>
            </a:rPr>
            <a:t>Utility Cost</a:t>
          </a:r>
          <a:r>
            <a:rPr lang="en-US" sz="1200" baseline="0">
              <a:solidFill>
                <a:srgbClr val="C00000"/>
              </a:solidFill>
            </a:rPr>
            <a:t> of Equity Must be Below Market Cost of Equity</a:t>
          </a:r>
          <a:endParaRPr lang="en-US" sz="1200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0.18292</cdr:x>
      <cdr:y>0.36842</cdr:y>
    </cdr:from>
    <cdr:to>
      <cdr:x>0.20339</cdr:x>
      <cdr:y>0.48158</cdr:y>
    </cdr:to>
    <cdr:sp macro="" textlink="">
      <cdr:nvSpPr>
        <cdr:cNvPr id="5" name="Arrow: Right 4">
          <a:extLst xmlns:a="http://schemas.openxmlformats.org/drawingml/2006/main">
            <a:ext uri="{FF2B5EF4-FFF2-40B4-BE49-F238E27FC236}">
              <a16:creationId xmlns:a16="http://schemas.microsoft.com/office/drawing/2014/main" id="{359C5C5A-4501-4396-BE8A-A15AECDD23E9}"/>
            </a:ext>
          </a:extLst>
        </cdr:cNvPr>
        <cdr:cNvSpPr/>
      </cdr:nvSpPr>
      <cdr:spPr>
        <a:xfrm xmlns:a="http://schemas.openxmlformats.org/drawingml/2006/main" rot="5400000">
          <a:off x="880681" y="1480758"/>
          <a:ext cx="409573" cy="115061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0.69209</cdr:x>
      <cdr:y>0.3693</cdr:y>
    </cdr:from>
    <cdr:to>
      <cdr:x>0.71256</cdr:x>
      <cdr:y>0.48246</cdr:y>
    </cdr:to>
    <cdr:sp macro="" textlink="">
      <cdr:nvSpPr>
        <cdr:cNvPr id="7" name="Arrow: Right 6">
          <a:extLst xmlns:a="http://schemas.openxmlformats.org/drawingml/2006/main">
            <a:ext uri="{FF2B5EF4-FFF2-40B4-BE49-F238E27FC236}">
              <a16:creationId xmlns:a16="http://schemas.microsoft.com/office/drawing/2014/main" id="{7DABA7EE-D468-4758-A14B-F7EBFCECC1A9}"/>
            </a:ext>
          </a:extLst>
        </cdr:cNvPr>
        <cdr:cNvSpPr/>
      </cdr:nvSpPr>
      <cdr:spPr>
        <a:xfrm xmlns:a="http://schemas.openxmlformats.org/drawingml/2006/main" rot="5400000">
          <a:off x="3742119" y="1483931"/>
          <a:ext cx="409573" cy="115061"/>
        </a:xfrm>
        <a:prstGeom xmlns:a="http://schemas.openxmlformats.org/drawingml/2006/main" prst="right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</xdr:row>
      <xdr:rowOff>59531</xdr:rowOff>
    </xdr:from>
    <xdr:to>
      <xdr:col>21</xdr:col>
      <xdr:colOff>195265</xdr:colOff>
      <xdr:row>29</xdr:row>
      <xdr:rowOff>97633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E15F18-E6CC-419C-A14E-0CB9062CA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0.31791</cdr:x>
      <cdr:y>0.9024</cdr:y>
    </cdr:from>
    <cdr:to>
      <cdr:x>0.7185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76576" y="5019676"/>
          <a:ext cx="3876675" cy="542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0.30315</cdr:x>
      <cdr:y>0.95034</cdr:y>
    </cdr:from>
    <cdr:to>
      <cdr:x>0.76476</cdr:x>
      <cdr:y>0.95205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5258FD8-03D8-4CDA-8BB0-C637EB0B3502}"/>
            </a:ext>
          </a:extLst>
        </cdr:cNvPr>
        <cdr:cNvCxnSpPr/>
      </cdr:nvCxnSpPr>
      <cdr:spPr>
        <a:xfrm xmlns:a="http://schemas.openxmlformats.org/drawingml/2006/main">
          <a:off x="2933702" y="5286378"/>
          <a:ext cx="4467225" cy="9524"/>
        </a:xfrm>
        <a:prstGeom xmlns:a="http://schemas.openxmlformats.org/drawingml/2006/main" prst="straightConnector1">
          <a:avLst/>
        </a:prstGeom>
        <a:ln xmlns:a="http://schemas.openxmlformats.org/drawingml/2006/main" w="76200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0.72539</cdr:x>
      <cdr:y>0.92466</cdr:y>
    </cdr:from>
    <cdr:to>
      <cdr:x>0.81988</cdr:x>
      <cdr:y>0.97603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7019927" y="5143502"/>
          <a:ext cx="9144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0.82972</cdr:x>
      <cdr:y>0.92123</cdr:y>
    </cdr:from>
    <cdr:to>
      <cdr:x>0.92421</cdr:x>
      <cdr:y>0.97774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029577" y="5124452"/>
          <a:ext cx="9144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High Risk</a:t>
          </a:r>
        </a:p>
      </cdr:txBody>
    </cdr:sp>
  </cdr:relSizeAnchor>
  <cdr:relSizeAnchor xmlns:cdr="http://schemas.openxmlformats.org/drawingml/2006/chartDrawing">
    <cdr:from>
      <cdr:x>0.13484</cdr:x>
      <cdr:y>0.91952</cdr:y>
    </cdr:from>
    <cdr:to>
      <cdr:x>0.22933</cdr:x>
      <cdr:y>0.97774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304927" y="5114926"/>
          <a:ext cx="9144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/>
            <a:t>Low Risk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5</xdr:row>
      <xdr:rowOff>127635</xdr:rowOff>
    </xdr:from>
    <xdr:to>
      <xdr:col>16</xdr:col>
      <xdr:colOff>525780</xdr:colOff>
      <xdr:row>26</xdr:row>
      <xdr:rowOff>5715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1ADFD-8B37-40BC-A284-4D9524DEE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0.07387</cdr:x>
      <cdr:y>0.56385</cdr:y>
    </cdr:from>
    <cdr:to>
      <cdr:x>0.15681</cdr:x>
      <cdr:y>0.66005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3004" y="2186941"/>
          <a:ext cx="497386" cy="373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3.2%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11</xdr:row>
      <xdr:rowOff>3810</xdr:rowOff>
    </xdr:from>
    <xdr:to>
      <xdr:col>21</xdr:col>
      <xdr:colOff>421005</xdr:colOff>
      <xdr:row>36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FDB52-5C0D-4A25-92E1-B1A35EF03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K16"/>
  <sheetViews>
    <sheetView tabSelected="1" zoomScaleNormal="100" workbookViewId="0"/>
  </sheetViews>
  <sheetFormatPr defaultRowHeight="15"/>
  <cols>
    <col min="1" max="1" width="41.5703125" style="98" bestFit="1" customWidth="1"/>
    <col min="2" max="2" width="2.7109375" style="98" customWidth="1"/>
    <col min="3" max="3" width="8" style="98" customWidth="1"/>
    <col min="4" max="4" width="2.7109375" style="98" customWidth="1"/>
    <col min="5" max="5" width="12.28515625" style="98" customWidth="1"/>
    <col min="6" max="6" width="2.7109375" style="98" customWidth="1"/>
    <col min="7" max="7" width="12.28515625" style="98" customWidth="1"/>
    <col min="8" max="8" width="2.7109375" style="98" customWidth="1"/>
    <col min="9" max="9" width="12.28515625" style="98" customWidth="1"/>
    <col min="10" max="10" width="2.7109375" style="98" customWidth="1"/>
    <col min="11" max="11" width="12.28515625" style="98" customWidth="1"/>
    <col min="12" max="16384" width="9.140625" style="98"/>
  </cols>
  <sheetData>
    <row r="2" spans="1:11" ht="18.75">
      <c r="A2" s="173"/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9.5" customHeight="1"/>
    <row r="4" spans="1:11" ht="30">
      <c r="A4" s="180" t="s">
        <v>0</v>
      </c>
      <c r="B4" s="99"/>
      <c r="C4" s="180" t="s">
        <v>1</v>
      </c>
      <c r="D4" s="99"/>
      <c r="E4" s="135" t="s">
        <v>56</v>
      </c>
      <c r="F4" s="101"/>
      <c r="G4" s="135" t="s">
        <v>55</v>
      </c>
      <c r="H4" s="101"/>
      <c r="I4" s="135" t="s">
        <v>54</v>
      </c>
      <c r="J4" s="101"/>
      <c r="K4" s="135" t="s">
        <v>17</v>
      </c>
    </row>
    <row r="5" spans="1:11" ht="19.5" customHeight="1">
      <c r="A5" s="179" t="s">
        <v>223</v>
      </c>
      <c r="C5" s="132" t="s">
        <v>216</v>
      </c>
      <c r="E5" s="102">
        <v>15700</v>
      </c>
      <c r="F5" s="103"/>
      <c r="G5" s="104" t="str">
        <f t="shared" ref="G5:G12" si="0">IF(E5&gt;=200000,"Mega Cap",IF(E5&gt;=10000,"Large Cap",IF(E5&gt;=2000,"Mid Cap",IF(E5&gt;=300,"Small Cap",IF(E5&gt;=50,"Micro Cap",IF(E5&lt;50,"Nano Cap"))))))</f>
        <v>Large Cap</v>
      </c>
      <c r="H5" s="105"/>
      <c r="I5" s="99">
        <v>1</v>
      </c>
      <c r="K5" s="133" t="s">
        <v>208</v>
      </c>
    </row>
    <row r="6" spans="1:11" ht="19.5" customHeight="1">
      <c r="A6" s="179" t="s">
        <v>224</v>
      </c>
      <c r="C6" s="132" t="s">
        <v>217</v>
      </c>
      <c r="E6" s="102">
        <v>2300</v>
      </c>
      <c r="F6" s="103"/>
      <c r="G6" s="104" t="str">
        <f t="shared" si="0"/>
        <v>Mid Cap</v>
      </c>
      <c r="H6" s="105"/>
      <c r="I6" s="99">
        <v>2</v>
      </c>
      <c r="K6" s="133" t="s">
        <v>77</v>
      </c>
    </row>
    <row r="7" spans="1:11" ht="19.5" customHeight="1">
      <c r="A7" s="179" t="s">
        <v>225</v>
      </c>
      <c r="C7" s="132" t="s">
        <v>218</v>
      </c>
      <c r="E7" s="102">
        <v>4300</v>
      </c>
      <c r="F7" s="103"/>
      <c r="G7" s="104" t="str">
        <f t="shared" si="0"/>
        <v>Mid Cap</v>
      </c>
      <c r="H7" s="105"/>
      <c r="I7" s="99">
        <v>2</v>
      </c>
      <c r="K7" s="133" t="s">
        <v>208</v>
      </c>
    </row>
    <row r="8" spans="1:11" ht="19.5" customHeight="1">
      <c r="A8" s="179" t="s">
        <v>226</v>
      </c>
      <c r="C8" s="132" t="s">
        <v>207</v>
      </c>
      <c r="E8" s="102">
        <v>12400</v>
      </c>
      <c r="F8" s="103"/>
      <c r="G8" s="104" t="str">
        <f t="shared" si="0"/>
        <v>Large Cap</v>
      </c>
      <c r="H8" s="105"/>
      <c r="I8" s="141">
        <v>3</v>
      </c>
      <c r="K8" s="133" t="s">
        <v>210</v>
      </c>
    </row>
    <row r="9" spans="1:11" ht="19.5" customHeight="1">
      <c r="A9" s="179" t="s">
        <v>227</v>
      </c>
      <c r="C9" s="132" t="s">
        <v>219</v>
      </c>
      <c r="E9" s="102">
        <v>1600</v>
      </c>
      <c r="F9" s="103"/>
      <c r="G9" s="104" t="str">
        <f t="shared" si="0"/>
        <v>Small Cap</v>
      </c>
      <c r="H9" s="105"/>
      <c r="I9" s="99">
        <v>3</v>
      </c>
      <c r="K9" s="133" t="s">
        <v>77</v>
      </c>
    </row>
    <row r="10" spans="1:11" ht="19.5" customHeight="1">
      <c r="A10" s="179" t="s">
        <v>228</v>
      </c>
      <c r="C10" s="132" t="s">
        <v>220</v>
      </c>
      <c r="E10" s="102">
        <v>4600</v>
      </c>
      <c r="F10" s="103"/>
      <c r="G10" s="104" t="str">
        <f t="shared" si="0"/>
        <v>Mid Cap</v>
      </c>
      <c r="H10" s="105"/>
      <c r="I10" s="99">
        <v>2</v>
      </c>
      <c r="K10" s="133" t="s">
        <v>209</v>
      </c>
    </row>
    <row r="11" spans="1:11" ht="19.5" customHeight="1">
      <c r="A11" s="179" t="s">
        <v>229</v>
      </c>
      <c r="C11" s="132" t="s">
        <v>221</v>
      </c>
      <c r="E11" s="102">
        <v>6100</v>
      </c>
      <c r="F11" s="103"/>
      <c r="G11" s="104" t="str">
        <f t="shared" ref="G11" si="1">IF(E11&gt;=200000,"Mega Cap",IF(E11&gt;=10000,"Large Cap",IF(E11&gt;=2000,"Mid Cap",IF(E11&gt;=300,"Small Cap",IF(E11&gt;=50,"Micro Cap",IF(E11&lt;50,"Nano Cap"))))))</f>
        <v>Mid Cap</v>
      </c>
      <c r="H11" s="105"/>
      <c r="I11" s="99">
        <v>3</v>
      </c>
      <c r="K11" s="133" t="s">
        <v>77</v>
      </c>
    </row>
    <row r="12" spans="1:11" ht="19.5" customHeight="1">
      <c r="A12" s="179" t="s">
        <v>230</v>
      </c>
      <c r="C12" s="132" t="s">
        <v>222</v>
      </c>
      <c r="E12" s="102">
        <v>3900</v>
      </c>
      <c r="F12" s="103"/>
      <c r="G12" s="104" t="str">
        <f t="shared" si="0"/>
        <v>Mid Cap</v>
      </c>
      <c r="H12" s="105"/>
      <c r="I12" s="99">
        <v>2</v>
      </c>
      <c r="K12" s="133" t="s">
        <v>209</v>
      </c>
    </row>
    <row r="13" spans="1:11">
      <c r="A13" s="107"/>
      <c r="B13" s="107"/>
      <c r="C13" s="108"/>
      <c r="D13" s="107"/>
      <c r="E13" s="109"/>
      <c r="F13" s="110"/>
      <c r="G13" s="111"/>
      <c r="H13" s="112"/>
      <c r="I13" s="100"/>
      <c r="J13" s="107"/>
      <c r="K13" s="113"/>
    </row>
    <row r="14" spans="1:11">
      <c r="C14" s="114"/>
      <c r="E14" s="115"/>
      <c r="F14" s="103"/>
      <c r="G14" s="105"/>
      <c r="H14" s="105"/>
      <c r="I14" s="99"/>
      <c r="K14" s="106"/>
    </row>
    <row r="15" spans="1:11" s="116" customFormat="1" ht="14.45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s="116" customFormat="1" ht="14.45" customHeight="1">
      <c r="A16" s="291" t="s">
        <v>173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1"/>
    </row>
  </sheetData>
  <sortState ref="A5:K12">
    <sortCondition ref="A5:A12"/>
  </sortState>
  <mergeCells count="1">
    <mergeCell ref="A16:K16"/>
  </mergeCells>
  <phoneticPr fontId="22" type="noConversion"/>
  <printOptions horizontalCentered="1"/>
  <pageMargins left="0.7" right="0.7" top="0.75" bottom="0.75" header="0.3" footer="0.3"/>
  <pageSetup orientation="landscape" r:id="rId1"/>
  <headerFooter scaleWithDoc="0">
    <oddHeader>&amp;C&amp;"-,Bold"&amp;14Proxy Group Summary&amp;R&amp;10Docket No. 20220067-GU
FPUC Petition
Exhibit DJG-2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6"/>
  <sheetViews>
    <sheetView zoomScaleNormal="100" workbookViewId="0"/>
  </sheetViews>
  <sheetFormatPr defaultRowHeight="15"/>
  <cols>
    <col min="1" max="1" width="10.7109375" customWidth="1"/>
    <col min="2" max="2" width="2.7109375" customWidth="1"/>
    <col min="3" max="3" width="10.7109375" customWidth="1"/>
    <col min="4" max="4" width="2.7109375" customWidth="1"/>
    <col min="5" max="5" width="10.7109375" customWidth="1"/>
    <col min="6" max="7" width="2.7109375" customWidth="1"/>
    <col min="8" max="8" width="10.7109375" customWidth="1"/>
  </cols>
  <sheetData>
    <row r="1" spans="1:8" s="287" customFormat="1"/>
    <row r="2" spans="1:8">
      <c r="A2" s="183"/>
      <c r="B2" s="15"/>
      <c r="C2" s="15"/>
      <c r="D2" s="15"/>
      <c r="E2" s="15"/>
      <c r="F2" s="15"/>
      <c r="G2" s="15"/>
      <c r="H2" s="15"/>
    </row>
    <row r="3" spans="1:8" ht="19.5" customHeight="1"/>
    <row r="4" spans="1:8" ht="19.5" customHeight="1">
      <c r="A4" s="1" t="s">
        <v>3</v>
      </c>
      <c r="B4" s="1"/>
      <c r="C4" s="1" t="s">
        <v>4</v>
      </c>
      <c r="D4" s="1"/>
      <c r="E4" s="1" t="s">
        <v>5</v>
      </c>
      <c r="F4" s="1"/>
      <c r="G4" s="1"/>
      <c r="H4" s="1" t="s">
        <v>6</v>
      </c>
    </row>
    <row r="5" spans="1:8" ht="19.5" customHeight="1">
      <c r="A5" s="1"/>
      <c r="B5" s="1"/>
      <c r="C5" s="1"/>
      <c r="D5" s="1"/>
      <c r="E5" s="1"/>
      <c r="F5" s="1"/>
      <c r="G5" s="1"/>
      <c r="H5" s="1"/>
    </row>
    <row r="6" spans="1:8" ht="19.5" customHeight="1">
      <c r="A6" s="1" t="s">
        <v>70</v>
      </c>
      <c r="B6" s="1"/>
      <c r="C6" s="1" t="s">
        <v>179</v>
      </c>
      <c r="D6" s="1"/>
      <c r="E6" s="1" t="s">
        <v>71</v>
      </c>
      <c r="F6" s="36"/>
      <c r="G6" s="1"/>
      <c r="H6" s="202" t="s">
        <v>72</v>
      </c>
    </row>
    <row r="7" spans="1:8" ht="19.5" customHeight="1">
      <c r="A7" s="4" t="s">
        <v>73</v>
      </c>
      <c r="B7" s="5"/>
      <c r="C7" s="4" t="s">
        <v>52</v>
      </c>
      <c r="D7" s="5"/>
      <c r="E7" s="4" t="s">
        <v>74</v>
      </c>
      <c r="F7" s="24"/>
      <c r="G7" s="5"/>
      <c r="H7" s="67" t="s">
        <v>76</v>
      </c>
    </row>
    <row r="8" spans="1:8" ht="19.5" customHeight="1">
      <c r="A8" s="5"/>
      <c r="B8" s="5"/>
      <c r="C8" s="5"/>
      <c r="D8" s="5"/>
      <c r="E8" s="5"/>
      <c r="F8" s="24"/>
      <c r="G8" s="5"/>
    </row>
    <row r="9" spans="1:8" ht="19.5" customHeight="1">
      <c r="A9" s="21">
        <f>'7 Risk Free Rate'!$E$36</f>
        <v>3.2163333333333335E-2</v>
      </c>
      <c r="B9" s="7"/>
      <c r="C9" s="22">
        <f>'8 Beta'!$E$15</f>
        <v>0.83125000000000004</v>
      </c>
      <c r="D9" s="22"/>
      <c r="E9" s="16">
        <f>'10 ERP Result'!C13</f>
        <v>5.5969646649008283E-2</v>
      </c>
      <c r="F9" s="27"/>
      <c r="G9" s="9"/>
      <c r="H9" s="72">
        <f t="shared" ref="H9" si="0">A9+C9*E9</f>
        <v>7.868810211032147E-2</v>
      </c>
    </row>
    <row r="10" spans="1:8">
      <c r="A10" s="48"/>
      <c r="B10" s="48"/>
      <c r="C10" s="52"/>
      <c r="D10" s="52"/>
      <c r="E10" s="50"/>
      <c r="F10" s="50"/>
      <c r="G10" s="50"/>
      <c r="H10" s="53"/>
    </row>
    <row r="11" spans="1:8">
      <c r="A11" s="7"/>
      <c r="B11" s="7"/>
      <c r="C11" s="8"/>
      <c r="D11" s="8"/>
      <c r="E11" s="9"/>
      <c r="F11" s="9"/>
      <c r="G11" s="9"/>
      <c r="H11" s="25"/>
    </row>
    <row r="12" spans="1:8" s="47" customFormat="1" ht="14.45" customHeight="1">
      <c r="A12"/>
      <c r="B12"/>
      <c r="C12"/>
      <c r="D12"/>
      <c r="E12"/>
      <c r="F12"/>
      <c r="G12"/>
      <c r="H12"/>
    </row>
    <row r="13" spans="1:8" s="47" customFormat="1" ht="14.45" customHeight="1">
      <c r="A13" s="291" t="s">
        <v>175</v>
      </c>
      <c r="B13" s="291"/>
      <c r="C13" s="291"/>
      <c r="D13" s="291"/>
      <c r="E13" s="291"/>
      <c r="F13" s="291"/>
      <c r="G13" s="291"/>
      <c r="H13" s="291"/>
    </row>
    <row r="14" spans="1:8" s="47" customFormat="1" ht="14.45" customHeight="1">
      <c r="A14" s="294" t="s">
        <v>180</v>
      </c>
      <c r="B14" s="294"/>
      <c r="C14" s="294"/>
      <c r="D14" s="294"/>
      <c r="E14" s="294"/>
      <c r="F14" s="294"/>
      <c r="G14" s="294"/>
      <c r="H14" s="294"/>
    </row>
    <row r="15" spans="1:8" s="47" customFormat="1" ht="14.45" customHeight="1">
      <c r="A15" s="294" t="s">
        <v>176</v>
      </c>
      <c r="B15" s="294"/>
      <c r="C15" s="294"/>
      <c r="D15" s="294"/>
      <c r="E15" s="294"/>
      <c r="F15" s="294"/>
      <c r="G15" s="294"/>
      <c r="H15" s="294"/>
    </row>
    <row r="16" spans="1:8">
      <c r="A16" s="294" t="s">
        <v>182</v>
      </c>
      <c r="B16" s="294"/>
      <c r="C16" s="294"/>
      <c r="D16" s="294"/>
      <c r="E16" s="294"/>
      <c r="F16" s="294"/>
      <c r="G16" s="294"/>
      <c r="H16" s="294"/>
    </row>
  </sheetData>
  <mergeCells count="4">
    <mergeCell ref="A13:H13"/>
    <mergeCell ref="A14:H14"/>
    <mergeCell ref="A15:H15"/>
    <mergeCell ref="A16:H16"/>
  </mergeCells>
  <printOptions horizontalCentered="1"/>
  <pageMargins left="0.7" right="0.7" top="0.75" bottom="0.75" header="0.3" footer="0.3"/>
  <pageSetup orientation="portrait" r:id="rId1"/>
  <headerFooter scaleWithDoc="0">
    <oddHeader>&amp;C&amp;"-,Bold"&amp;14CAPM Final Result&amp;R&amp;10Docket No. 20220067-GU
FPUC Petition
Exhibit DJG-11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18"/>
  <sheetViews>
    <sheetView zoomScale="110" zoomScaleNormal="110" workbookViewId="0"/>
  </sheetViews>
  <sheetFormatPr defaultRowHeight="15"/>
  <cols>
    <col min="1" max="1" width="37.28515625" bestFit="1" customWidth="1"/>
    <col min="2" max="2" width="4.7109375" customWidth="1"/>
    <col min="3" max="3" width="28.7109375" customWidth="1"/>
  </cols>
  <sheetData>
    <row r="1" spans="1:3" s="287" customFormat="1"/>
    <row r="2" spans="1:3">
      <c r="A2" s="183"/>
      <c r="B2" s="15"/>
      <c r="C2" s="15"/>
    </row>
    <row r="4" spans="1:3" ht="18.75">
      <c r="A4" s="42" t="s">
        <v>261</v>
      </c>
      <c r="B4" s="44"/>
      <c r="C4" s="56" t="s">
        <v>76</v>
      </c>
    </row>
    <row r="5" spans="1:3" ht="18.75">
      <c r="A5" s="57"/>
      <c r="B5" s="57"/>
      <c r="C5" s="57"/>
    </row>
    <row r="6" spans="1:3" ht="18.75">
      <c r="A6" s="57" t="s">
        <v>262</v>
      </c>
      <c r="B6" s="57"/>
      <c r="C6" s="70">
        <f>'6 DCF Result'!M18</f>
        <v>6.7406518754267591E-2</v>
      </c>
    </row>
    <row r="7" spans="1:3" s="243" customFormat="1" ht="18.75">
      <c r="A7" s="57"/>
      <c r="B7" s="57"/>
      <c r="C7" s="70"/>
    </row>
    <row r="8" spans="1:3" s="243" customFormat="1" ht="18.75">
      <c r="A8" s="57" t="s">
        <v>263</v>
      </c>
      <c r="B8" s="57"/>
      <c r="C8" s="70">
        <f>'6 DCF Result'!K18</f>
        <v>8.2531518754267591E-2</v>
      </c>
    </row>
    <row r="9" spans="1:3" ht="18.75">
      <c r="A9" s="57"/>
      <c r="B9" s="57"/>
      <c r="C9" s="70"/>
    </row>
    <row r="10" spans="1:3" ht="18.75">
      <c r="A10" s="266" t="s">
        <v>13</v>
      </c>
      <c r="B10" s="57"/>
      <c r="C10" s="267">
        <f>'11 CAPM Result'!$H$9</f>
        <v>7.868810211032147E-2</v>
      </c>
    </row>
    <row r="11" spans="1:3" s="243" customFormat="1" ht="18.75">
      <c r="A11" s="266"/>
      <c r="B11" s="57"/>
      <c r="C11" s="267"/>
    </row>
    <row r="12" spans="1:3" s="243" customFormat="1" ht="18.75">
      <c r="A12" s="266" t="s">
        <v>269</v>
      </c>
      <c r="B12" s="57"/>
      <c r="C12" s="277">
        <f>'16 Hamada Model'!G26</f>
        <v>8.4649119416050689E-2</v>
      </c>
    </row>
    <row r="13" spans="1:3" s="243" customFormat="1" ht="18.75">
      <c r="A13" s="58"/>
      <c r="B13" s="57"/>
      <c r="C13" s="71"/>
    </row>
    <row r="14" spans="1:3" s="243" customFormat="1" ht="18.75">
      <c r="A14" s="266"/>
      <c r="B14" s="57"/>
      <c r="C14" s="267"/>
    </row>
    <row r="15" spans="1:3" ht="18.75">
      <c r="A15" s="44" t="s">
        <v>60</v>
      </c>
      <c r="B15" s="55"/>
      <c r="C15" s="269">
        <f>AVERAGE(C5:C13)</f>
        <v>7.8318814758726832E-2</v>
      </c>
    </row>
    <row r="16" spans="1:3" s="243" customFormat="1" ht="18.75">
      <c r="A16" s="44"/>
      <c r="B16" s="55"/>
      <c r="C16" s="69"/>
    </row>
    <row r="17" spans="1:3" s="243" customFormat="1" ht="18.75">
      <c r="A17" s="44" t="s">
        <v>84</v>
      </c>
      <c r="B17" s="55"/>
      <c r="C17" s="69">
        <f>MAX(C5:C13)</f>
        <v>8.4649119416050689E-2</v>
      </c>
    </row>
    <row r="18" spans="1:3">
      <c r="A18" s="15"/>
      <c r="B18" s="15"/>
      <c r="C18" s="15"/>
    </row>
  </sheetData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&amp;C&amp;"-,Bold"&amp;14Cost of Equity Summary&amp;R&amp;10Docket No. 20220067-GU
FPUC Petition
Exhibit DJG-12
Page &amp;P of 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H52"/>
  <sheetViews>
    <sheetView workbookViewId="0">
      <pane ySplit="8" topLeftCell="A9" activePane="bottomLeft" state="frozen"/>
      <selection pane="bottomLeft"/>
    </sheetView>
  </sheetViews>
  <sheetFormatPr defaultRowHeight="15"/>
  <cols>
    <col min="1" max="1" width="9.140625" style="243"/>
    <col min="2" max="2" width="2.7109375" style="243" customWidth="1"/>
    <col min="3" max="3" width="9.140625" style="243"/>
    <col min="4" max="4" width="1.7109375" style="243" customWidth="1"/>
    <col min="5" max="5" width="4.7109375" style="243" customWidth="1"/>
    <col min="6" max="6" width="2.7109375" style="243" customWidth="1"/>
    <col min="7" max="7" width="9.140625" style="243"/>
    <col min="8" max="8" width="1.7109375" style="243" customWidth="1"/>
    <col min="9" max="9" width="4.7109375" style="243" customWidth="1"/>
    <col min="10" max="10" width="2.7109375" style="243" customWidth="1"/>
    <col min="11" max="11" width="9.140625" style="243"/>
    <col min="12" max="12" width="1.7109375" style="243" customWidth="1"/>
    <col min="13" max="13" width="4.7109375" style="243" customWidth="1"/>
    <col min="14" max="14" width="2.7109375" style="243" customWidth="1"/>
    <col min="15" max="15" width="9.140625" style="243"/>
    <col min="16" max="16" width="2.7109375" style="243" customWidth="1"/>
    <col min="17" max="17" width="9.140625" style="243"/>
    <col min="18" max="18" width="2.7109375" style="243" customWidth="1"/>
    <col min="19" max="19" width="9.140625" style="243"/>
    <col min="20" max="20" width="2.7109375" style="243" customWidth="1"/>
    <col min="21" max="16384" width="9.140625" style="243"/>
  </cols>
  <sheetData>
    <row r="1" spans="1:21" s="287" customFormat="1"/>
    <row r="2" spans="1:21">
      <c r="A2" s="18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4" spans="1:21">
      <c r="C4" s="301" t="s">
        <v>3</v>
      </c>
      <c r="D4" s="301"/>
      <c r="E4" s="301"/>
      <c r="G4" s="301" t="s">
        <v>4</v>
      </c>
      <c r="H4" s="301"/>
      <c r="I4" s="301"/>
      <c r="K4" s="301" t="s">
        <v>5</v>
      </c>
      <c r="L4" s="301"/>
      <c r="M4" s="301"/>
      <c r="O4" s="246" t="s">
        <v>6</v>
      </c>
      <c r="P4" s="246"/>
      <c r="Q4" s="246" t="s">
        <v>7</v>
      </c>
      <c r="R4" s="246"/>
      <c r="S4" s="246" t="s">
        <v>14</v>
      </c>
      <c r="T4" s="246"/>
      <c r="U4" s="246" t="s">
        <v>15</v>
      </c>
    </row>
    <row r="6" spans="1:21">
      <c r="C6" s="302" t="s">
        <v>99</v>
      </c>
      <c r="D6" s="302"/>
      <c r="E6" s="302"/>
      <c r="G6" s="302" t="s">
        <v>100</v>
      </c>
      <c r="H6" s="302"/>
      <c r="I6" s="302"/>
      <c r="K6" s="302" t="s">
        <v>101</v>
      </c>
      <c r="L6" s="302"/>
      <c r="M6" s="302"/>
      <c r="O6" s="246" t="s">
        <v>102</v>
      </c>
      <c r="Q6" s="246" t="s">
        <v>103</v>
      </c>
      <c r="S6" s="246" t="s">
        <v>71</v>
      </c>
      <c r="U6" s="246" t="s">
        <v>104</v>
      </c>
    </row>
    <row r="7" spans="1:21">
      <c r="A7" s="247" t="s">
        <v>25</v>
      </c>
      <c r="B7" s="246"/>
      <c r="C7" s="247" t="s">
        <v>53</v>
      </c>
      <c r="D7" s="246"/>
      <c r="E7" s="247" t="s">
        <v>105</v>
      </c>
      <c r="F7" s="246"/>
      <c r="G7" s="247" t="s">
        <v>53</v>
      </c>
      <c r="H7" s="246"/>
      <c r="I7" s="247" t="s">
        <v>105</v>
      </c>
      <c r="K7" s="247" t="s">
        <v>53</v>
      </c>
      <c r="L7" s="246"/>
      <c r="M7" s="247" t="s">
        <v>105</v>
      </c>
      <c r="O7" s="247" t="s">
        <v>106</v>
      </c>
      <c r="Q7" s="247" t="s">
        <v>18</v>
      </c>
      <c r="S7" s="247" t="s">
        <v>74</v>
      </c>
      <c r="U7" s="247" t="s">
        <v>107</v>
      </c>
    </row>
    <row r="9" spans="1:21">
      <c r="A9" s="243">
        <v>1990</v>
      </c>
      <c r="C9" s="26">
        <v>0.127</v>
      </c>
      <c r="E9" s="243">
        <v>38</v>
      </c>
      <c r="G9" s="26">
        <v>0.1268</v>
      </c>
      <c r="I9" s="243">
        <v>33</v>
      </c>
      <c r="K9" s="26">
        <f>C9*E9/M9+G9*I9/M9</f>
        <v>0.12690704225352112</v>
      </c>
      <c r="M9" s="243">
        <f>E9+I9</f>
        <v>71</v>
      </c>
      <c r="O9" s="12">
        <v>-3.0599999999999999E-2</v>
      </c>
      <c r="Q9" s="26">
        <v>8.0699999999999994E-2</v>
      </c>
      <c r="S9" s="26">
        <v>3.8899999999999997E-2</v>
      </c>
      <c r="U9" s="12">
        <f>S9+Q9</f>
        <v>0.11959999999999998</v>
      </c>
    </row>
    <row r="10" spans="1:21">
      <c r="A10" s="243">
        <v>1991</v>
      </c>
      <c r="C10" s="26">
        <v>0.12539999999999998</v>
      </c>
      <c r="E10" s="243">
        <v>42</v>
      </c>
      <c r="G10" s="26">
        <v>0.1245</v>
      </c>
      <c r="I10" s="243">
        <v>31</v>
      </c>
      <c r="K10" s="26">
        <f t="shared" ref="K10:K40" si="0">C10*E10/M10+G10*I10/M10</f>
        <v>0.12501780821917807</v>
      </c>
      <c r="M10" s="243">
        <f t="shared" ref="M10:M40" si="1">E10+I10</f>
        <v>73</v>
      </c>
      <c r="O10" s="12">
        <v>0.30230000000000001</v>
      </c>
      <c r="Q10" s="26">
        <v>6.7000000000000004E-2</v>
      </c>
      <c r="S10" s="26">
        <v>3.4799999999999998E-2</v>
      </c>
      <c r="U10" s="12">
        <f t="shared" ref="U10:U40" si="2">S10+Q10</f>
        <v>0.1018</v>
      </c>
    </row>
    <row r="11" spans="1:21">
      <c r="A11" s="243">
        <v>1992</v>
      </c>
      <c r="C11" s="26">
        <v>0.12089999999999999</v>
      </c>
      <c r="E11" s="243">
        <v>45</v>
      </c>
      <c r="G11" s="26">
        <v>0.1202</v>
      </c>
      <c r="I11" s="243">
        <v>28</v>
      </c>
      <c r="K11" s="26">
        <f t="shared" si="0"/>
        <v>0.12063150684931508</v>
      </c>
      <c r="M11" s="243">
        <f t="shared" si="1"/>
        <v>73</v>
      </c>
      <c r="O11" s="12">
        <v>7.4899999999999994E-2</v>
      </c>
      <c r="Q11" s="26">
        <v>6.6799999999999998E-2</v>
      </c>
      <c r="S11" s="26">
        <v>3.5499999999999997E-2</v>
      </c>
      <c r="U11" s="12">
        <f t="shared" si="2"/>
        <v>0.1023</v>
      </c>
    </row>
    <row r="12" spans="1:21">
      <c r="A12" s="243">
        <v>1993</v>
      </c>
      <c r="C12" s="26">
        <v>0.11460000000000001</v>
      </c>
      <c r="E12" s="243">
        <v>28</v>
      </c>
      <c r="G12" s="26">
        <v>0.1137</v>
      </c>
      <c r="I12" s="243">
        <v>40</v>
      </c>
      <c r="K12" s="26">
        <f t="shared" si="0"/>
        <v>0.11407058823529412</v>
      </c>
      <c r="M12" s="243">
        <f t="shared" si="1"/>
        <v>68</v>
      </c>
      <c r="O12" s="12">
        <v>9.9699999999999997E-2</v>
      </c>
      <c r="Q12" s="26">
        <v>5.79E-2</v>
      </c>
      <c r="S12" s="26">
        <v>3.1699999999999999E-2</v>
      </c>
      <c r="U12" s="12">
        <f t="shared" si="2"/>
        <v>8.9599999999999999E-2</v>
      </c>
    </row>
    <row r="13" spans="1:21">
      <c r="A13" s="243">
        <v>1994</v>
      </c>
      <c r="C13" s="26">
        <v>0.11210000000000001</v>
      </c>
      <c r="E13" s="243">
        <v>28</v>
      </c>
      <c r="G13" s="26">
        <v>0.1124</v>
      </c>
      <c r="I13" s="243">
        <v>24</v>
      </c>
      <c r="K13" s="26">
        <f t="shared" si="0"/>
        <v>0.11223846153846154</v>
      </c>
      <c r="M13" s="243">
        <f t="shared" si="1"/>
        <v>52</v>
      </c>
      <c r="O13" s="12">
        <v>1.3299999999999999E-2</v>
      </c>
      <c r="Q13" s="26">
        <v>7.8200000000000006E-2</v>
      </c>
      <c r="S13" s="26">
        <v>3.5499999999999997E-2</v>
      </c>
      <c r="U13" s="12">
        <f t="shared" si="2"/>
        <v>0.1137</v>
      </c>
    </row>
    <row r="14" spans="1:21">
      <c r="A14" s="243">
        <v>1995</v>
      </c>
      <c r="C14" s="26">
        <v>0.1158</v>
      </c>
      <c r="E14" s="243">
        <v>28</v>
      </c>
      <c r="G14" s="26">
        <v>0.1144</v>
      </c>
      <c r="I14" s="243">
        <v>13</v>
      </c>
      <c r="K14" s="26">
        <f t="shared" si="0"/>
        <v>0.11535609756097562</v>
      </c>
      <c r="M14" s="243">
        <f t="shared" si="1"/>
        <v>41</v>
      </c>
      <c r="O14" s="12">
        <v>0.372</v>
      </c>
      <c r="Q14" s="26">
        <v>5.57E-2</v>
      </c>
      <c r="S14" s="26">
        <v>3.2899999999999999E-2</v>
      </c>
      <c r="U14" s="12">
        <f t="shared" si="2"/>
        <v>8.8599999999999998E-2</v>
      </c>
    </row>
    <row r="15" spans="1:21">
      <c r="A15" s="243">
        <v>1996</v>
      </c>
      <c r="C15" s="26">
        <v>0.114</v>
      </c>
      <c r="E15" s="243">
        <v>18</v>
      </c>
      <c r="G15" s="26">
        <v>0.11119999999999999</v>
      </c>
      <c r="I15" s="243">
        <v>17</v>
      </c>
      <c r="K15" s="26">
        <f t="shared" si="0"/>
        <v>0.11263999999999999</v>
      </c>
      <c r="M15" s="243">
        <f t="shared" si="1"/>
        <v>35</v>
      </c>
      <c r="O15" s="12">
        <v>0.2268</v>
      </c>
      <c r="Q15" s="26">
        <v>6.4100000000000004E-2</v>
      </c>
      <c r="S15" s="26">
        <v>3.2000000000000001E-2</v>
      </c>
      <c r="U15" s="12">
        <f t="shared" si="2"/>
        <v>9.6100000000000005E-2</v>
      </c>
    </row>
    <row r="16" spans="1:21">
      <c r="A16" s="243">
        <v>1997</v>
      </c>
      <c r="C16" s="26">
        <v>0.1133</v>
      </c>
      <c r="E16" s="243">
        <v>10</v>
      </c>
      <c r="G16" s="26">
        <v>0.113</v>
      </c>
      <c r="I16" s="243">
        <v>12</v>
      </c>
      <c r="K16" s="26">
        <f t="shared" si="0"/>
        <v>0.11313636363636365</v>
      </c>
      <c r="M16" s="243">
        <f t="shared" si="1"/>
        <v>22</v>
      </c>
      <c r="O16" s="12">
        <v>0.33100000000000002</v>
      </c>
      <c r="Q16" s="26">
        <v>5.74E-2</v>
      </c>
      <c r="S16" s="26">
        <v>2.7300000000000001E-2</v>
      </c>
      <c r="U16" s="12">
        <f t="shared" si="2"/>
        <v>8.4699999999999998E-2</v>
      </c>
    </row>
    <row r="17" spans="1:34">
      <c r="A17" s="243">
        <v>1998</v>
      </c>
      <c r="C17" s="26">
        <v>0.1177</v>
      </c>
      <c r="E17" s="243">
        <v>10</v>
      </c>
      <c r="G17" s="26">
        <v>0.11509999999999999</v>
      </c>
      <c r="I17" s="243">
        <v>10</v>
      </c>
      <c r="K17" s="26">
        <f t="shared" si="0"/>
        <v>0.1164</v>
      </c>
      <c r="M17" s="243">
        <f t="shared" si="1"/>
        <v>20</v>
      </c>
      <c r="O17" s="12">
        <v>0.28339999999999999</v>
      </c>
      <c r="Q17" s="26">
        <v>4.65E-2</v>
      </c>
      <c r="S17" s="26">
        <v>2.2599999999999999E-2</v>
      </c>
      <c r="U17" s="12">
        <f t="shared" si="2"/>
        <v>6.9099999999999995E-2</v>
      </c>
    </row>
    <row r="18" spans="1:34">
      <c r="A18" s="243">
        <v>1999</v>
      </c>
      <c r="C18" s="26">
        <v>0.1072</v>
      </c>
      <c r="E18" s="243">
        <v>6</v>
      </c>
      <c r="G18" s="26">
        <v>0.1074</v>
      </c>
      <c r="I18" s="243">
        <v>6</v>
      </c>
      <c r="K18" s="26">
        <f t="shared" si="0"/>
        <v>0.10730000000000001</v>
      </c>
      <c r="M18" s="243">
        <f t="shared" si="1"/>
        <v>12</v>
      </c>
      <c r="O18" s="12">
        <v>0.2089</v>
      </c>
      <c r="Q18" s="26">
        <v>6.4399999999999999E-2</v>
      </c>
      <c r="S18" s="26">
        <v>2.0500000000000001E-2</v>
      </c>
      <c r="U18" s="12">
        <f t="shared" si="2"/>
        <v>8.4900000000000003E-2</v>
      </c>
    </row>
    <row r="19" spans="1:34">
      <c r="A19" s="243">
        <v>2000</v>
      </c>
      <c r="C19" s="26">
        <v>0.1158</v>
      </c>
      <c r="E19" s="243">
        <v>9</v>
      </c>
      <c r="G19" s="26">
        <v>0.1134</v>
      </c>
      <c r="I19" s="243">
        <v>13</v>
      </c>
      <c r="K19" s="26">
        <f t="shared" si="0"/>
        <v>0.11438181818181818</v>
      </c>
      <c r="M19" s="243">
        <f t="shared" si="1"/>
        <v>22</v>
      </c>
      <c r="O19" s="12">
        <v>-9.0300000000000005E-2</v>
      </c>
      <c r="Q19" s="26">
        <v>5.11E-2</v>
      </c>
      <c r="S19" s="26">
        <v>2.87E-2</v>
      </c>
      <c r="U19" s="12">
        <f t="shared" si="2"/>
        <v>7.9799999999999996E-2</v>
      </c>
    </row>
    <row r="20" spans="1:34">
      <c r="A20" s="243">
        <v>2001</v>
      </c>
      <c r="C20" s="26">
        <v>0.11070000000000001</v>
      </c>
      <c r="E20" s="243">
        <v>15</v>
      </c>
      <c r="G20" s="26">
        <v>0.1096</v>
      </c>
      <c r="I20" s="243">
        <v>5</v>
      </c>
      <c r="K20" s="26">
        <f t="shared" si="0"/>
        <v>0.110425</v>
      </c>
      <c r="M20" s="243">
        <f t="shared" si="1"/>
        <v>20</v>
      </c>
      <c r="O20" s="12">
        <v>-0.11849999999999999</v>
      </c>
      <c r="Q20" s="26">
        <v>5.0500000000000003E-2</v>
      </c>
      <c r="S20" s="26">
        <v>3.6200000000000003E-2</v>
      </c>
      <c r="U20" s="12">
        <f t="shared" si="2"/>
        <v>8.6699999999999999E-2</v>
      </c>
    </row>
    <row r="21" spans="1:34">
      <c r="A21" s="243">
        <v>2002</v>
      </c>
      <c r="C21" s="26">
        <v>0.11210000000000001</v>
      </c>
      <c r="E21" s="243">
        <v>14</v>
      </c>
      <c r="G21" s="26">
        <v>0.11169999999999999</v>
      </c>
      <c r="I21" s="243">
        <v>19</v>
      </c>
      <c r="K21" s="26">
        <f t="shared" si="0"/>
        <v>0.11186969696969698</v>
      </c>
      <c r="M21" s="243">
        <f t="shared" si="1"/>
        <v>33</v>
      </c>
      <c r="O21" s="12">
        <v>-0.21970000000000001</v>
      </c>
      <c r="Q21" s="26">
        <v>3.8100000000000002E-2</v>
      </c>
      <c r="S21" s="26">
        <v>4.1000000000000002E-2</v>
      </c>
      <c r="U21" s="12">
        <f t="shared" si="2"/>
        <v>7.9100000000000004E-2</v>
      </c>
    </row>
    <row r="22" spans="1:34">
      <c r="A22" s="243">
        <v>2003</v>
      </c>
      <c r="C22" s="26">
        <v>0.1096</v>
      </c>
      <c r="E22" s="243">
        <v>20</v>
      </c>
      <c r="G22" s="26">
        <v>0.1099</v>
      </c>
      <c r="I22" s="243">
        <v>25</v>
      </c>
      <c r="K22" s="26">
        <f t="shared" si="0"/>
        <v>0.10976666666666668</v>
      </c>
      <c r="M22" s="243">
        <f t="shared" si="1"/>
        <v>45</v>
      </c>
      <c r="O22" s="12">
        <v>0.28360000000000002</v>
      </c>
      <c r="Q22" s="26">
        <v>4.2500000000000003E-2</v>
      </c>
      <c r="S22" s="26">
        <v>3.6900000000000002E-2</v>
      </c>
      <c r="U22" s="12">
        <f t="shared" si="2"/>
        <v>7.9399999999999998E-2</v>
      </c>
    </row>
    <row r="23" spans="1:34">
      <c r="A23" s="243">
        <v>2004</v>
      </c>
      <c r="C23" s="26">
        <v>0.1081</v>
      </c>
      <c r="E23" s="243">
        <v>21</v>
      </c>
      <c r="G23" s="26">
        <v>0.10630000000000001</v>
      </c>
      <c r="I23" s="243">
        <v>22</v>
      </c>
      <c r="K23" s="26">
        <f t="shared" si="0"/>
        <v>0.10717906976744188</v>
      </c>
      <c r="M23" s="243">
        <f t="shared" si="1"/>
        <v>43</v>
      </c>
      <c r="O23" s="12">
        <v>0.1074</v>
      </c>
      <c r="Q23" s="26">
        <v>4.2200000000000001E-2</v>
      </c>
      <c r="S23" s="26">
        <v>3.6499999999999998E-2</v>
      </c>
      <c r="U23" s="12">
        <f t="shared" si="2"/>
        <v>7.8699999999999992E-2</v>
      </c>
    </row>
    <row r="24" spans="1:34">
      <c r="A24" s="243">
        <v>2005</v>
      </c>
      <c r="C24" s="26">
        <v>0.1051</v>
      </c>
      <c r="E24" s="243">
        <v>24</v>
      </c>
      <c r="G24" s="26">
        <v>0.1041</v>
      </c>
      <c r="I24" s="243">
        <v>26</v>
      </c>
      <c r="K24" s="26">
        <f t="shared" si="0"/>
        <v>0.10458000000000001</v>
      </c>
      <c r="M24" s="243">
        <f t="shared" si="1"/>
        <v>50</v>
      </c>
      <c r="O24" s="12">
        <v>4.8300000000000003E-2</v>
      </c>
      <c r="Q24" s="26">
        <v>4.3900000000000002E-2</v>
      </c>
      <c r="S24" s="26">
        <v>4.0800000000000003E-2</v>
      </c>
      <c r="U24" s="12">
        <f t="shared" si="2"/>
        <v>8.4699999999999998E-2</v>
      </c>
    </row>
    <row r="25" spans="1:34">
      <c r="A25" s="243">
        <v>2006</v>
      </c>
      <c r="C25" s="26">
        <v>0.1032</v>
      </c>
      <c r="E25" s="243">
        <v>26</v>
      </c>
      <c r="G25" s="26">
        <v>0.10400000000000001</v>
      </c>
      <c r="I25" s="243">
        <v>15</v>
      </c>
      <c r="K25" s="26">
        <f t="shared" si="0"/>
        <v>0.10349268292682925</v>
      </c>
      <c r="M25" s="243">
        <f t="shared" si="1"/>
        <v>41</v>
      </c>
      <c r="O25" s="12">
        <v>0.15609999999999999</v>
      </c>
      <c r="Q25" s="26">
        <v>4.7E-2</v>
      </c>
      <c r="S25" s="26">
        <v>4.1599999999999998E-2</v>
      </c>
      <c r="U25" s="12">
        <f t="shared" si="2"/>
        <v>8.8599999999999998E-2</v>
      </c>
    </row>
    <row r="26" spans="1:34">
      <c r="A26" s="243">
        <v>2007</v>
      </c>
      <c r="C26" s="26">
        <v>0.10300000000000001</v>
      </c>
      <c r="E26" s="243">
        <v>38</v>
      </c>
      <c r="G26" s="26">
        <v>0.10220000000000001</v>
      </c>
      <c r="I26" s="243">
        <v>35</v>
      </c>
      <c r="K26" s="26">
        <f t="shared" si="0"/>
        <v>0.10261643835616439</v>
      </c>
      <c r="M26" s="243">
        <f t="shared" si="1"/>
        <v>73</v>
      </c>
      <c r="O26" s="12">
        <v>5.4800000000000001E-2</v>
      </c>
      <c r="Q26" s="26">
        <v>4.02E-2</v>
      </c>
      <c r="S26" s="26">
        <v>4.3700000000000003E-2</v>
      </c>
      <c r="U26" s="12">
        <f t="shared" si="2"/>
        <v>8.3900000000000002E-2</v>
      </c>
    </row>
    <row r="27" spans="1:34">
      <c r="A27" s="243">
        <v>2008</v>
      </c>
      <c r="C27" s="26">
        <v>0.1041</v>
      </c>
      <c r="E27" s="243">
        <v>37</v>
      </c>
      <c r="G27" s="26">
        <v>0.10390000000000001</v>
      </c>
      <c r="I27" s="243">
        <v>32</v>
      </c>
      <c r="K27" s="26">
        <f t="shared" si="0"/>
        <v>0.10400724637681161</v>
      </c>
      <c r="M27" s="243">
        <f t="shared" si="1"/>
        <v>69</v>
      </c>
      <c r="O27" s="12">
        <v>-0.36549999999999999</v>
      </c>
      <c r="Q27" s="26">
        <v>2.2100000000000002E-2</v>
      </c>
      <c r="S27" s="26">
        <v>6.4299999999999996E-2</v>
      </c>
      <c r="U27" s="12">
        <f t="shared" si="2"/>
        <v>8.6400000000000005E-2</v>
      </c>
    </row>
    <row r="28" spans="1:34">
      <c r="A28" s="243">
        <v>2009</v>
      </c>
      <c r="C28" s="26">
        <v>0.1052</v>
      </c>
      <c r="E28" s="243">
        <v>40</v>
      </c>
      <c r="G28" s="26">
        <v>0.10220000000000001</v>
      </c>
      <c r="I28" s="243">
        <v>30</v>
      </c>
      <c r="K28" s="26">
        <f t="shared" si="0"/>
        <v>0.10391428571428572</v>
      </c>
      <c r="M28" s="243">
        <f t="shared" si="1"/>
        <v>70</v>
      </c>
      <c r="O28" s="12">
        <v>0.25940000000000002</v>
      </c>
      <c r="Q28" s="26">
        <v>3.8399999999999997E-2</v>
      </c>
      <c r="S28" s="26">
        <v>4.36E-2</v>
      </c>
      <c r="U28" s="12">
        <f t="shared" si="2"/>
        <v>8.199999999999999E-2</v>
      </c>
    </row>
    <row r="29" spans="1:34">
      <c r="A29" s="243">
        <v>2010</v>
      </c>
      <c r="C29" s="26">
        <v>0.10369999999999999</v>
      </c>
      <c r="E29" s="243">
        <v>61</v>
      </c>
      <c r="G29" s="26">
        <v>0.10150000000000001</v>
      </c>
      <c r="I29" s="243">
        <v>39</v>
      </c>
      <c r="K29" s="26">
        <f t="shared" si="0"/>
        <v>0.10284199999999999</v>
      </c>
      <c r="M29" s="243">
        <f t="shared" si="1"/>
        <v>100</v>
      </c>
      <c r="O29" s="12">
        <v>0.1482</v>
      </c>
      <c r="Q29" s="26">
        <v>3.2899999999999999E-2</v>
      </c>
      <c r="S29" s="26">
        <v>5.1999999999999998E-2</v>
      </c>
      <c r="U29" s="12">
        <f t="shared" si="2"/>
        <v>8.4900000000000003E-2</v>
      </c>
    </row>
    <row r="30" spans="1:34">
      <c r="A30" s="243">
        <v>2011</v>
      </c>
      <c r="C30" s="26">
        <v>0.10289999999999999</v>
      </c>
      <c r="E30" s="243">
        <v>42</v>
      </c>
      <c r="G30" s="26">
        <v>9.9199999999999997E-2</v>
      </c>
      <c r="I30" s="243">
        <v>16</v>
      </c>
      <c r="K30" s="26">
        <f t="shared" si="0"/>
        <v>0.10187931034482758</v>
      </c>
      <c r="M30" s="243">
        <f t="shared" si="1"/>
        <v>58</v>
      </c>
      <c r="O30" s="12">
        <v>2.1000000000000001E-2</v>
      </c>
      <c r="Q30" s="26">
        <v>1.8800000000000001E-2</v>
      </c>
      <c r="S30" s="26">
        <v>6.0100000000000001E-2</v>
      </c>
      <c r="U30" s="12">
        <f t="shared" si="2"/>
        <v>7.8899999999999998E-2</v>
      </c>
      <c r="AH30" s="243" t="s">
        <v>161</v>
      </c>
    </row>
    <row r="31" spans="1:34">
      <c r="A31" s="243">
        <v>2012</v>
      </c>
      <c r="C31" s="26">
        <v>0.1017</v>
      </c>
      <c r="E31" s="243">
        <v>58</v>
      </c>
      <c r="G31" s="26">
        <v>9.9399999999999988E-2</v>
      </c>
      <c r="I31" s="243">
        <v>35</v>
      </c>
      <c r="K31" s="26">
        <f t="shared" si="0"/>
        <v>0.10083440860215054</v>
      </c>
      <c r="M31" s="243">
        <f t="shared" si="1"/>
        <v>93</v>
      </c>
      <c r="O31" s="12">
        <v>0.15890000000000001</v>
      </c>
      <c r="Q31" s="26">
        <v>1.7600000000000001E-2</v>
      </c>
      <c r="S31" s="26">
        <v>5.7799999999999997E-2</v>
      </c>
      <c r="U31" s="12">
        <f t="shared" si="2"/>
        <v>7.5399999999999995E-2</v>
      </c>
      <c r="AH31" s="236">
        <f>'12 COE Summary'!C15</f>
        <v>7.8318814758726832E-2</v>
      </c>
    </row>
    <row r="32" spans="1:34">
      <c r="A32" s="243">
        <v>2013</v>
      </c>
      <c r="C32" s="26">
        <v>0.1003</v>
      </c>
      <c r="E32" s="243">
        <v>49</v>
      </c>
      <c r="G32" s="26">
        <v>9.6799999999999997E-2</v>
      </c>
      <c r="I32" s="243">
        <v>21</v>
      </c>
      <c r="K32" s="26">
        <f t="shared" si="0"/>
        <v>9.9249999999999991E-2</v>
      </c>
      <c r="M32" s="243">
        <f t="shared" si="1"/>
        <v>70</v>
      </c>
      <c r="O32" s="12">
        <v>0.32150000000000001</v>
      </c>
      <c r="Q32" s="26">
        <v>3.04E-2</v>
      </c>
      <c r="S32" s="26">
        <v>4.9599999999999998E-2</v>
      </c>
      <c r="U32" s="12">
        <f t="shared" si="2"/>
        <v>0.08</v>
      </c>
    </row>
    <row r="33" spans="1:34">
      <c r="A33" s="243">
        <v>2014</v>
      </c>
      <c r="C33" s="26">
        <v>9.9100000000000008E-2</v>
      </c>
      <c r="E33" s="243">
        <v>38</v>
      </c>
      <c r="G33" s="26">
        <v>9.7799999999999998E-2</v>
      </c>
      <c r="I33" s="243">
        <v>26</v>
      </c>
      <c r="K33" s="26">
        <f t="shared" si="0"/>
        <v>9.8571875000000003E-2</v>
      </c>
      <c r="M33" s="243">
        <f t="shared" si="1"/>
        <v>64</v>
      </c>
      <c r="O33" s="12">
        <v>0.13519999999999999</v>
      </c>
      <c r="Q33" s="26">
        <v>2.1700000000000001E-2</v>
      </c>
      <c r="S33" s="26">
        <v>5.7799999999999997E-2</v>
      </c>
      <c r="U33" s="12">
        <f t="shared" si="2"/>
        <v>7.9500000000000001E-2</v>
      </c>
      <c r="X33" s="10"/>
      <c r="AH33" s="243" t="s">
        <v>162</v>
      </c>
    </row>
    <row r="34" spans="1:34">
      <c r="A34" s="243">
        <v>2015</v>
      </c>
      <c r="C34" s="26">
        <v>9.849999999999999E-2</v>
      </c>
      <c r="E34" s="243">
        <v>30</v>
      </c>
      <c r="G34" s="26">
        <v>9.6000000000000002E-2</v>
      </c>
      <c r="I34" s="243">
        <v>16</v>
      </c>
      <c r="K34" s="26">
        <f t="shared" si="0"/>
        <v>9.7630434782608688E-2</v>
      </c>
      <c r="M34" s="243">
        <f t="shared" si="1"/>
        <v>46</v>
      </c>
      <c r="O34" s="12">
        <v>1.38E-2</v>
      </c>
      <c r="Q34" s="26">
        <v>2.2700000000000001E-2</v>
      </c>
      <c r="S34" s="26">
        <v>6.1199999999999997E-2</v>
      </c>
      <c r="U34" s="12">
        <f t="shared" si="2"/>
        <v>8.3900000000000002E-2</v>
      </c>
      <c r="AH34" s="255">
        <v>0.1125</v>
      </c>
    </row>
    <row r="35" spans="1:34">
      <c r="A35" s="243">
        <v>2016</v>
      </c>
      <c r="C35" s="26">
        <v>9.7699999999999995E-2</v>
      </c>
      <c r="E35" s="243">
        <v>42</v>
      </c>
      <c r="G35" s="26">
        <v>9.5399999999999985E-2</v>
      </c>
      <c r="I35" s="243">
        <v>26</v>
      </c>
      <c r="K35" s="26">
        <f t="shared" si="0"/>
        <v>9.6820588235294103E-2</v>
      </c>
      <c r="M35" s="243">
        <f t="shared" si="1"/>
        <v>68</v>
      </c>
      <c r="O35" s="12">
        <v>0.1177</v>
      </c>
      <c r="Q35" s="26">
        <v>2.4500000000000001E-2</v>
      </c>
      <c r="S35" s="26">
        <v>5.6899999999999999E-2</v>
      </c>
      <c r="U35" s="12">
        <f t="shared" si="2"/>
        <v>8.14E-2</v>
      </c>
      <c r="AC35" s="10"/>
    </row>
    <row r="36" spans="1:34">
      <c r="A36" s="17">
        <v>2017</v>
      </c>
      <c r="C36" s="26">
        <v>9.74E-2</v>
      </c>
      <c r="E36" s="243">
        <v>53</v>
      </c>
      <c r="G36" s="26">
        <v>9.7200000000000009E-2</v>
      </c>
      <c r="I36" s="243">
        <v>24</v>
      </c>
      <c r="K36" s="26">
        <f t="shared" si="0"/>
        <v>9.7337662337662334E-2</v>
      </c>
      <c r="M36" s="243">
        <f t="shared" si="1"/>
        <v>77</v>
      </c>
      <c r="O36" s="12">
        <v>0.21609999999999999</v>
      </c>
      <c r="Q36" s="26">
        <v>2.41E-2</v>
      </c>
      <c r="S36" s="26">
        <v>5.0799999999999998E-2</v>
      </c>
      <c r="U36" s="12">
        <f t="shared" si="2"/>
        <v>7.4899999999999994E-2</v>
      </c>
      <c r="AH36" s="243" t="s">
        <v>163</v>
      </c>
    </row>
    <row r="37" spans="1:34">
      <c r="A37" s="17">
        <v>2018</v>
      </c>
      <c r="C37" s="26">
        <v>9.64E-2</v>
      </c>
      <c r="E37" s="243">
        <v>37</v>
      </c>
      <c r="G37" s="26">
        <v>9.6199999999999994E-2</v>
      </c>
      <c r="I37" s="243">
        <v>26</v>
      </c>
      <c r="K37" s="26">
        <f t="shared" si="0"/>
        <v>9.6317460317460329E-2</v>
      </c>
      <c r="M37" s="243">
        <f t="shared" si="1"/>
        <v>63</v>
      </c>
      <c r="O37" s="12">
        <v>-4.2299999999999997E-2</v>
      </c>
      <c r="Q37" s="26">
        <v>2.6800000000000001E-2</v>
      </c>
      <c r="S37" s="26">
        <v>5.96E-2</v>
      </c>
      <c r="U37" s="12">
        <f t="shared" si="2"/>
        <v>8.6400000000000005E-2</v>
      </c>
      <c r="AH37" s="256">
        <v>9.2499999999999999E-2</v>
      </c>
    </row>
    <row r="38" spans="1:34">
      <c r="A38" s="17">
        <v>2019</v>
      </c>
      <c r="C38" s="26">
        <v>9.6600000000000005E-2</v>
      </c>
      <c r="E38" s="243">
        <v>67</v>
      </c>
      <c r="G38" s="26">
        <v>9.7100000000000006E-2</v>
      </c>
      <c r="I38" s="243">
        <v>32</v>
      </c>
      <c r="K38" s="26">
        <f t="shared" si="0"/>
        <v>9.676161616161616E-2</v>
      </c>
      <c r="M38" s="243">
        <f t="shared" si="1"/>
        <v>99</v>
      </c>
      <c r="O38" s="12">
        <v>0.31219999999999998</v>
      </c>
      <c r="Q38" s="26">
        <v>1.9199999999999998E-2</v>
      </c>
      <c r="S38" s="26">
        <v>5.1999999999999998E-2</v>
      </c>
      <c r="U38" s="12">
        <f t="shared" si="2"/>
        <v>7.1199999999999999E-2</v>
      </c>
    </row>
    <row r="39" spans="1:34">
      <c r="A39" s="17">
        <v>2020</v>
      </c>
      <c r="C39" s="26">
        <v>9.4399999999999998E-2</v>
      </c>
      <c r="E39" s="243">
        <v>43</v>
      </c>
      <c r="G39" s="26">
        <v>9.4600000000000004E-2</v>
      </c>
      <c r="I39" s="243">
        <v>34</v>
      </c>
      <c r="K39" s="26">
        <f t="shared" si="0"/>
        <v>9.4488311688311677E-2</v>
      </c>
      <c r="M39" s="243">
        <f t="shared" si="1"/>
        <v>77</v>
      </c>
      <c r="O39" s="12">
        <v>0.18010000000000001</v>
      </c>
      <c r="Q39" s="195">
        <v>9.2999999999999992E-3</v>
      </c>
      <c r="S39" s="195">
        <v>4.7199999999999999E-2</v>
      </c>
      <c r="U39" s="12">
        <f t="shared" si="2"/>
        <v>5.6499999999999995E-2</v>
      </c>
    </row>
    <row r="40" spans="1:34">
      <c r="A40" s="17">
        <v>2021</v>
      </c>
      <c r="C40" s="26">
        <v>9.4E-2</v>
      </c>
      <c r="E40" s="243">
        <v>55</v>
      </c>
      <c r="G40" s="26">
        <v>9.5200000000000007E-2</v>
      </c>
      <c r="I40" s="243">
        <v>29</v>
      </c>
      <c r="K40" s="26">
        <f t="shared" si="0"/>
        <v>9.4414285714285714E-2</v>
      </c>
      <c r="M40" s="243">
        <f t="shared" si="1"/>
        <v>84</v>
      </c>
      <c r="O40" s="12">
        <v>0.18010000000000001</v>
      </c>
      <c r="Q40" s="195">
        <v>1.5100000000000001E-2</v>
      </c>
      <c r="S40" s="195">
        <v>4.24E-2</v>
      </c>
      <c r="U40" s="12">
        <f t="shared" si="2"/>
        <v>5.7500000000000002E-2</v>
      </c>
    </row>
    <row r="41" spans="1:34">
      <c r="A41" s="131">
        <v>2021</v>
      </c>
      <c r="C41" s="26"/>
      <c r="G41" s="26"/>
      <c r="K41" s="26"/>
      <c r="O41" s="12"/>
      <c r="Q41" s="26"/>
      <c r="S41" s="26"/>
      <c r="U41" s="12"/>
    </row>
    <row r="42" spans="1:34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</row>
    <row r="44" spans="1:34">
      <c r="A44" s="11"/>
      <c r="C44" s="12"/>
      <c r="G44" s="12"/>
    </row>
    <row r="45" spans="1:34" ht="15" customHeight="1">
      <c r="A45" s="299" t="s">
        <v>211</v>
      </c>
      <c r="B45" s="299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</row>
    <row r="46" spans="1:34">
      <c r="A46" s="299" t="s">
        <v>111</v>
      </c>
      <c r="B46" s="299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</row>
    <row r="47" spans="1:34" ht="15" customHeight="1">
      <c r="A47" s="299" t="s">
        <v>108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</row>
    <row r="48" spans="1:34">
      <c r="A48" s="300" t="s">
        <v>109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</row>
    <row r="49" spans="1:21">
      <c r="A49" s="245"/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</row>
    <row r="50" spans="1:21">
      <c r="A50" s="245"/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</row>
    <row r="51" spans="1:21">
      <c r="A51" s="245"/>
      <c r="B51" s="24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</row>
    <row r="52" spans="1:21">
      <c r="A52" s="245"/>
      <c r="B52" s="24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</row>
  </sheetData>
  <mergeCells count="10">
    <mergeCell ref="A45:U45"/>
    <mergeCell ref="A46:U46"/>
    <mergeCell ref="A47:U47"/>
    <mergeCell ref="A48:U48"/>
    <mergeCell ref="C4:E4"/>
    <mergeCell ref="G4:I4"/>
    <mergeCell ref="K4:M4"/>
    <mergeCell ref="C6:E6"/>
    <mergeCell ref="G6:I6"/>
    <mergeCell ref="K6:M6"/>
  </mergeCells>
  <printOptions horizontalCentered="1"/>
  <pageMargins left="0.7" right="0.7" top="0.75" bottom="0.75" header="0.3" footer="0.3"/>
  <pageSetup scale="82" orientation="portrait" horizontalDpi="1200" verticalDpi="1200" r:id="rId1"/>
  <headerFooter scaleWithDoc="0">
    <oddHeader>&amp;C&amp;"-,Bold"&amp;14Market Cost of Equity vs. Awarded Returns
&amp;R&amp;10Docket No. 20220067-GU
FPUC Petition
Exhibit DJG-13
Page &amp;P of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19"/>
  <sheetViews>
    <sheetView zoomScaleNormal="100" workbookViewId="0"/>
  </sheetViews>
  <sheetFormatPr defaultRowHeight="15"/>
  <cols>
    <col min="1" max="1" width="41.5703125" style="145" bestFit="1" customWidth="1"/>
    <col min="2" max="2" width="2.7109375" style="145" customWidth="1"/>
    <col min="3" max="3" width="8.42578125" style="145" bestFit="1" customWidth="1"/>
    <col min="4" max="4" width="2.7109375" style="145" customWidth="1"/>
    <col min="5" max="5" width="13.7109375" style="145" customWidth="1"/>
    <col min="6" max="16384" width="9.140625" style="145"/>
  </cols>
  <sheetData>
    <row r="1" spans="1:5" s="287" customFormat="1"/>
    <row r="2" spans="1:5">
      <c r="A2" s="183"/>
      <c r="B2" s="15"/>
      <c r="C2" s="15"/>
      <c r="D2" s="15"/>
      <c r="E2" s="15"/>
    </row>
    <row r="4" spans="1:5" ht="19.899999999999999" customHeight="1">
      <c r="A4" s="139" t="s">
        <v>0</v>
      </c>
      <c r="B4" s="147"/>
      <c r="C4" s="139" t="s">
        <v>1</v>
      </c>
      <c r="D4" s="147"/>
      <c r="E4" s="134" t="s">
        <v>115</v>
      </c>
    </row>
    <row r="5" spans="1:5" ht="19.899999999999999" customHeight="1">
      <c r="A5" s="147"/>
      <c r="B5" s="147"/>
      <c r="C5" s="147"/>
      <c r="D5" s="147"/>
      <c r="E5" s="182"/>
    </row>
    <row r="6" spans="1:5" ht="19.899999999999999" customHeight="1">
      <c r="A6" s="145" t="str">
        <f>'2 Proxy Sum'!A5</f>
        <v>Atmos Energy Corp</v>
      </c>
      <c r="C6" s="35" t="str">
        <f>'2 Proxy Sum'!C5</f>
        <v>ATO</v>
      </c>
      <c r="D6" s="147"/>
      <c r="E6" s="149">
        <v>0.38400000000000001</v>
      </c>
    </row>
    <row r="7" spans="1:5" ht="19.899999999999999" customHeight="1">
      <c r="A7" s="145" t="str">
        <f>'2 Proxy Sum'!A6</f>
        <v>Chesapeake Utilities Corp</v>
      </c>
      <c r="C7" s="35" t="str">
        <f>'2 Proxy Sum'!C6</f>
        <v>CPK</v>
      </c>
      <c r="D7" s="147"/>
      <c r="E7" s="149">
        <v>0.41499999999999998</v>
      </c>
    </row>
    <row r="8" spans="1:5" s="206" customFormat="1" ht="19.899999999999999" customHeight="1">
      <c r="A8" s="206" t="str">
        <f>'2 Proxy Sum'!A7</f>
        <v>New Jersey Resources Corporation</v>
      </c>
      <c r="C8" s="35" t="str">
        <f>'2 Proxy Sum'!C7</f>
        <v>NJR</v>
      </c>
      <c r="D8" s="208"/>
      <c r="E8" s="149">
        <v>0.56999999999999995</v>
      </c>
    </row>
    <row r="9" spans="1:5" ht="19.899999999999999" customHeight="1">
      <c r="A9" s="145" t="str">
        <f>'2 Proxy Sum'!A8</f>
        <v>NiSource Inc</v>
      </c>
      <c r="C9" s="35" t="str">
        <f>'2 Proxy Sum'!C8</f>
        <v>NI</v>
      </c>
      <c r="D9" s="147"/>
      <c r="E9" s="149">
        <v>0.56899999999999995</v>
      </c>
    </row>
    <row r="10" spans="1:5" ht="19.899999999999999" customHeight="1">
      <c r="A10" s="145" t="str">
        <f>'2 Proxy Sum'!A9</f>
        <v>Northwest Natural Holding Company</v>
      </c>
      <c r="C10" s="35" t="str">
        <f>'2 Proxy Sum'!C9</f>
        <v>NWN</v>
      </c>
      <c r="D10" s="147"/>
      <c r="E10" s="149">
        <v>0.52800000000000002</v>
      </c>
    </row>
    <row r="11" spans="1:5" ht="19.899999999999999" customHeight="1">
      <c r="A11" s="145" t="str">
        <f>'2 Proxy Sum'!A10</f>
        <v>ONE Gas Inc</v>
      </c>
      <c r="C11" s="35" t="str">
        <f>'2 Proxy Sum'!C10</f>
        <v>OGS</v>
      </c>
      <c r="D11" s="147"/>
      <c r="E11" s="149">
        <v>0.61</v>
      </c>
    </row>
    <row r="12" spans="1:5" s="231" customFormat="1" ht="19.899999999999999" customHeight="1">
      <c r="A12" s="231" t="str">
        <f>'2 Proxy Sum'!A11</f>
        <v>Southwest Gas Holdings Inc</v>
      </c>
      <c r="C12" s="35" t="str">
        <f>'2 Proxy Sum'!C11</f>
        <v>SWX</v>
      </c>
      <c r="D12" s="232"/>
      <c r="E12" s="149">
        <v>0.58199999999999996</v>
      </c>
    </row>
    <row r="13" spans="1:5" ht="19.899999999999999" customHeight="1">
      <c r="A13" s="15" t="str">
        <f>'2 Proxy Sum'!A12</f>
        <v>Spire Inc.</v>
      </c>
      <c r="C13" s="35" t="str">
        <f>'2 Proxy Sum'!C12</f>
        <v>SR</v>
      </c>
      <c r="D13" s="147"/>
      <c r="E13" s="184">
        <v>0.52500000000000002</v>
      </c>
    </row>
    <row r="14" spans="1:5" ht="19.899999999999999" customHeight="1">
      <c r="C14" s="147"/>
      <c r="D14" s="147"/>
      <c r="E14" s="7"/>
    </row>
    <row r="15" spans="1:5">
      <c r="A15" s="147" t="s">
        <v>60</v>
      </c>
      <c r="B15" s="11"/>
      <c r="C15" s="147"/>
      <c r="D15" s="147"/>
      <c r="E15" s="185">
        <f>AVERAGE(E6:E13)</f>
        <v>0.52287499999999998</v>
      </c>
    </row>
    <row r="16" spans="1:5">
      <c r="A16" s="148"/>
      <c r="B16" s="15"/>
      <c r="C16" s="148"/>
      <c r="D16" s="148"/>
      <c r="E16" s="41"/>
    </row>
    <row r="17" spans="1:5">
      <c r="C17" s="147"/>
      <c r="D17" s="147"/>
      <c r="E17" s="7"/>
    </row>
    <row r="18" spans="1:5" s="144" customFormat="1" ht="14.45" customHeight="1">
      <c r="A18" s="145"/>
      <c r="B18" s="145"/>
      <c r="C18" s="145"/>
      <c r="D18" s="145"/>
      <c r="E18" s="145"/>
    </row>
    <row r="19" spans="1:5">
      <c r="A19" s="294" t="s">
        <v>247</v>
      </c>
      <c r="B19" s="294"/>
      <c r="C19" s="294"/>
      <c r="D19" s="294"/>
      <c r="E19" s="294"/>
    </row>
  </sheetData>
  <mergeCells count="1">
    <mergeCell ref="A19:E19"/>
  </mergeCells>
  <printOptions horizontalCentered="1"/>
  <pageMargins left="0.7" right="0.7" top="0.75" bottom="0.75" header="0.3" footer="0.3"/>
  <pageSetup orientation="portrait" r:id="rId1"/>
  <headerFooter scaleWithDoc="0">
    <oddHeader>&amp;C&amp;"-,Bold"&amp;14Proxy Company Debt Ratios&amp;R&amp;10Docket No. 20220067-GU
FPUC Petition
Exhibit DJG-14
Page &amp;P of &amp;N</oddHeader>
  </headerFooter>
  <ignoredErrors>
    <ignoredError sqref="E15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2:Q98"/>
  <sheetViews>
    <sheetView zoomScale="90" zoomScaleNormal="90" workbookViewId="0"/>
  </sheetViews>
  <sheetFormatPr defaultRowHeight="15"/>
  <cols>
    <col min="1" max="1" width="36.140625" style="152" customWidth="1"/>
    <col min="2" max="2" width="2.7109375" style="152" customWidth="1"/>
    <col min="3" max="3" width="10.7109375" style="152" bestFit="1" customWidth="1"/>
    <col min="4" max="4" width="2.7109375" style="152" customWidth="1"/>
    <col min="5" max="5" width="13.28515625" style="165" customWidth="1"/>
    <col min="6" max="8" width="9.140625" style="152"/>
    <col min="9" max="9" width="36.140625" style="152" bestFit="1" customWidth="1"/>
    <col min="10" max="10" width="2.7109375" style="152" customWidth="1"/>
    <col min="11" max="11" width="10.28515625" style="152" bestFit="1" customWidth="1"/>
    <col min="12" max="12" width="2.7109375" style="152" customWidth="1"/>
    <col min="13" max="13" width="12.7109375" style="152" customWidth="1"/>
    <col min="14" max="14" width="9.140625" style="152"/>
    <col min="15" max="15" width="32.7109375" style="152" bestFit="1" customWidth="1"/>
    <col min="16" max="16" width="2.7109375" style="152" customWidth="1"/>
    <col min="17" max="17" width="11.42578125" style="152" bestFit="1" customWidth="1"/>
    <col min="18" max="16384" width="9.140625" style="152"/>
  </cols>
  <sheetData>
    <row r="2" spans="1:17">
      <c r="A2" s="276"/>
      <c r="B2" s="150"/>
      <c r="C2" s="150"/>
      <c r="D2" s="150"/>
      <c r="E2" s="151"/>
      <c r="I2" s="152" t="s">
        <v>113</v>
      </c>
      <c r="O2" s="274" t="s">
        <v>113</v>
      </c>
    </row>
    <row r="4" spans="1:17" ht="14.45" customHeight="1">
      <c r="A4" s="43" t="s">
        <v>61</v>
      </c>
      <c r="C4" s="43" t="s">
        <v>114</v>
      </c>
      <c r="E4" s="172" t="s">
        <v>115</v>
      </c>
      <c r="I4" s="43" t="s">
        <v>61</v>
      </c>
      <c r="K4" s="43" t="s">
        <v>114</v>
      </c>
      <c r="M4" s="172" t="s">
        <v>115</v>
      </c>
      <c r="O4" s="162" t="s">
        <v>12</v>
      </c>
      <c r="P4" s="202"/>
      <c r="Q4" s="163" t="s">
        <v>115</v>
      </c>
    </row>
    <row r="5" spans="1:17" ht="14.45" customHeight="1">
      <c r="A5" s="152" t="s">
        <v>131</v>
      </c>
      <c r="C5" s="153">
        <v>21</v>
      </c>
      <c r="D5" s="154"/>
      <c r="E5" s="155">
        <v>0.8492013662424166</v>
      </c>
      <c r="I5" s="152" t="s">
        <v>131</v>
      </c>
      <c r="K5" s="153">
        <v>21</v>
      </c>
      <c r="L5" s="154"/>
      <c r="M5" s="155">
        <v>0.8492013662424166</v>
      </c>
      <c r="O5" s="202"/>
      <c r="P5" s="202"/>
      <c r="Q5" s="11"/>
    </row>
    <row r="6" spans="1:17" ht="14.45" customHeight="1">
      <c r="A6" s="152" t="s">
        <v>116</v>
      </c>
      <c r="C6" s="153">
        <v>31</v>
      </c>
      <c r="D6" s="154"/>
      <c r="E6" s="155">
        <v>0.80105274250918135</v>
      </c>
      <c r="I6" s="152" t="s">
        <v>116</v>
      </c>
      <c r="K6" s="153">
        <v>31</v>
      </c>
      <c r="L6" s="154"/>
      <c r="M6" s="155">
        <v>0.80105274250918135</v>
      </c>
      <c r="O6" s="192" t="s">
        <v>141</v>
      </c>
      <c r="P6" s="192"/>
      <c r="Q6" s="164">
        <v>0.6</v>
      </c>
    </row>
    <row r="7" spans="1:17" ht="14.45" customHeight="1">
      <c r="A7" s="152" t="s">
        <v>124</v>
      </c>
      <c r="C7" s="153">
        <v>66</v>
      </c>
      <c r="D7" s="154"/>
      <c r="E7" s="155">
        <v>0.77032838174378226</v>
      </c>
      <c r="I7" s="152" t="s">
        <v>124</v>
      </c>
      <c r="K7" s="153">
        <v>66</v>
      </c>
      <c r="L7" s="154"/>
      <c r="M7" s="155">
        <v>0.77032838174378226</v>
      </c>
      <c r="O7" s="192"/>
      <c r="P7" s="192"/>
      <c r="Q7" s="164"/>
    </row>
    <row r="8" spans="1:17" ht="14.45" customHeight="1">
      <c r="A8" s="152" t="s">
        <v>119</v>
      </c>
      <c r="C8" s="153">
        <v>31</v>
      </c>
      <c r="D8" s="154"/>
      <c r="E8" s="155">
        <v>0.75903657737942731</v>
      </c>
      <c r="I8" s="152" t="s">
        <v>119</v>
      </c>
      <c r="K8" s="153">
        <v>31</v>
      </c>
      <c r="L8" s="154"/>
      <c r="M8" s="155">
        <v>0.75903657737942731</v>
      </c>
      <c r="O8" s="192" t="s">
        <v>251</v>
      </c>
      <c r="P8" s="192"/>
      <c r="Q8" s="164">
        <v>0.59</v>
      </c>
    </row>
    <row r="9" spans="1:17" ht="14.45" customHeight="1">
      <c r="A9" s="152" t="s">
        <v>118</v>
      </c>
      <c r="C9" s="153">
        <v>32</v>
      </c>
      <c r="D9" s="154"/>
      <c r="E9" s="155">
        <v>0.72178380617289084</v>
      </c>
      <c r="I9" s="152" t="s">
        <v>118</v>
      </c>
      <c r="K9" s="153">
        <v>32</v>
      </c>
      <c r="L9" s="154"/>
      <c r="M9" s="155">
        <v>0.72178380617289084</v>
      </c>
      <c r="O9" s="192"/>
      <c r="P9" s="192"/>
      <c r="Q9" s="164"/>
    </row>
    <row r="10" spans="1:17" ht="14.45" customHeight="1">
      <c r="A10" s="152" t="s">
        <v>121</v>
      </c>
      <c r="C10" s="153">
        <v>15</v>
      </c>
      <c r="D10" s="154"/>
      <c r="E10" s="155">
        <v>0.68047717382465833</v>
      </c>
      <c r="I10" s="233" t="s">
        <v>121</v>
      </c>
      <c r="J10" s="233"/>
      <c r="K10" s="156">
        <v>15</v>
      </c>
      <c r="L10" s="235"/>
      <c r="M10" s="155">
        <v>0.68047717382465833</v>
      </c>
      <c r="O10" s="192" t="s">
        <v>250</v>
      </c>
      <c r="P10" s="192"/>
      <c r="Q10" s="164">
        <v>0.57440000000000002</v>
      </c>
    </row>
    <row r="11" spans="1:17" ht="14.45" customHeight="1">
      <c r="A11" s="152" t="s">
        <v>126</v>
      </c>
      <c r="C11" s="153">
        <v>15</v>
      </c>
      <c r="D11" s="154"/>
      <c r="E11" s="155">
        <v>0.67695651973156956</v>
      </c>
      <c r="I11" s="233" t="s">
        <v>126</v>
      </c>
      <c r="J11" s="233"/>
      <c r="K11" s="156">
        <v>15</v>
      </c>
      <c r="L11" s="235"/>
      <c r="M11" s="155">
        <v>0.67695651973156956</v>
      </c>
      <c r="O11" s="192"/>
      <c r="P11" s="192"/>
      <c r="Q11" s="164"/>
    </row>
    <row r="12" spans="1:17" ht="14.45" customHeight="1">
      <c r="A12" s="152" t="s">
        <v>152</v>
      </c>
      <c r="C12" s="153">
        <v>2</v>
      </c>
      <c r="D12" s="154"/>
      <c r="E12" s="155">
        <v>0.67447551359274338</v>
      </c>
      <c r="I12" s="233" t="s">
        <v>152</v>
      </c>
      <c r="J12" s="233"/>
      <c r="K12" s="156">
        <v>2</v>
      </c>
      <c r="L12" s="235"/>
      <c r="M12" s="155">
        <v>0.67447551359274338</v>
      </c>
      <c r="O12" s="192" t="s">
        <v>232</v>
      </c>
      <c r="P12" s="192"/>
      <c r="Q12" s="164">
        <v>0.55859768124020504</v>
      </c>
    </row>
    <row r="13" spans="1:17" ht="14.45" customHeight="1">
      <c r="A13" s="152" t="s">
        <v>122</v>
      </c>
      <c r="C13" s="153">
        <v>7</v>
      </c>
      <c r="D13" s="154"/>
      <c r="E13" s="155">
        <v>0.67405179528756098</v>
      </c>
      <c r="I13" s="233" t="s">
        <v>122</v>
      </c>
      <c r="J13" s="233"/>
      <c r="K13" s="156">
        <v>7</v>
      </c>
      <c r="L13" s="235"/>
      <c r="M13" s="155">
        <v>0.67405179528756098</v>
      </c>
      <c r="O13" s="192"/>
      <c r="P13" s="192"/>
      <c r="Q13" s="164"/>
    </row>
    <row r="14" spans="1:17" ht="14.45" customHeight="1">
      <c r="A14" s="152" t="s">
        <v>117</v>
      </c>
      <c r="C14" s="153">
        <v>49</v>
      </c>
      <c r="D14" s="154"/>
      <c r="E14" s="155">
        <v>0.67392103698629224</v>
      </c>
      <c r="I14" s="233" t="s">
        <v>117</v>
      </c>
      <c r="J14" s="233"/>
      <c r="K14" s="156">
        <v>49</v>
      </c>
      <c r="L14" s="235"/>
      <c r="M14" s="158">
        <v>0.67392103698629224</v>
      </c>
      <c r="O14" s="192" t="s">
        <v>249</v>
      </c>
      <c r="P14" s="192"/>
      <c r="Q14" s="259">
        <f>'14 Proxy Debt Ratios'!E15</f>
        <v>0.52287499999999998</v>
      </c>
    </row>
    <row r="15" spans="1:17" ht="14.45" customHeight="1">
      <c r="A15" s="152" t="s">
        <v>133</v>
      </c>
      <c r="C15" s="153">
        <v>46</v>
      </c>
      <c r="D15" s="154"/>
      <c r="E15" s="155">
        <v>0.66563208668752516</v>
      </c>
      <c r="I15" s="233" t="s">
        <v>133</v>
      </c>
      <c r="J15" s="233"/>
      <c r="K15" s="156">
        <v>46</v>
      </c>
      <c r="L15" s="235"/>
      <c r="M15" s="158">
        <v>0.66563208668752516</v>
      </c>
      <c r="O15" s="192"/>
      <c r="P15" s="192"/>
      <c r="Q15" s="164"/>
    </row>
    <row r="16" spans="1:17" ht="14.45" customHeight="1">
      <c r="A16" s="152" t="s">
        <v>120</v>
      </c>
      <c r="C16" s="153">
        <v>26</v>
      </c>
      <c r="D16" s="154"/>
      <c r="E16" s="155">
        <v>0.66265227606295107</v>
      </c>
      <c r="I16" s="233" t="s">
        <v>120</v>
      </c>
      <c r="J16" s="233"/>
      <c r="K16" s="156">
        <v>26</v>
      </c>
      <c r="L16" s="235"/>
      <c r="M16" s="158">
        <v>0.66265227606295107</v>
      </c>
      <c r="O16" s="192" t="s">
        <v>265</v>
      </c>
      <c r="P16" s="192"/>
      <c r="Q16" s="257">
        <v>0.48618749999999999</v>
      </c>
    </row>
    <row r="17" spans="1:17" ht="14.45" customHeight="1">
      <c r="A17" s="152" t="s">
        <v>149</v>
      </c>
      <c r="C17" s="153">
        <v>51</v>
      </c>
      <c r="D17" s="154"/>
      <c r="E17" s="155">
        <v>0.65650286718871731</v>
      </c>
      <c r="I17" s="233" t="s">
        <v>149</v>
      </c>
      <c r="J17" s="233"/>
      <c r="K17" s="156">
        <v>51</v>
      </c>
      <c r="L17" s="235"/>
      <c r="M17" s="158">
        <v>0.65650286718871731</v>
      </c>
      <c r="O17" s="192"/>
      <c r="P17" s="192"/>
      <c r="Q17" s="164"/>
    </row>
    <row r="18" spans="1:17" ht="14.45" customHeight="1">
      <c r="A18" s="152" t="s">
        <v>128</v>
      </c>
      <c r="C18" s="153">
        <v>76</v>
      </c>
      <c r="D18" s="154"/>
      <c r="E18" s="155">
        <v>0.63697971867627223</v>
      </c>
      <c r="I18" s="233" t="s">
        <v>128</v>
      </c>
      <c r="J18" s="233"/>
      <c r="K18" s="156">
        <v>76</v>
      </c>
      <c r="L18" s="235"/>
      <c r="M18" s="157">
        <v>0.63697971867627223</v>
      </c>
      <c r="O18" s="192" t="s">
        <v>264</v>
      </c>
      <c r="P18" s="192"/>
      <c r="Q18" s="258">
        <v>0.44950000000000001</v>
      </c>
    </row>
    <row r="19" spans="1:17" ht="14.45" customHeight="1">
      <c r="A19" s="152" t="s">
        <v>136</v>
      </c>
      <c r="C19" s="153">
        <v>11</v>
      </c>
      <c r="D19" s="154"/>
      <c r="E19" s="155">
        <v>0.63253166857542964</v>
      </c>
      <c r="I19" s="237" t="s">
        <v>136</v>
      </c>
      <c r="J19" s="233"/>
      <c r="K19" s="156">
        <v>11</v>
      </c>
      <c r="L19" s="235"/>
      <c r="M19" s="238">
        <v>0.63253166857542964</v>
      </c>
    </row>
    <row r="20" spans="1:17" ht="14.45" customHeight="1">
      <c r="A20" s="152" t="s">
        <v>146</v>
      </c>
      <c r="C20" s="153">
        <v>21</v>
      </c>
      <c r="D20" s="154"/>
      <c r="E20" s="155">
        <v>0.63014970980881324</v>
      </c>
      <c r="I20" s="233" t="s">
        <v>146</v>
      </c>
      <c r="J20" s="233"/>
      <c r="K20" s="156">
        <v>21</v>
      </c>
      <c r="L20" s="235"/>
      <c r="M20" s="157">
        <v>0.63014970980881324</v>
      </c>
    </row>
    <row r="21" spans="1:17" ht="14.45" customHeight="1">
      <c r="A21" s="152" t="s">
        <v>125</v>
      </c>
      <c r="C21" s="153">
        <v>26</v>
      </c>
      <c r="D21" s="154"/>
      <c r="E21" s="155">
        <v>0.62082650184559118</v>
      </c>
      <c r="I21" s="233" t="s">
        <v>125</v>
      </c>
      <c r="J21" s="233"/>
      <c r="K21" s="156">
        <v>26</v>
      </c>
      <c r="L21" s="235"/>
      <c r="M21" s="157">
        <v>0.62082650184559118</v>
      </c>
    </row>
    <row r="22" spans="1:17" ht="14.45" customHeight="1">
      <c r="A22" s="152" t="s">
        <v>139</v>
      </c>
      <c r="C22" s="153">
        <v>42</v>
      </c>
      <c r="D22" s="154"/>
      <c r="E22" s="155">
        <v>0.60659272565375943</v>
      </c>
      <c r="I22" s="233" t="s">
        <v>139</v>
      </c>
      <c r="J22" s="233"/>
      <c r="K22" s="156">
        <v>42</v>
      </c>
      <c r="L22" s="235"/>
      <c r="M22" s="157">
        <v>0.60659272565375943</v>
      </c>
    </row>
    <row r="23" spans="1:17" ht="14.45" customHeight="1">
      <c r="A23" s="152" t="s">
        <v>130</v>
      </c>
      <c r="C23" s="153">
        <v>60</v>
      </c>
      <c r="D23" s="154"/>
      <c r="E23" s="155">
        <v>0.60508502205273484</v>
      </c>
      <c r="I23" s="233" t="s">
        <v>130</v>
      </c>
      <c r="J23" s="233"/>
      <c r="K23" s="156">
        <v>60</v>
      </c>
      <c r="L23" s="235"/>
      <c r="M23" s="157">
        <v>0.60508502205273484</v>
      </c>
    </row>
    <row r="24" spans="1:17" ht="14.45" customHeight="1">
      <c r="A24" s="152" t="s">
        <v>62</v>
      </c>
      <c r="C24" s="153">
        <v>28</v>
      </c>
      <c r="D24" s="154"/>
      <c r="E24" s="155">
        <v>0.60375775663918685</v>
      </c>
      <c r="I24" s="233" t="s">
        <v>62</v>
      </c>
      <c r="J24" s="233"/>
      <c r="K24" s="156">
        <v>28</v>
      </c>
      <c r="L24" s="235"/>
      <c r="M24" s="157">
        <v>0.60375775663918685</v>
      </c>
    </row>
    <row r="25" spans="1:17">
      <c r="A25" s="152" t="s">
        <v>153</v>
      </c>
      <c r="C25" s="153">
        <v>4</v>
      </c>
      <c r="D25" s="154"/>
      <c r="E25" s="155">
        <v>0.60286877301802677</v>
      </c>
      <c r="I25" s="233" t="s">
        <v>153</v>
      </c>
      <c r="J25" s="233"/>
      <c r="K25" s="156">
        <v>4</v>
      </c>
      <c r="L25" s="235"/>
      <c r="M25" s="157">
        <v>0.60286877301802677</v>
      </c>
    </row>
    <row r="26" spans="1:17">
      <c r="A26" s="152" t="s">
        <v>127</v>
      </c>
      <c r="C26" s="153">
        <v>238</v>
      </c>
      <c r="D26" s="154"/>
      <c r="E26" s="155">
        <v>0.59723389855319209</v>
      </c>
      <c r="I26" s="233" t="s">
        <v>127</v>
      </c>
      <c r="J26" s="233"/>
      <c r="K26" s="156">
        <v>238</v>
      </c>
      <c r="L26" s="235"/>
      <c r="M26" s="157">
        <v>0.59723389855319209</v>
      </c>
    </row>
    <row r="27" spans="1:17">
      <c r="A27" s="152" t="s">
        <v>141</v>
      </c>
      <c r="C27" s="153">
        <v>50</v>
      </c>
      <c r="D27" s="154"/>
      <c r="E27" s="155">
        <v>0.59635243128547011</v>
      </c>
      <c r="I27" s="237" t="s">
        <v>141</v>
      </c>
      <c r="J27" s="233"/>
      <c r="K27" s="156">
        <v>50</v>
      </c>
      <c r="L27" s="235"/>
      <c r="M27" s="238">
        <v>0.59635243128547011</v>
      </c>
    </row>
    <row r="28" spans="1:17">
      <c r="A28" s="152" t="s">
        <v>134</v>
      </c>
      <c r="C28" s="153">
        <v>17</v>
      </c>
      <c r="D28" s="154"/>
      <c r="E28" s="155">
        <v>0.59485308669300341</v>
      </c>
      <c r="I28" s="237" t="s">
        <v>134</v>
      </c>
      <c r="J28" s="233"/>
      <c r="K28" s="156">
        <v>17</v>
      </c>
      <c r="L28" s="235"/>
      <c r="M28" s="238">
        <v>0.59485308669300341</v>
      </c>
    </row>
    <row r="29" spans="1:17">
      <c r="A29" s="152" t="s">
        <v>123</v>
      </c>
      <c r="C29" s="153">
        <v>17</v>
      </c>
      <c r="D29" s="154"/>
      <c r="E29" s="155">
        <v>0.58979811387700487</v>
      </c>
      <c r="I29" s="233" t="s">
        <v>123</v>
      </c>
      <c r="J29" s="233"/>
      <c r="K29" s="156">
        <v>17</v>
      </c>
      <c r="L29" s="235"/>
      <c r="M29" s="157">
        <v>0.58979811387700487</v>
      </c>
    </row>
    <row r="30" spans="1:17">
      <c r="A30" s="152" t="s">
        <v>138</v>
      </c>
      <c r="C30" s="153">
        <v>32</v>
      </c>
      <c r="D30" s="154"/>
      <c r="E30" s="155">
        <v>0.57528573219427626</v>
      </c>
      <c r="I30" s="233" t="s">
        <v>138</v>
      </c>
      <c r="K30" s="156">
        <v>32</v>
      </c>
      <c r="L30" s="235"/>
      <c r="M30" s="157">
        <v>0.57528573219427626</v>
      </c>
    </row>
    <row r="31" spans="1:17">
      <c r="A31" s="233" t="s">
        <v>212</v>
      </c>
      <c r="B31" s="233"/>
      <c r="C31" s="156">
        <v>14</v>
      </c>
      <c r="D31" s="235"/>
      <c r="E31" s="157">
        <v>0.57440000000000002</v>
      </c>
      <c r="I31" s="237" t="s">
        <v>212</v>
      </c>
      <c r="J31" s="233"/>
      <c r="K31" s="156">
        <v>14</v>
      </c>
      <c r="L31" s="235"/>
      <c r="M31" s="238">
        <v>0.57440000000000002</v>
      </c>
    </row>
    <row r="32" spans="1:17">
      <c r="A32" s="152" t="s">
        <v>132</v>
      </c>
      <c r="C32" s="153">
        <v>68</v>
      </c>
      <c r="D32" s="154"/>
      <c r="E32" s="155">
        <v>0.57415739965610357</v>
      </c>
      <c r="I32" s="233" t="s">
        <v>132</v>
      </c>
      <c r="K32" s="156">
        <v>68</v>
      </c>
      <c r="L32" s="235"/>
      <c r="M32" s="157">
        <v>0.57415739965610357</v>
      </c>
    </row>
    <row r="33" spans="1:13">
      <c r="A33" s="152" t="s">
        <v>142</v>
      </c>
      <c r="C33" s="153">
        <v>18</v>
      </c>
      <c r="D33" s="154"/>
      <c r="E33" s="155">
        <v>0.57147646336989388</v>
      </c>
      <c r="I33" s="233" t="s">
        <v>142</v>
      </c>
      <c r="K33" s="156">
        <v>18</v>
      </c>
      <c r="L33" s="235"/>
      <c r="M33" s="157">
        <v>0.57147646336989388</v>
      </c>
    </row>
    <row r="34" spans="1:13">
      <c r="A34" s="152" t="s">
        <v>145</v>
      </c>
      <c r="C34" s="153">
        <v>73</v>
      </c>
      <c r="D34" s="154"/>
      <c r="E34" s="155">
        <v>0.57026680286045506</v>
      </c>
      <c r="I34" s="233" t="s">
        <v>145</v>
      </c>
      <c r="K34" s="156">
        <v>73</v>
      </c>
      <c r="L34" s="235"/>
      <c r="M34" s="157">
        <v>0.57026680286045506</v>
      </c>
    </row>
    <row r="35" spans="1:13">
      <c r="A35" s="152" t="s">
        <v>150</v>
      </c>
      <c r="C35" s="153">
        <v>118</v>
      </c>
      <c r="D35" s="154"/>
      <c r="E35" s="155">
        <v>0.5601302020312261</v>
      </c>
      <c r="I35" s="233" t="s">
        <v>150</v>
      </c>
      <c r="K35" s="153">
        <v>118</v>
      </c>
      <c r="L35" s="154"/>
      <c r="M35" s="158">
        <v>0.5601302020312261</v>
      </c>
    </row>
    <row r="36" spans="1:13">
      <c r="A36" s="152" t="s">
        <v>137</v>
      </c>
      <c r="C36" s="153">
        <v>83</v>
      </c>
      <c r="D36" s="154"/>
      <c r="E36" s="155">
        <v>0.55991882273901272</v>
      </c>
      <c r="I36" s="152" t="s">
        <v>137</v>
      </c>
      <c r="K36" s="153">
        <v>83</v>
      </c>
      <c r="L36" s="154"/>
      <c r="M36" s="155">
        <v>0.55991882273901272</v>
      </c>
    </row>
    <row r="37" spans="1:13">
      <c r="A37" s="152" t="s">
        <v>129</v>
      </c>
      <c r="C37" s="153">
        <v>20</v>
      </c>
      <c r="D37" s="154"/>
      <c r="E37" s="155">
        <v>0.55859768124020504</v>
      </c>
      <c r="I37" s="239" t="s">
        <v>129</v>
      </c>
      <c r="K37" s="159">
        <v>20</v>
      </c>
      <c r="L37" s="154"/>
      <c r="M37" s="240">
        <v>0.55859768124020504</v>
      </c>
    </row>
    <row r="38" spans="1:13">
      <c r="A38" s="152" t="s">
        <v>143</v>
      </c>
      <c r="C38" s="153">
        <v>4</v>
      </c>
      <c r="D38" s="154"/>
      <c r="E38" s="155">
        <v>0.55097503450969532</v>
      </c>
      <c r="F38" s="234"/>
      <c r="K38" s="154"/>
      <c r="L38" s="154"/>
      <c r="M38" s="155"/>
    </row>
    <row r="39" spans="1:13">
      <c r="A39" s="152" t="s">
        <v>140</v>
      </c>
      <c r="C39" s="153">
        <v>34</v>
      </c>
      <c r="D39" s="154"/>
      <c r="E39" s="155">
        <v>0.54805242462348724</v>
      </c>
      <c r="I39" s="202" t="s">
        <v>154</v>
      </c>
      <c r="K39" s="160">
        <f>SUM(K5:K37)</f>
        <v>1408</v>
      </c>
      <c r="L39" s="154"/>
      <c r="M39" s="161">
        <f>AVERAGE(M5:M37)</f>
        <v>0.64022226224786005</v>
      </c>
    </row>
    <row r="40" spans="1:13">
      <c r="A40" s="233" t="s">
        <v>135</v>
      </c>
      <c r="C40" s="153">
        <v>36</v>
      </c>
      <c r="D40" s="154"/>
      <c r="E40" s="155">
        <v>0.54325228478078069</v>
      </c>
    </row>
    <row r="41" spans="1:13">
      <c r="A41" s="152" t="s">
        <v>151</v>
      </c>
      <c r="C41" s="153">
        <v>58</v>
      </c>
      <c r="D41" s="154"/>
      <c r="E41" s="155">
        <v>0.54191226179946139</v>
      </c>
    </row>
    <row r="42" spans="1:13">
      <c r="A42" s="152" t="s">
        <v>156</v>
      </c>
      <c r="C42" s="153">
        <v>39</v>
      </c>
      <c r="D42" s="154"/>
      <c r="E42" s="155">
        <v>0.53718893070963392</v>
      </c>
    </row>
    <row r="43" spans="1:13">
      <c r="A43" s="152" t="s">
        <v>213</v>
      </c>
      <c r="C43" s="153">
        <v>11</v>
      </c>
      <c r="D43" s="154"/>
      <c r="E43" s="155">
        <v>0.53694042984085388</v>
      </c>
    </row>
    <row r="44" spans="1:13">
      <c r="A44" s="152" t="s">
        <v>144</v>
      </c>
      <c r="C44" s="153">
        <v>60</v>
      </c>
      <c r="D44" s="154"/>
      <c r="E44" s="155">
        <v>0.53092923275907977</v>
      </c>
    </row>
    <row r="45" spans="1:13" ht="15.75">
      <c r="A45" s="152" t="s">
        <v>155</v>
      </c>
      <c r="C45" s="153">
        <v>35</v>
      </c>
      <c r="D45" s="154"/>
      <c r="E45" s="155">
        <v>0.52563551482854731</v>
      </c>
      <c r="I45" s="196"/>
      <c r="J45" s="202"/>
      <c r="K45" s="197"/>
    </row>
    <row r="46" spans="1:13">
      <c r="A46" s="152" t="s">
        <v>157</v>
      </c>
      <c r="C46" s="153">
        <v>19</v>
      </c>
      <c r="D46" s="154"/>
      <c r="E46" s="155">
        <v>0.52340124572144442</v>
      </c>
      <c r="I46" s="202"/>
      <c r="J46" s="202"/>
      <c r="K46" s="11"/>
    </row>
    <row r="47" spans="1:13">
      <c r="A47" s="152" t="s">
        <v>147</v>
      </c>
      <c r="C47" s="153">
        <v>160</v>
      </c>
      <c r="D47" s="154"/>
      <c r="E47" s="155">
        <v>0.51740584113138455</v>
      </c>
      <c r="I47" s="192"/>
      <c r="J47" s="192"/>
      <c r="K47" s="198"/>
    </row>
    <row r="48" spans="1:13">
      <c r="A48" s="152" t="s">
        <v>177</v>
      </c>
      <c r="C48" s="153">
        <v>18</v>
      </c>
      <c r="D48" s="154"/>
      <c r="E48" s="155">
        <v>0.51636322163165893</v>
      </c>
      <c r="I48" s="192"/>
      <c r="J48" s="192"/>
      <c r="K48" s="198"/>
    </row>
    <row r="49" spans="1:11">
      <c r="A49" s="152" t="s">
        <v>148</v>
      </c>
      <c r="C49" s="159">
        <v>48</v>
      </c>
      <c r="D49" s="154"/>
      <c r="E49" s="241">
        <v>0.51003151576277894</v>
      </c>
      <c r="I49" s="192"/>
      <c r="J49" s="192"/>
      <c r="K49" s="198"/>
    </row>
    <row r="50" spans="1:11">
      <c r="C50" s="154"/>
      <c r="D50" s="154"/>
      <c r="E50" s="155"/>
      <c r="I50" s="192"/>
      <c r="J50" s="192"/>
      <c r="K50" s="198"/>
    </row>
    <row r="51" spans="1:11">
      <c r="A51" s="202" t="s">
        <v>154</v>
      </c>
      <c r="C51" s="160">
        <f>SUM(C5:C49)</f>
        <v>1930</v>
      </c>
      <c r="D51" s="154"/>
      <c r="E51" s="161">
        <f>AVERAGE(E5:E49)</f>
        <v>0.61132050205062638</v>
      </c>
      <c r="I51" s="192"/>
      <c r="J51" s="192"/>
      <c r="K51" s="198"/>
    </row>
    <row r="52" spans="1:11">
      <c r="A52" s="150"/>
      <c r="B52" s="150"/>
      <c r="C52" s="150"/>
      <c r="D52" s="150"/>
      <c r="E52" s="151"/>
      <c r="I52" s="192"/>
      <c r="J52" s="192"/>
      <c r="K52" s="198"/>
    </row>
    <row r="53" spans="1:11">
      <c r="I53" s="192"/>
      <c r="J53" s="192"/>
      <c r="K53" s="198"/>
    </row>
    <row r="54" spans="1:11">
      <c r="I54" s="192"/>
      <c r="J54" s="192"/>
      <c r="K54" s="198"/>
    </row>
    <row r="55" spans="1:11">
      <c r="A55" s="294" t="s">
        <v>158</v>
      </c>
      <c r="B55" s="294"/>
      <c r="C55" s="294"/>
      <c r="D55" s="294"/>
      <c r="E55" s="294"/>
      <c r="I55" s="192"/>
      <c r="J55" s="192"/>
      <c r="K55" s="199"/>
    </row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</sheetData>
  <mergeCells count="1">
    <mergeCell ref="A55:E55"/>
  </mergeCells>
  <printOptions horizontalCentered="1"/>
  <pageMargins left="0.7" right="0.7" top="0.75" bottom="0.75" header="0.3" footer="0.3"/>
  <pageSetup scale="88" orientation="portrait" r:id="rId1"/>
  <headerFooter scaleWithDoc="0">
    <oddHeader>&amp;C&amp;"-,Bold"&amp;14Competitive Industry Debt Ratios&amp;R&amp;10Docket No. 20220067-GU
FPUC Petition
Exhibit DJG-15
Page &amp;P of 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G43"/>
  <sheetViews>
    <sheetView zoomScaleNormal="100" workbookViewId="0"/>
  </sheetViews>
  <sheetFormatPr defaultColWidth="9.140625" defaultRowHeight="15"/>
  <cols>
    <col min="1" max="1" width="9.28515625" style="217" customWidth="1"/>
    <col min="2" max="2" width="1.7109375" style="217" customWidth="1"/>
    <col min="3" max="3" width="11.5703125" style="217" customWidth="1"/>
    <col min="4" max="4" width="1.7109375" style="217" customWidth="1"/>
    <col min="5" max="5" width="10.140625" style="217" bestFit="1" customWidth="1"/>
    <col min="6" max="6" width="1.7109375" style="217" customWidth="1"/>
    <col min="7" max="7" width="9.28515625" style="217" customWidth="1"/>
    <col min="8" max="16384" width="9.140625" style="217"/>
  </cols>
  <sheetData>
    <row r="1" spans="1:7" s="287" customFormat="1"/>
    <row r="2" spans="1:7">
      <c r="A2" s="183"/>
      <c r="B2" s="183"/>
      <c r="C2" s="183"/>
      <c r="D2" s="15"/>
      <c r="E2" s="15"/>
      <c r="F2" s="15"/>
      <c r="G2" s="15"/>
    </row>
    <row r="4" spans="1:7">
      <c r="A4" s="303" t="s">
        <v>183</v>
      </c>
      <c r="B4" s="303"/>
      <c r="C4" s="303"/>
      <c r="D4" s="303"/>
      <c r="E4" s="303"/>
      <c r="F4" s="303"/>
      <c r="G4" s="303"/>
    </row>
    <row r="6" spans="1:7">
      <c r="A6" s="293" t="s">
        <v>184</v>
      </c>
      <c r="B6" s="293"/>
      <c r="C6" s="293"/>
      <c r="E6" s="181">
        <v>0.44949999999999996</v>
      </c>
      <c r="F6" s="221"/>
      <c r="G6" s="222" t="s">
        <v>3</v>
      </c>
    </row>
    <row r="7" spans="1:7">
      <c r="A7" s="293" t="s">
        <v>185</v>
      </c>
      <c r="B7" s="293"/>
      <c r="C7" s="293"/>
      <c r="E7" s="181">
        <v>0.55049999999999999</v>
      </c>
      <c r="F7" s="221"/>
      <c r="G7" s="222" t="s">
        <v>4</v>
      </c>
    </row>
    <row r="8" spans="1:7">
      <c r="A8" s="293" t="s">
        <v>186</v>
      </c>
      <c r="B8" s="293"/>
      <c r="C8" s="293"/>
      <c r="E8" s="181">
        <f>E6/E7</f>
        <v>0.81653042688465027</v>
      </c>
      <c r="F8" s="181"/>
      <c r="G8" s="222" t="s">
        <v>5</v>
      </c>
    </row>
    <row r="9" spans="1:7">
      <c r="A9" s="293" t="s">
        <v>187</v>
      </c>
      <c r="B9" s="293"/>
      <c r="C9" s="293"/>
      <c r="E9" s="223">
        <v>0.21</v>
      </c>
      <c r="F9" s="181"/>
      <c r="G9" s="222" t="s">
        <v>6</v>
      </c>
    </row>
    <row r="10" spans="1:7">
      <c r="A10" s="217" t="s">
        <v>188</v>
      </c>
      <c r="E10" s="224">
        <f>'11 CAPM Result'!E9</f>
        <v>5.5969646649008283E-2</v>
      </c>
      <c r="F10" s="181"/>
      <c r="G10" s="222" t="s">
        <v>7</v>
      </c>
    </row>
    <row r="11" spans="1:7">
      <c r="A11" s="217" t="s">
        <v>31</v>
      </c>
      <c r="E11" s="224">
        <f>'11 CAPM Result'!A9</f>
        <v>3.2163333333333335E-2</v>
      </c>
      <c r="F11" s="181"/>
      <c r="G11" s="222" t="s">
        <v>14</v>
      </c>
    </row>
    <row r="12" spans="1:7">
      <c r="A12" s="217" t="s">
        <v>189</v>
      </c>
      <c r="E12" s="225">
        <f>'11 CAPM Result'!C9</f>
        <v>0.83125000000000004</v>
      </c>
      <c r="F12" s="181"/>
      <c r="G12" s="222" t="s">
        <v>15</v>
      </c>
    </row>
    <row r="13" spans="1:7">
      <c r="A13" s="293" t="s">
        <v>190</v>
      </c>
      <c r="B13" s="293"/>
      <c r="C13" s="293"/>
      <c r="E13" s="10">
        <f>E12/(1+(1-E9)*(E8))</f>
        <v>0.5053010142390999</v>
      </c>
      <c r="F13" s="79"/>
      <c r="G13" s="222" t="s">
        <v>16</v>
      </c>
    </row>
    <row r="14" spans="1:7">
      <c r="A14" s="15"/>
      <c r="B14" s="15"/>
      <c r="C14" s="15"/>
      <c r="D14" s="15"/>
      <c r="E14" s="15"/>
      <c r="F14" s="15"/>
      <c r="G14" s="15"/>
    </row>
    <row r="16" spans="1:7">
      <c r="A16" s="219" t="s">
        <v>19</v>
      </c>
      <c r="B16" s="219"/>
      <c r="C16" s="219" t="s">
        <v>30</v>
      </c>
      <c r="D16" s="219"/>
      <c r="E16" s="137" t="s">
        <v>32</v>
      </c>
      <c r="F16" s="137"/>
      <c r="G16" s="138" t="s">
        <v>38</v>
      </c>
    </row>
    <row r="17" spans="1:7">
      <c r="A17" s="219"/>
      <c r="B17" s="219"/>
      <c r="C17" s="23"/>
      <c r="D17" s="23"/>
      <c r="E17" s="26"/>
      <c r="F17" s="26"/>
      <c r="G17" s="12"/>
    </row>
    <row r="18" spans="1:7">
      <c r="A18" s="303" t="s">
        <v>191</v>
      </c>
      <c r="B18" s="303"/>
      <c r="C18" s="303"/>
      <c r="D18" s="303"/>
      <c r="E18" s="303"/>
      <c r="F18" s="303"/>
      <c r="G18" s="303"/>
    </row>
    <row r="20" spans="1:7">
      <c r="A20" s="219" t="s">
        <v>178</v>
      </c>
      <c r="B20" s="219"/>
      <c r="C20" s="219" t="s">
        <v>192</v>
      </c>
      <c r="D20" s="219"/>
      <c r="E20" s="219" t="s">
        <v>193</v>
      </c>
      <c r="F20" s="219"/>
      <c r="G20" s="219" t="s">
        <v>171</v>
      </c>
    </row>
    <row r="21" spans="1:7">
      <c r="A21" s="220" t="s">
        <v>166</v>
      </c>
      <c r="B21" s="220"/>
      <c r="C21" s="220" t="s">
        <v>166</v>
      </c>
      <c r="D21" s="220"/>
      <c r="E21" s="220" t="s">
        <v>52</v>
      </c>
      <c r="F21" s="220"/>
      <c r="G21" s="220" t="s">
        <v>194</v>
      </c>
    </row>
    <row r="22" spans="1:7">
      <c r="A22" s="189">
        <v>0</v>
      </c>
      <c r="B22" s="226"/>
      <c r="C22" s="226">
        <f>A22/(1-A22)</f>
        <v>0</v>
      </c>
      <c r="D22" s="181"/>
      <c r="E22" s="9">
        <f>$E$13</f>
        <v>0.5053010142390999</v>
      </c>
      <c r="F22" s="79"/>
      <c r="G22" s="194">
        <f>$E$11+E22*$E$10</f>
        <v>6.0444852551681263E-2</v>
      </c>
    </row>
    <row r="23" spans="1:7">
      <c r="A23" s="189">
        <v>0.2</v>
      </c>
      <c r="B23" s="226"/>
      <c r="C23" s="226">
        <f t="shared" ref="C23:C28" si="0">A23/(1-A23)</f>
        <v>0.25</v>
      </c>
      <c r="D23" s="181"/>
      <c r="E23" s="9">
        <f>$E$13*(1+(1-$E$9)*C23)</f>
        <v>0.60509796455132214</v>
      </c>
      <c r="F23" s="79"/>
      <c r="G23" s="194">
        <f t="shared" ref="G23:G28" si="1">$E$11+E23*$E$10</f>
        <v>6.6030452597304973E-2</v>
      </c>
    </row>
    <row r="24" spans="1:7">
      <c r="A24" s="189">
        <v>0.3</v>
      </c>
      <c r="B24" s="226"/>
      <c r="C24" s="226">
        <f t="shared" si="0"/>
        <v>0.4285714285714286</v>
      </c>
      <c r="D24" s="181"/>
      <c r="E24" s="9">
        <f>$E$13*(1+(1-$E$9)*C24)</f>
        <v>0.67638150048862367</v>
      </c>
      <c r="F24" s="79"/>
      <c r="G24" s="194">
        <f t="shared" si="1"/>
        <v>7.0020166915607626E-2</v>
      </c>
    </row>
    <row r="25" spans="1:7">
      <c r="A25" s="261">
        <f>E6</f>
        <v>0.44949999999999996</v>
      </c>
      <c r="B25" s="227"/>
      <c r="C25" s="227">
        <f t="shared" si="0"/>
        <v>0.81653042688465027</v>
      </c>
      <c r="D25" s="223"/>
      <c r="E25" s="264">
        <f t="shared" ref="E25:E28" si="2">$E$13*(1+(1-$E$9)*C25)</f>
        <v>0.83125000000000004</v>
      </c>
      <c r="F25" s="265"/>
      <c r="G25" s="260">
        <f t="shared" si="1"/>
        <v>7.868810211032147E-2</v>
      </c>
    </row>
    <row r="26" spans="1:7">
      <c r="A26" s="262">
        <v>0.52</v>
      </c>
      <c r="B26" s="227"/>
      <c r="C26" s="227">
        <f t="shared" si="0"/>
        <v>1.0833333333333335</v>
      </c>
      <c r="D26" s="223"/>
      <c r="E26" s="264">
        <f t="shared" si="2"/>
        <v>0.93775446559206299</v>
      </c>
      <c r="F26" s="265"/>
      <c r="G26" s="228">
        <f t="shared" si="1"/>
        <v>8.4649119416050689E-2</v>
      </c>
    </row>
    <row r="27" spans="1:7">
      <c r="A27" s="263">
        <v>0.55000000000000004</v>
      </c>
      <c r="B27" s="226"/>
      <c r="C27" s="226">
        <f t="shared" si="0"/>
        <v>1.2222222222222225</v>
      </c>
      <c r="D27" s="181"/>
      <c r="E27" s="9">
        <f t="shared" si="2"/>
        <v>0.99319721576551989</v>
      </c>
      <c r="F27" s="79"/>
      <c r="G27" s="194">
        <f t="shared" si="1"/>
        <v>8.7752230552508331E-2</v>
      </c>
    </row>
    <row r="28" spans="1:7">
      <c r="A28" s="189">
        <v>0.6</v>
      </c>
      <c r="B28" s="226"/>
      <c r="C28" s="226">
        <f t="shared" si="0"/>
        <v>1.4999999999999998</v>
      </c>
      <c r="D28" s="181"/>
      <c r="E28" s="9">
        <f t="shared" si="2"/>
        <v>1.1040827161124331</v>
      </c>
      <c r="F28" s="79"/>
      <c r="G28" s="194">
        <f t="shared" si="1"/>
        <v>9.3958452825423533E-2</v>
      </c>
    </row>
    <row r="29" spans="1:7">
      <c r="A29" s="15"/>
      <c r="B29" s="15"/>
      <c r="C29" s="15"/>
      <c r="D29" s="15"/>
      <c r="E29" s="15"/>
      <c r="F29" s="15"/>
      <c r="G29" s="15"/>
    </row>
    <row r="32" spans="1:7">
      <c r="A32" s="294" t="s">
        <v>204</v>
      </c>
      <c r="B32" s="294"/>
      <c r="C32" s="294"/>
      <c r="D32" s="294"/>
      <c r="E32" s="294"/>
      <c r="F32" s="294"/>
      <c r="G32" s="294"/>
    </row>
    <row r="33" spans="1:7">
      <c r="A33" s="294" t="s">
        <v>205</v>
      </c>
      <c r="B33" s="294"/>
      <c r="C33" s="294"/>
      <c r="D33" s="294"/>
      <c r="E33" s="294"/>
      <c r="F33" s="294"/>
      <c r="G33" s="294"/>
    </row>
    <row r="34" spans="1:7">
      <c r="A34" s="294" t="s">
        <v>195</v>
      </c>
      <c r="B34" s="294"/>
      <c r="C34" s="294"/>
      <c r="D34" s="294"/>
      <c r="E34" s="294"/>
      <c r="F34" s="294"/>
      <c r="G34" s="294"/>
    </row>
    <row r="35" spans="1:7">
      <c r="A35" s="294" t="s">
        <v>196</v>
      </c>
      <c r="B35" s="294"/>
      <c r="C35" s="294"/>
      <c r="D35" s="294"/>
      <c r="E35" s="294"/>
      <c r="F35" s="294"/>
      <c r="G35" s="294"/>
    </row>
    <row r="36" spans="1:7">
      <c r="A36" s="294" t="s">
        <v>197</v>
      </c>
      <c r="B36" s="294"/>
      <c r="C36" s="294"/>
      <c r="D36" s="294"/>
      <c r="E36" s="294"/>
      <c r="F36" s="294"/>
      <c r="G36" s="294"/>
    </row>
    <row r="37" spans="1:7">
      <c r="A37" s="294" t="s">
        <v>198</v>
      </c>
      <c r="B37" s="294"/>
      <c r="C37" s="294"/>
      <c r="D37" s="294"/>
      <c r="E37" s="294"/>
      <c r="F37" s="294"/>
      <c r="G37" s="294"/>
    </row>
    <row r="38" spans="1:7">
      <c r="A38" s="294" t="s">
        <v>199</v>
      </c>
      <c r="B38" s="294"/>
      <c r="C38" s="294"/>
      <c r="D38" s="294"/>
      <c r="E38" s="294"/>
      <c r="F38" s="294"/>
      <c r="G38" s="294"/>
    </row>
    <row r="39" spans="1:7">
      <c r="A39" s="294" t="s">
        <v>200</v>
      </c>
      <c r="B39" s="294"/>
      <c r="C39" s="294"/>
      <c r="D39" s="294"/>
      <c r="E39" s="294"/>
      <c r="F39" s="294"/>
      <c r="G39" s="294"/>
    </row>
    <row r="40" spans="1:7">
      <c r="A40" s="296" t="s">
        <v>206</v>
      </c>
      <c r="B40" s="296"/>
      <c r="C40" s="296"/>
      <c r="D40" s="296"/>
      <c r="E40" s="296"/>
      <c r="F40" s="296"/>
      <c r="G40" s="296"/>
    </row>
    <row r="41" spans="1:7">
      <c r="A41" s="296" t="s">
        <v>201</v>
      </c>
      <c r="B41" s="296"/>
      <c r="C41" s="296"/>
      <c r="D41" s="296"/>
      <c r="E41" s="296"/>
      <c r="F41" s="296"/>
      <c r="G41" s="296"/>
    </row>
    <row r="42" spans="1:7">
      <c r="A42" s="296" t="s">
        <v>202</v>
      </c>
      <c r="B42" s="296"/>
      <c r="C42" s="296"/>
      <c r="D42" s="296"/>
      <c r="E42" s="296"/>
      <c r="F42" s="296"/>
      <c r="G42" s="296"/>
    </row>
    <row r="43" spans="1:7">
      <c r="A43" s="296" t="s">
        <v>203</v>
      </c>
      <c r="B43" s="296"/>
      <c r="C43" s="296"/>
      <c r="D43" s="296"/>
      <c r="E43" s="296"/>
      <c r="F43" s="296"/>
      <c r="G43" s="296"/>
    </row>
  </sheetData>
  <mergeCells count="19">
    <mergeCell ref="A36:G36"/>
    <mergeCell ref="A4:G4"/>
    <mergeCell ref="A6:C6"/>
    <mergeCell ref="A7:C7"/>
    <mergeCell ref="A8:C8"/>
    <mergeCell ref="A9:C9"/>
    <mergeCell ref="A13:C13"/>
    <mergeCell ref="A18:G18"/>
    <mergeCell ref="A32:G32"/>
    <mergeCell ref="A33:G33"/>
    <mergeCell ref="A34:G34"/>
    <mergeCell ref="A35:G35"/>
    <mergeCell ref="A43:G43"/>
    <mergeCell ref="A37:G37"/>
    <mergeCell ref="A38:G38"/>
    <mergeCell ref="A39:G39"/>
    <mergeCell ref="A40:G40"/>
    <mergeCell ref="A41:G41"/>
    <mergeCell ref="A42:G42"/>
  </mergeCells>
  <printOptions horizontalCentered="1"/>
  <pageMargins left="0.7" right="0.7" top="0.75" bottom="0.75" header="0.3" footer="0.3"/>
  <pageSetup orientation="portrait" r:id="rId1"/>
  <headerFooter scaleWithDoc="0">
    <oddHeader>&amp;C&amp;"-,Bold"&amp;14Hamada Model&amp;R&amp;10Docket No. 20220067-GU
FPUC Petition
Exhibit DJG-16
Page &amp;P of 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P38"/>
  <sheetViews>
    <sheetView zoomScale="90" zoomScaleNormal="90" workbookViewId="0"/>
  </sheetViews>
  <sheetFormatPr defaultRowHeight="15"/>
  <cols>
    <col min="1" max="1" width="24" style="176" bestFit="1" customWidth="1"/>
    <col min="2" max="2" width="2.7109375" style="176" customWidth="1"/>
    <col min="3" max="3" width="9.7109375" style="176" customWidth="1"/>
    <col min="4" max="4" width="2.7109375" style="176" customWidth="1"/>
    <col min="5" max="5" width="9.7109375" style="176" customWidth="1"/>
    <col min="6" max="6" width="2.7109375" style="176" customWidth="1"/>
    <col min="7" max="7" width="9.7109375" style="176" customWidth="1"/>
    <col min="8" max="9" width="4.7109375" style="176" customWidth="1"/>
    <col min="10" max="10" width="24" style="176" bestFit="1" customWidth="1"/>
    <col min="11" max="11" width="2.7109375" style="176" customWidth="1"/>
    <col min="12" max="12" width="9.140625" style="176"/>
    <col min="13" max="13" width="2.7109375" style="176" customWidth="1"/>
    <col min="14" max="14" width="9.140625" style="176"/>
    <col min="15" max="15" width="2.7109375" style="176" customWidth="1"/>
    <col min="16" max="16384" width="9.140625" style="176"/>
  </cols>
  <sheetData>
    <row r="1" spans="1:16" s="287" customFormat="1"/>
    <row r="2" spans="1:16">
      <c r="A2" s="183"/>
      <c r="B2" s="15"/>
      <c r="C2" s="15"/>
      <c r="D2" s="15"/>
      <c r="E2" s="15"/>
      <c r="F2" s="15"/>
      <c r="G2" s="15"/>
      <c r="H2" s="15"/>
      <c r="I2" s="15"/>
      <c r="J2" s="183"/>
      <c r="K2" s="15"/>
      <c r="L2" s="15"/>
      <c r="M2" s="15"/>
      <c r="N2" s="15"/>
      <c r="O2" s="15"/>
      <c r="P2" s="15"/>
    </row>
    <row r="3" spans="1:16" s="287" customFormat="1">
      <c r="A3" s="284"/>
      <c r="B3" s="186"/>
      <c r="C3" s="186"/>
      <c r="D3" s="186"/>
      <c r="E3" s="186"/>
      <c r="F3" s="186"/>
      <c r="G3" s="186"/>
      <c r="H3" s="186"/>
      <c r="I3" s="186"/>
      <c r="J3" s="284"/>
      <c r="K3" s="186"/>
      <c r="L3" s="186"/>
      <c r="M3" s="186"/>
      <c r="N3" s="186"/>
      <c r="O3" s="186"/>
      <c r="P3" s="186"/>
    </row>
    <row r="4" spans="1:16" s="278" customFormat="1">
      <c r="A4" s="284"/>
      <c r="B4" s="186"/>
      <c r="C4" s="186"/>
      <c r="D4" s="186"/>
      <c r="E4" s="186"/>
      <c r="F4" s="186"/>
      <c r="G4" s="186"/>
      <c r="J4" s="142"/>
    </row>
    <row r="5" spans="1:16" s="287" customFormat="1">
      <c r="A5" s="304" t="s">
        <v>282</v>
      </c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</row>
    <row r="6" spans="1:16" s="287" customFormat="1">
      <c r="A6" s="284"/>
      <c r="B6" s="186"/>
      <c r="C6" s="186"/>
      <c r="D6" s="186"/>
      <c r="E6" s="186"/>
      <c r="F6" s="186"/>
      <c r="G6" s="186"/>
      <c r="J6" s="142"/>
    </row>
    <row r="7" spans="1:16" s="278" customFormat="1">
      <c r="A7" s="306" t="s">
        <v>277</v>
      </c>
      <c r="B7" s="306"/>
      <c r="C7" s="306"/>
      <c r="D7" s="306"/>
      <c r="E7" s="306"/>
      <c r="F7" s="306"/>
      <c r="G7" s="306"/>
      <c r="H7" s="289"/>
      <c r="J7" s="307" t="s">
        <v>264</v>
      </c>
      <c r="K7" s="307"/>
      <c r="L7" s="307"/>
      <c r="M7" s="307"/>
      <c r="N7" s="307"/>
      <c r="O7" s="307"/>
      <c r="P7" s="307"/>
    </row>
    <row r="8" spans="1:16">
      <c r="A8" s="186"/>
      <c r="B8" s="186"/>
      <c r="C8" s="186"/>
      <c r="D8" s="186"/>
      <c r="E8" s="186"/>
      <c r="H8" s="289"/>
    </row>
    <row r="9" spans="1:16">
      <c r="A9" s="177" t="s">
        <v>167</v>
      </c>
      <c r="C9" s="176" t="s">
        <v>172</v>
      </c>
      <c r="E9" s="177" t="s">
        <v>169</v>
      </c>
      <c r="F9" s="177"/>
      <c r="G9" s="177" t="s">
        <v>170</v>
      </c>
      <c r="H9" s="289"/>
      <c r="J9" s="204" t="s">
        <v>167</v>
      </c>
      <c r="K9" s="204"/>
      <c r="L9" s="204" t="s">
        <v>172</v>
      </c>
      <c r="M9" s="204"/>
      <c r="N9" s="204" t="s">
        <v>169</v>
      </c>
      <c r="O9" s="204"/>
      <c r="P9" s="204" t="s">
        <v>170</v>
      </c>
    </row>
    <row r="10" spans="1:16" ht="19.899999999999999" customHeight="1">
      <c r="A10" s="139" t="s">
        <v>165</v>
      </c>
      <c r="B10" s="177"/>
      <c r="C10" s="139" t="s">
        <v>166</v>
      </c>
      <c r="D10" s="177"/>
      <c r="E10" s="134" t="s">
        <v>18</v>
      </c>
      <c r="F10" s="177"/>
      <c r="G10" s="178" t="s">
        <v>171</v>
      </c>
      <c r="H10" s="289"/>
      <c r="J10" s="205" t="s">
        <v>165</v>
      </c>
      <c r="K10" s="204"/>
      <c r="L10" s="205" t="s">
        <v>166</v>
      </c>
      <c r="M10" s="204"/>
      <c r="N10" s="205" t="s">
        <v>18</v>
      </c>
      <c r="O10" s="204"/>
      <c r="P10" s="205" t="s">
        <v>171</v>
      </c>
    </row>
    <row r="11" spans="1:16" ht="19.899999999999999" customHeight="1">
      <c r="A11" s="177"/>
      <c r="B11" s="177"/>
      <c r="C11" s="177"/>
      <c r="D11" s="177"/>
      <c r="E11" s="182"/>
      <c r="H11" s="289"/>
      <c r="J11" s="203"/>
      <c r="K11" s="203"/>
      <c r="L11" s="203"/>
      <c r="M11" s="203"/>
      <c r="N11" s="203"/>
      <c r="O11" s="203"/>
      <c r="P11" s="203"/>
    </row>
    <row r="12" spans="1:16" ht="19.899999999999999" customHeight="1">
      <c r="A12" s="176" t="s">
        <v>214</v>
      </c>
      <c r="C12" s="189">
        <v>0.43108750000000001</v>
      </c>
      <c r="D12" s="187"/>
      <c r="E12" s="188">
        <v>3.4599999999999999E-2</v>
      </c>
      <c r="F12" s="187"/>
      <c r="G12" s="194">
        <f>C12*E12</f>
        <v>1.49156275E-2</v>
      </c>
      <c r="H12" s="289"/>
      <c r="J12" s="233" t="s">
        <v>214</v>
      </c>
      <c r="K12" s="203"/>
      <c r="L12" s="136">
        <v>0.39439999999999997</v>
      </c>
      <c r="M12" s="203"/>
      <c r="N12" s="12">
        <v>3.4599999999999999E-2</v>
      </c>
      <c r="O12" s="203"/>
      <c r="P12" s="12">
        <f>L12*N12</f>
        <v>1.3646239999999999E-2</v>
      </c>
    </row>
    <row r="13" spans="1:16" s="243" customFormat="1" ht="19.899999999999999" customHeight="1">
      <c r="A13" s="243" t="s">
        <v>260</v>
      </c>
      <c r="C13" s="189">
        <v>5.5100000000000003E-2</v>
      </c>
      <c r="D13" s="187"/>
      <c r="E13" s="188">
        <v>3.3000000000000002E-2</v>
      </c>
      <c r="F13" s="187"/>
      <c r="G13" s="194">
        <f>C13*E13</f>
        <v>1.8183000000000001E-3</v>
      </c>
      <c r="H13" s="289"/>
      <c r="J13" s="243" t="s">
        <v>260</v>
      </c>
      <c r="L13" s="136">
        <v>5.5100000000000003E-2</v>
      </c>
      <c r="N13" s="12">
        <v>3.3000000000000002E-2</v>
      </c>
      <c r="P13" s="12">
        <f>L13*N13</f>
        <v>1.8183000000000001E-3</v>
      </c>
    </row>
    <row r="14" spans="1:16" ht="19.899999999999999" customHeight="1">
      <c r="A14" s="176" t="s">
        <v>215</v>
      </c>
      <c r="C14" s="191">
        <v>0.51381250000000001</v>
      </c>
      <c r="D14" s="187"/>
      <c r="E14" s="242">
        <v>9.2499999999999999E-2</v>
      </c>
      <c r="F14" s="187"/>
      <c r="G14" s="193">
        <f>C14*E14</f>
        <v>4.7527656250000001E-2</v>
      </c>
      <c r="H14" s="289"/>
      <c r="J14" s="233" t="s">
        <v>215</v>
      </c>
      <c r="K14" s="203"/>
      <c r="L14" s="215">
        <v>0.55049999999999999</v>
      </c>
      <c r="M14" s="203"/>
      <c r="N14" s="12">
        <v>0.1125</v>
      </c>
      <c r="O14" s="203"/>
      <c r="P14" s="216">
        <f>L14*N14</f>
        <v>6.193125E-2</v>
      </c>
    </row>
    <row r="15" spans="1:16" ht="19.899999999999999" customHeight="1">
      <c r="C15" s="187"/>
      <c r="D15" s="177"/>
      <c r="E15" s="7"/>
      <c r="G15" s="194"/>
      <c r="H15" s="289"/>
      <c r="J15" s="203"/>
      <c r="K15" s="203"/>
      <c r="L15" s="203"/>
      <c r="M15" s="203"/>
      <c r="N15" s="213"/>
      <c r="O15" s="203"/>
      <c r="P15" s="12"/>
    </row>
    <row r="16" spans="1:16">
      <c r="A16" s="177" t="s">
        <v>168</v>
      </c>
      <c r="B16" s="11"/>
      <c r="C16" s="190">
        <f>SUM(C12:C14)</f>
        <v>1</v>
      </c>
      <c r="D16" s="177"/>
      <c r="E16" s="185"/>
      <c r="G16" s="194">
        <f>SUM(G12:G14)</f>
        <v>6.4261583750000004E-2</v>
      </c>
      <c r="H16" s="289"/>
      <c r="J16" s="203" t="s">
        <v>168</v>
      </c>
      <c r="K16" s="203"/>
      <c r="L16" s="136">
        <f>SUM(L12:L14)</f>
        <v>1</v>
      </c>
      <c r="M16" s="203"/>
      <c r="N16" s="214"/>
      <c r="O16" s="203"/>
      <c r="P16" s="12">
        <f>SUM(P12:P14)</f>
        <v>7.7395789999999992E-2</v>
      </c>
    </row>
    <row r="18" spans="1:1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s="287" customFormat="1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</row>
    <row r="21" spans="1:16">
      <c r="A21" s="304" t="s">
        <v>281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</row>
    <row r="22" spans="1:16" s="278" customFormat="1">
      <c r="A22" s="283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</row>
    <row r="23" spans="1:16" s="278" customFormat="1">
      <c r="A23" s="305" t="s">
        <v>277</v>
      </c>
      <c r="B23" s="305"/>
      <c r="C23" s="305"/>
      <c r="D23" s="305"/>
      <c r="E23" s="305"/>
      <c r="F23" s="305"/>
      <c r="G23" s="305"/>
      <c r="H23" s="290"/>
      <c r="I23" s="283"/>
      <c r="J23" s="305" t="s">
        <v>264</v>
      </c>
      <c r="K23" s="305"/>
      <c r="L23" s="305"/>
      <c r="M23" s="305"/>
      <c r="N23" s="305"/>
      <c r="O23" s="305"/>
      <c r="P23" s="305"/>
    </row>
    <row r="24" spans="1:16">
      <c r="A24" s="278"/>
      <c r="B24" s="278"/>
      <c r="C24" s="278"/>
      <c r="D24" s="278"/>
      <c r="E24" s="278"/>
      <c r="F24" s="278"/>
      <c r="G24" s="278"/>
      <c r="H24" s="289"/>
      <c r="I24" s="278"/>
      <c r="J24" s="278"/>
      <c r="K24" s="278"/>
      <c r="L24" s="278"/>
      <c r="M24" s="278"/>
      <c r="N24" s="278"/>
      <c r="O24" s="278"/>
      <c r="P24" s="278"/>
    </row>
    <row r="25" spans="1:16">
      <c r="A25" s="279" t="s">
        <v>167</v>
      </c>
      <c r="B25" s="279"/>
      <c r="C25" s="279" t="s">
        <v>172</v>
      </c>
      <c r="D25" s="279"/>
      <c r="E25" s="279" t="s">
        <v>169</v>
      </c>
      <c r="F25" s="279"/>
      <c r="G25" s="279" t="s">
        <v>170</v>
      </c>
      <c r="H25" s="289"/>
      <c r="I25" s="278"/>
      <c r="J25" s="279" t="s">
        <v>167</v>
      </c>
      <c r="K25" s="279"/>
      <c r="L25" s="279" t="s">
        <v>172</v>
      </c>
      <c r="M25" s="279"/>
      <c r="N25" s="279" t="s">
        <v>169</v>
      </c>
      <c r="O25" s="279"/>
      <c r="P25" s="279" t="s">
        <v>170</v>
      </c>
    </row>
    <row r="26" spans="1:16">
      <c r="A26" s="280" t="s">
        <v>165</v>
      </c>
      <c r="B26" s="279"/>
      <c r="C26" s="280" t="s">
        <v>166</v>
      </c>
      <c r="D26" s="279"/>
      <c r="E26" s="280" t="s">
        <v>18</v>
      </c>
      <c r="F26" s="279"/>
      <c r="G26" s="280" t="s">
        <v>171</v>
      </c>
      <c r="H26" s="289"/>
      <c r="I26" s="278"/>
      <c r="J26" s="280" t="s">
        <v>165</v>
      </c>
      <c r="K26" s="279"/>
      <c r="L26" s="280" t="s">
        <v>166</v>
      </c>
      <c r="M26" s="279"/>
      <c r="N26" s="280" t="s">
        <v>18</v>
      </c>
      <c r="O26" s="279"/>
      <c r="P26" s="280" t="s">
        <v>171</v>
      </c>
    </row>
    <row r="27" spans="1:16">
      <c r="A27" s="278"/>
      <c r="B27" s="278"/>
      <c r="C27" s="278"/>
      <c r="D27" s="278"/>
      <c r="E27" s="278"/>
      <c r="F27" s="278"/>
      <c r="G27" s="278"/>
      <c r="H27" s="289"/>
      <c r="I27" s="278"/>
      <c r="J27" s="278"/>
      <c r="K27" s="278"/>
      <c r="L27" s="278"/>
      <c r="M27" s="278"/>
      <c r="N27" s="278"/>
      <c r="O27" s="278"/>
      <c r="P27" s="278"/>
    </row>
    <row r="28" spans="1:16">
      <c r="A28" s="278" t="s">
        <v>215</v>
      </c>
      <c r="B28" s="278"/>
      <c r="C28" s="285">
        <v>0.3967</v>
      </c>
      <c r="D28" s="278"/>
      <c r="E28" s="286">
        <v>9.2499999999999999E-2</v>
      </c>
      <c r="F28" s="278"/>
      <c r="G28" s="12">
        <f>C28*E28</f>
        <v>3.6694749999999998E-2</v>
      </c>
      <c r="H28" s="289"/>
      <c r="I28" s="278"/>
      <c r="J28" s="278" t="s">
        <v>215</v>
      </c>
      <c r="K28" s="278"/>
      <c r="L28" s="281">
        <v>0.45143</v>
      </c>
      <c r="M28" s="278"/>
      <c r="N28" s="12">
        <v>0.1125</v>
      </c>
      <c r="O28" s="278"/>
      <c r="P28" s="12">
        <f>L28*N28</f>
        <v>5.0785875000000001E-2</v>
      </c>
    </row>
    <row r="29" spans="1:16">
      <c r="A29" s="278" t="s">
        <v>270</v>
      </c>
      <c r="B29" s="278"/>
      <c r="C29" s="285">
        <v>0.38129999999999997</v>
      </c>
      <c r="D29" s="278"/>
      <c r="E29" s="12">
        <v>3.4799999999999998E-2</v>
      </c>
      <c r="F29" s="278"/>
      <c r="G29" s="12">
        <f>C29*E29</f>
        <v>1.3269239999999998E-2</v>
      </c>
      <c r="H29" s="289"/>
      <c r="I29" s="278"/>
      <c r="J29" s="278" t="s">
        <v>270</v>
      </c>
      <c r="K29" s="278"/>
      <c r="L29" s="281">
        <v>0.3266</v>
      </c>
      <c r="M29" s="278"/>
      <c r="N29" s="12">
        <v>3.4799999999999998E-2</v>
      </c>
      <c r="O29" s="278"/>
      <c r="P29" s="12">
        <f>L29*N29</f>
        <v>1.136568E-2</v>
      </c>
    </row>
    <row r="30" spans="1:16">
      <c r="A30" s="278" t="s">
        <v>271</v>
      </c>
      <c r="B30" s="278"/>
      <c r="C30" s="281">
        <v>4.5699999999999998E-2</v>
      </c>
      <c r="D30" s="278"/>
      <c r="E30" s="12">
        <v>3.2800000000000003E-2</v>
      </c>
      <c r="F30" s="278"/>
      <c r="G30" s="12">
        <f>C30*E30</f>
        <v>1.4989600000000001E-3</v>
      </c>
      <c r="H30" s="289"/>
      <c r="I30" s="278"/>
      <c r="J30" s="278" t="s">
        <v>271</v>
      </c>
      <c r="K30" s="278"/>
      <c r="L30" s="281">
        <v>4.5699999999999998E-2</v>
      </c>
      <c r="M30" s="278"/>
      <c r="N30" s="12">
        <v>3.2800000000000003E-2</v>
      </c>
      <c r="O30" s="278"/>
      <c r="P30" s="12">
        <f>L30*N30</f>
        <v>1.4989600000000001E-3</v>
      </c>
    </row>
    <row r="31" spans="1:16">
      <c r="A31" s="278" t="s">
        <v>272</v>
      </c>
      <c r="B31" s="278"/>
      <c r="C31" s="281">
        <v>2.3699999999999999E-2</v>
      </c>
      <c r="D31" s="278"/>
      <c r="E31" s="12">
        <v>2.3699999999999999E-2</v>
      </c>
      <c r="F31" s="278"/>
      <c r="G31" s="12">
        <f t="shared" ref="G31" si="0">C31*E31</f>
        <v>5.6169E-4</v>
      </c>
      <c r="H31" s="289"/>
      <c r="I31" s="278"/>
      <c r="J31" s="278" t="s">
        <v>272</v>
      </c>
      <c r="K31" s="278"/>
      <c r="L31" s="281">
        <v>2.3699999999999999E-2</v>
      </c>
      <c r="M31" s="278"/>
      <c r="N31" s="12">
        <v>2.3699999999999999E-2</v>
      </c>
      <c r="O31" s="278"/>
      <c r="P31" s="12">
        <f t="shared" ref="P31" si="1">L31*N31</f>
        <v>5.6169E-4</v>
      </c>
    </row>
    <row r="32" spans="1:16">
      <c r="A32" s="278" t="s">
        <v>273</v>
      </c>
      <c r="B32" s="278"/>
      <c r="C32" s="281">
        <v>9.2700000000000005E-2</v>
      </c>
      <c r="D32" s="278"/>
      <c r="E32" s="12"/>
      <c r="F32" s="278"/>
      <c r="G32" s="12"/>
      <c r="H32" s="289"/>
      <c r="I32" s="278"/>
      <c r="J32" s="278" t="s">
        <v>273</v>
      </c>
      <c r="K32" s="278"/>
      <c r="L32" s="281">
        <v>9.2700000000000005E-2</v>
      </c>
      <c r="M32" s="278"/>
      <c r="N32" s="12"/>
      <c r="O32" s="278"/>
      <c r="P32" s="12"/>
    </row>
    <row r="33" spans="1:16">
      <c r="A33" s="278" t="s">
        <v>274</v>
      </c>
      <c r="B33" s="278"/>
      <c r="C33" s="281">
        <v>2.0000000000000001E-4</v>
      </c>
      <c r="D33" s="278"/>
      <c r="E33" s="12"/>
      <c r="F33" s="278"/>
      <c r="G33" s="12"/>
      <c r="H33" s="289"/>
      <c r="I33" s="278"/>
      <c r="J33" s="278" t="s">
        <v>274</v>
      </c>
      <c r="K33" s="278"/>
      <c r="L33" s="281">
        <v>2.0000000000000001E-4</v>
      </c>
      <c r="M33" s="278"/>
      <c r="N33" s="12"/>
      <c r="O33" s="278"/>
      <c r="P33" s="12"/>
    </row>
    <row r="34" spans="1:16">
      <c r="A34" s="278" t="s">
        <v>275</v>
      </c>
      <c r="B34" s="278"/>
      <c r="C34" s="281">
        <v>5.9799999999999999E-2</v>
      </c>
      <c r="D34" s="278"/>
      <c r="E34" s="12"/>
      <c r="F34" s="278"/>
      <c r="G34" s="12"/>
      <c r="H34" s="289"/>
      <c r="I34" s="278"/>
      <c r="J34" s="278" t="s">
        <v>275</v>
      </c>
      <c r="K34" s="278"/>
      <c r="L34" s="281">
        <v>5.9799999999999999E-2</v>
      </c>
      <c r="M34" s="278"/>
      <c r="N34" s="12"/>
      <c r="O34" s="278"/>
      <c r="P34" s="12"/>
    </row>
    <row r="35" spans="1:16">
      <c r="A35" s="278" t="s">
        <v>276</v>
      </c>
      <c r="B35" s="278"/>
      <c r="C35" s="282">
        <v>1E-4</v>
      </c>
      <c r="D35" s="278"/>
      <c r="E35" s="216"/>
      <c r="F35" s="278"/>
      <c r="G35" s="216"/>
      <c r="H35" s="289"/>
      <c r="I35" s="278"/>
      <c r="J35" s="278" t="s">
        <v>276</v>
      </c>
      <c r="K35" s="278"/>
      <c r="L35" s="282">
        <v>1E-4</v>
      </c>
      <c r="M35" s="278"/>
      <c r="N35" s="216"/>
      <c r="O35" s="278"/>
      <c r="P35" s="216"/>
    </row>
    <row r="36" spans="1:16">
      <c r="A36" s="278"/>
      <c r="B36" s="278"/>
      <c r="C36" s="278"/>
      <c r="D36" s="278"/>
      <c r="E36" s="213"/>
      <c r="F36" s="278"/>
      <c r="G36" s="12"/>
      <c r="H36" s="289"/>
      <c r="I36" s="278"/>
      <c r="J36" s="278"/>
      <c r="K36" s="278"/>
      <c r="L36" s="278"/>
      <c r="M36" s="278"/>
      <c r="N36" s="213"/>
      <c r="O36" s="278"/>
      <c r="P36" s="12"/>
    </row>
    <row r="37" spans="1:16">
      <c r="A37" s="278" t="s">
        <v>168</v>
      </c>
      <c r="B37" s="278"/>
      <c r="C37" s="136">
        <f>SUM(C28:C35)</f>
        <v>1.0002</v>
      </c>
      <c r="D37" s="136"/>
      <c r="E37" s="136"/>
      <c r="F37" s="136"/>
      <c r="G37" s="286">
        <f t="shared" ref="G37" si="2">SUM(G28:G35)</f>
        <v>5.2024639999999997E-2</v>
      </c>
      <c r="H37" s="289"/>
      <c r="I37" s="278"/>
      <c r="J37" s="278" t="s">
        <v>168</v>
      </c>
      <c r="K37" s="278"/>
      <c r="L37" s="136">
        <f>SUM(L28:L35)</f>
        <v>1.00023</v>
      </c>
      <c r="M37" s="136"/>
      <c r="N37" s="136"/>
      <c r="O37" s="136"/>
      <c r="P37" s="12">
        <f t="shared" ref="P37" si="3">SUM(P28:P35)</f>
        <v>6.4212204999999994E-2</v>
      </c>
    </row>
    <row r="38" spans="1:16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mergeCells count="6">
    <mergeCell ref="A5:P5"/>
    <mergeCell ref="A21:P21"/>
    <mergeCell ref="A23:G23"/>
    <mergeCell ref="J23:P23"/>
    <mergeCell ref="A7:G7"/>
    <mergeCell ref="J7:P7"/>
  </mergeCells>
  <printOptions horizontalCentered="1"/>
  <pageMargins left="0.7" right="0.7" top="0.75" bottom="0.75" header="0.3" footer="0.3"/>
  <pageSetup scale="87" orientation="landscape" r:id="rId1"/>
  <headerFooter scaleWithDoc="0">
    <oddHeader>&amp;C&amp;"-,Bold"&amp;14Weighted Average Rate of Return Proposal&amp;R&amp;10Docket No. 20220067-GU
FPUC Petition
Exhibit DJG-17
Page &amp;P of 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4:B13"/>
  <sheetViews>
    <sheetView zoomScale="80" zoomScaleNormal="80" workbookViewId="0"/>
  </sheetViews>
  <sheetFormatPr defaultColWidth="8.85546875" defaultRowHeight="15"/>
  <cols>
    <col min="1" max="1" width="38" style="233" bestFit="1" customWidth="1"/>
    <col min="2" max="2" width="5.85546875" style="233" bestFit="1" customWidth="1"/>
    <col min="3" max="16384" width="8.85546875" style="233"/>
  </cols>
  <sheetData>
    <row r="4" spans="1:2">
      <c r="A4" s="118" t="s">
        <v>61</v>
      </c>
      <c r="B4" s="119" t="s">
        <v>85</v>
      </c>
    </row>
    <row r="5" spans="1:2" ht="15.75">
      <c r="A5" s="120" t="s">
        <v>112</v>
      </c>
      <c r="B5" s="121">
        <v>0.89</v>
      </c>
    </row>
    <row r="6" spans="1:2" ht="15.75">
      <c r="A6" s="120" t="s">
        <v>231</v>
      </c>
      <c r="B6" s="121">
        <v>1.08</v>
      </c>
    </row>
    <row r="7" spans="1:2" ht="15.75">
      <c r="A7" s="120" t="s">
        <v>140</v>
      </c>
      <c r="B7" s="121">
        <v>1.44</v>
      </c>
    </row>
    <row r="8" spans="1:2" ht="15.75">
      <c r="A8" s="120" t="s">
        <v>232</v>
      </c>
      <c r="B8" s="121">
        <v>1.59</v>
      </c>
    </row>
    <row r="9" spans="1:2" ht="15.75">
      <c r="A9" s="120" t="s">
        <v>233</v>
      </c>
      <c r="B9" s="121">
        <v>1.79</v>
      </c>
    </row>
    <row r="10" spans="1:2" ht="15.75">
      <c r="A10" s="120"/>
    </row>
    <row r="11" spans="1:2" ht="15.75">
      <c r="A11" s="120"/>
    </row>
    <row r="13" spans="1:2" ht="15.75">
      <c r="A13" s="122" t="s">
        <v>86</v>
      </c>
    </row>
  </sheetData>
  <pageMargins left="0.7" right="0.7" top="0.75" bottom="0.75" header="0.3" footer="0.3"/>
  <pageSetup orientation="landscape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2:E512"/>
  <sheetViews>
    <sheetView workbookViewId="0"/>
  </sheetViews>
  <sheetFormatPr defaultRowHeight="15"/>
  <cols>
    <col min="1" max="2" width="9.7109375" customWidth="1"/>
  </cols>
  <sheetData>
    <row r="2" spans="1:5">
      <c r="A2" s="142"/>
      <c r="B2" s="142"/>
      <c r="C2" s="142"/>
      <c r="D2" s="142"/>
    </row>
    <row r="4" spans="1:5">
      <c r="A4" t="s">
        <v>31</v>
      </c>
      <c r="C4" s="136">
        <f>'11 CAPM Result'!A9</f>
        <v>3.2163333333333335E-2</v>
      </c>
    </row>
    <row r="5" spans="1:5">
      <c r="A5" t="s">
        <v>87</v>
      </c>
      <c r="C5" s="136">
        <f>'11 CAPM Result'!E9</f>
        <v>5.5969646649008283E-2</v>
      </c>
    </row>
    <row r="6" spans="1:5">
      <c r="A6" t="s">
        <v>52</v>
      </c>
      <c r="C6" s="10">
        <f>'11 CAPM Result'!C9</f>
        <v>0.83125000000000004</v>
      </c>
    </row>
    <row r="7" spans="1:5">
      <c r="A7" t="s">
        <v>98</v>
      </c>
      <c r="C7" s="14">
        <f>'11 CAPM Result'!H9</f>
        <v>7.868810211032147E-2</v>
      </c>
    </row>
    <row r="9" spans="1:5">
      <c r="A9" s="1" t="s">
        <v>88</v>
      </c>
      <c r="B9" s="1" t="s">
        <v>89</v>
      </c>
      <c r="C9" s="1" t="s">
        <v>90</v>
      </c>
    </row>
    <row r="10" spans="1:5">
      <c r="A10" s="10">
        <v>0</v>
      </c>
      <c r="B10" s="123">
        <f>A10*$C$5+$C$4</f>
        <v>3.2163333333333335E-2</v>
      </c>
      <c r="C10" s="123">
        <f>$B$12</f>
        <v>7.868810211032147E-2</v>
      </c>
      <c r="D10" s="123">
        <f>$A$12</f>
        <v>0.83125000000000004</v>
      </c>
      <c r="E10" s="123">
        <v>0</v>
      </c>
    </row>
    <row r="11" spans="1:5">
      <c r="A11" s="10">
        <v>0.5</v>
      </c>
      <c r="B11" s="123">
        <f t="shared" ref="B11:B13" si="0">A11*$C$5+$C$4</f>
        <v>6.0148156657837473E-2</v>
      </c>
      <c r="C11" s="123">
        <f t="shared" ref="C11:C12" si="1">$B$12</f>
        <v>7.868810211032147E-2</v>
      </c>
      <c r="D11" s="123">
        <f>$A$12</f>
        <v>0.83125000000000004</v>
      </c>
      <c r="E11" s="123">
        <f>$C$10</f>
        <v>7.868810211032147E-2</v>
      </c>
    </row>
    <row r="12" spans="1:5">
      <c r="A12" s="124">
        <f>C6</f>
        <v>0.83125000000000004</v>
      </c>
      <c r="B12" s="125">
        <f t="shared" si="0"/>
        <v>7.868810211032147E-2</v>
      </c>
      <c r="C12" s="123">
        <f t="shared" si="1"/>
        <v>7.868810211032147E-2</v>
      </c>
    </row>
    <row r="13" spans="1:5">
      <c r="A13" s="10">
        <v>1</v>
      </c>
      <c r="B13" s="123">
        <f t="shared" si="0"/>
        <v>8.8132979982341625E-2</v>
      </c>
      <c r="C13" s="123"/>
    </row>
    <row r="14" spans="1:5">
      <c r="A14" s="10"/>
      <c r="B14" s="123"/>
      <c r="C14" s="123"/>
    </row>
    <row r="15" spans="1:5">
      <c r="A15" s="123"/>
      <c r="B15" s="123"/>
    </row>
    <row r="16" spans="1:5">
      <c r="A16" s="123"/>
      <c r="B16" s="123"/>
    </row>
    <row r="20" spans="1:2">
      <c r="A20" s="123"/>
      <c r="B20" s="123"/>
    </row>
    <row r="21" spans="1:2">
      <c r="A21" s="123"/>
      <c r="B21" s="123"/>
    </row>
    <row r="22" spans="1:2">
      <c r="A22" s="123"/>
      <c r="B22" s="123"/>
    </row>
    <row r="23" spans="1:2">
      <c r="A23" s="123"/>
      <c r="B23" s="123"/>
    </row>
    <row r="24" spans="1:2">
      <c r="A24" s="123"/>
      <c r="B24" s="123"/>
    </row>
    <row r="25" spans="1:2">
      <c r="A25" s="123"/>
      <c r="B25" s="123"/>
    </row>
    <row r="26" spans="1:2">
      <c r="A26" s="123"/>
      <c r="B26" s="123"/>
    </row>
    <row r="27" spans="1:2">
      <c r="A27" s="123"/>
      <c r="B27" s="123"/>
    </row>
    <row r="28" spans="1:2">
      <c r="A28" s="123"/>
      <c r="B28" s="123"/>
    </row>
    <row r="29" spans="1:2">
      <c r="A29" s="123"/>
      <c r="B29" s="123"/>
    </row>
    <row r="30" spans="1:2">
      <c r="A30" s="123"/>
      <c r="B30" s="123"/>
    </row>
    <row r="31" spans="1:2">
      <c r="A31" s="123"/>
      <c r="B31" s="123"/>
    </row>
    <row r="32" spans="1:2">
      <c r="A32" s="123"/>
      <c r="B32" s="123"/>
    </row>
    <row r="33" spans="1:2">
      <c r="A33" s="123"/>
      <c r="B33" s="123"/>
    </row>
    <row r="34" spans="1:2">
      <c r="A34" s="123"/>
      <c r="B34" s="123"/>
    </row>
    <row r="35" spans="1:2">
      <c r="A35" s="123"/>
      <c r="B35" s="123"/>
    </row>
    <row r="36" spans="1:2">
      <c r="A36" s="123"/>
      <c r="B36" s="123"/>
    </row>
    <row r="37" spans="1:2">
      <c r="A37" s="123"/>
      <c r="B37" s="123"/>
    </row>
    <row r="38" spans="1:2">
      <c r="A38" s="123"/>
      <c r="B38" s="123"/>
    </row>
    <row r="39" spans="1:2">
      <c r="A39" s="123"/>
      <c r="B39" s="123"/>
    </row>
    <row r="40" spans="1:2">
      <c r="A40" s="123"/>
      <c r="B40" s="123"/>
    </row>
    <row r="41" spans="1:2">
      <c r="A41" s="123"/>
      <c r="B41" s="123"/>
    </row>
    <row r="42" spans="1:2">
      <c r="A42" s="123"/>
      <c r="B42" s="123"/>
    </row>
    <row r="43" spans="1:2">
      <c r="A43" s="123"/>
      <c r="B43" s="123"/>
    </row>
    <row r="44" spans="1:2">
      <c r="A44" s="123"/>
      <c r="B44" s="123"/>
    </row>
    <row r="45" spans="1:2">
      <c r="A45" s="123"/>
      <c r="B45" s="123"/>
    </row>
    <row r="46" spans="1:2">
      <c r="A46" s="123"/>
      <c r="B46" s="123"/>
    </row>
    <row r="47" spans="1:2">
      <c r="A47" s="123"/>
      <c r="B47" s="123"/>
    </row>
    <row r="48" spans="1:2">
      <c r="A48" s="123"/>
      <c r="B48" s="123"/>
    </row>
    <row r="49" spans="1:2">
      <c r="A49" s="123"/>
      <c r="B49" s="123"/>
    </row>
    <row r="50" spans="1:2">
      <c r="A50" s="123"/>
      <c r="B50" s="123"/>
    </row>
    <row r="51" spans="1:2">
      <c r="A51" s="123"/>
      <c r="B51" s="123"/>
    </row>
    <row r="52" spans="1:2">
      <c r="A52" s="123"/>
      <c r="B52" s="123"/>
    </row>
    <row r="53" spans="1:2">
      <c r="A53" s="123"/>
      <c r="B53" s="123"/>
    </row>
    <row r="54" spans="1:2">
      <c r="A54" s="123"/>
      <c r="B54" s="123"/>
    </row>
    <row r="55" spans="1:2">
      <c r="A55" s="123"/>
      <c r="B55" s="123"/>
    </row>
    <row r="56" spans="1:2">
      <c r="A56" s="123"/>
      <c r="B56" s="123"/>
    </row>
    <row r="57" spans="1:2">
      <c r="A57" s="123"/>
      <c r="B57" s="123"/>
    </row>
    <row r="58" spans="1:2">
      <c r="A58" s="123"/>
      <c r="B58" s="123"/>
    </row>
    <row r="59" spans="1:2">
      <c r="A59" s="123"/>
      <c r="B59" s="123"/>
    </row>
    <row r="60" spans="1:2">
      <c r="A60" s="123"/>
      <c r="B60" s="123"/>
    </row>
    <row r="61" spans="1:2">
      <c r="A61" s="123"/>
      <c r="B61" s="123"/>
    </row>
    <row r="62" spans="1:2">
      <c r="A62" s="123"/>
      <c r="B62" s="123"/>
    </row>
    <row r="63" spans="1:2">
      <c r="A63" s="123"/>
      <c r="B63" s="123"/>
    </row>
    <row r="64" spans="1:2">
      <c r="A64" s="123"/>
      <c r="B64" s="123"/>
    </row>
    <row r="65" spans="1:2">
      <c r="A65" s="123"/>
      <c r="B65" s="123"/>
    </row>
    <row r="66" spans="1:2">
      <c r="A66" s="123"/>
      <c r="B66" s="123"/>
    </row>
    <row r="67" spans="1:2">
      <c r="A67" s="123"/>
      <c r="B67" s="123"/>
    </row>
    <row r="68" spans="1:2">
      <c r="A68" s="123"/>
      <c r="B68" s="123"/>
    </row>
    <row r="69" spans="1:2">
      <c r="A69" s="123"/>
      <c r="B69" s="123"/>
    </row>
    <row r="70" spans="1:2">
      <c r="A70" s="123"/>
      <c r="B70" s="123"/>
    </row>
    <row r="71" spans="1:2">
      <c r="A71" s="123"/>
      <c r="B71" s="123"/>
    </row>
    <row r="72" spans="1:2">
      <c r="A72" s="123"/>
      <c r="B72" s="123"/>
    </row>
    <row r="73" spans="1:2">
      <c r="A73" s="123"/>
      <c r="B73" s="123"/>
    </row>
    <row r="74" spans="1:2">
      <c r="A74" s="123"/>
      <c r="B74" s="123"/>
    </row>
    <row r="75" spans="1:2">
      <c r="A75" s="123"/>
      <c r="B75" s="123"/>
    </row>
    <row r="76" spans="1:2">
      <c r="A76" s="123"/>
      <c r="B76" s="123"/>
    </row>
    <row r="77" spans="1:2">
      <c r="A77" s="123"/>
      <c r="B77" s="123"/>
    </row>
    <row r="78" spans="1:2">
      <c r="A78" s="123"/>
      <c r="B78" s="123"/>
    </row>
    <row r="79" spans="1:2">
      <c r="A79" s="123"/>
      <c r="B79" s="123"/>
    </row>
    <row r="80" spans="1:2">
      <c r="A80" s="123"/>
      <c r="B80" s="123"/>
    </row>
    <row r="81" spans="1:2">
      <c r="A81" s="123"/>
      <c r="B81" s="123"/>
    </row>
    <row r="82" spans="1:2">
      <c r="A82" s="123"/>
      <c r="B82" s="123"/>
    </row>
    <row r="83" spans="1:2">
      <c r="A83" s="123"/>
      <c r="B83" s="123"/>
    </row>
    <row r="84" spans="1:2">
      <c r="A84" s="123"/>
      <c r="B84" s="123"/>
    </row>
    <row r="85" spans="1:2">
      <c r="A85" s="123"/>
      <c r="B85" s="123"/>
    </row>
    <row r="86" spans="1:2">
      <c r="A86" s="123"/>
      <c r="B86" s="123"/>
    </row>
    <row r="87" spans="1:2">
      <c r="A87" s="123"/>
      <c r="B87" s="123"/>
    </row>
    <row r="88" spans="1:2">
      <c r="A88" s="123"/>
      <c r="B88" s="123"/>
    </row>
    <row r="89" spans="1:2">
      <c r="A89" s="123"/>
      <c r="B89" s="123"/>
    </row>
    <row r="90" spans="1:2">
      <c r="A90" s="123"/>
      <c r="B90" s="123"/>
    </row>
    <row r="91" spans="1:2">
      <c r="A91" s="123"/>
      <c r="B91" s="123"/>
    </row>
    <row r="92" spans="1:2">
      <c r="A92" s="123"/>
      <c r="B92" s="123"/>
    </row>
    <row r="93" spans="1:2">
      <c r="A93" s="123"/>
      <c r="B93" s="123"/>
    </row>
    <row r="94" spans="1:2">
      <c r="A94" s="123"/>
      <c r="B94" s="123"/>
    </row>
    <row r="95" spans="1:2">
      <c r="A95" s="123"/>
      <c r="B95" s="123"/>
    </row>
    <row r="96" spans="1:2">
      <c r="A96" s="123"/>
      <c r="B96" s="123"/>
    </row>
    <row r="97" spans="1:2">
      <c r="A97" s="123"/>
      <c r="B97" s="123"/>
    </row>
    <row r="98" spans="1:2">
      <c r="A98" s="123"/>
      <c r="B98" s="123"/>
    </row>
    <row r="99" spans="1:2">
      <c r="A99" s="123"/>
      <c r="B99" s="123"/>
    </row>
    <row r="100" spans="1:2">
      <c r="A100" s="123"/>
      <c r="B100" s="123"/>
    </row>
    <row r="101" spans="1:2">
      <c r="A101" s="123"/>
      <c r="B101" s="123"/>
    </row>
    <row r="102" spans="1:2">
      <c r="A102" s="123"/>
      <c r="B102" s="123"/>
    </row>
    <row r="103" spans="1:2">
      <c r="A103" s="123"/>
      <c r="B103" s="123"/>
    </row>
    <row r="104" spans="1:2">
      <c r="A104" s="123"/>
      <c r="B104" s="123"/>
    </row>
    <row r="105" spans="1:2">
      <c r="A105" s="123"/>
      <c r="B105" s="123"/>
    </row>
    <row r="106" spans="1:2">
      <c r="A106" s="123"/>
      <c r="B106" s="123"/>
    </row>
    <row r="107" spans="1:2">
      <c r="A107" s="123"/>
      <c r="B107" s="123"/>
    </row>
    <row r="108" spans="1:2">
      <c r="A108" s="123"/>
      <c r="B108" s="123"/>
    </row>
    <row r="109" spans="1:2">
      <c r="A109" s="123"/>
      <c r="B109" s="123"/>
    </row>
    <row r="110" spans="1:2">
      <c r="A110" s="123"/>
      <c r="B110" s="123"/>
    </row>
    <row r="111" spans="1:2">
      <c r="A111" s="123"/>
      <c r="B111" s="123"/>
    </row>
    <row r="112" spans="1:2">
      <c r="A112" s="123"/>
      <c r="B112" s="123"/>
    </row>
    <row r="113" spans="1:2">
      <c r="A113" s="123"/>
      <c r="B113" s="123"/>
    </row>
    <row r="114" spans="1:2">
      <c r="A114" s="123"/>
      <c r="B114" s="123"/>
    </row>
    <row r="115" spans="1:2">
      <c r="A115" s="123"/>
      <c r="B115" s="123"/>
    </row>
    <row r="116" spans="1:2">
      <c r="A116" s="123"/>
      <c r="B116" s="123"/>
    </row>
    <row r="117" spans="1:2">
      <c r="A117" s="123"/>
      <c r="B117" s="123"/>
    </row>
    <row r="118" spans="1:2">
      <c r="A118" s="123"/>
      <c r="B118" s="123"/>
    </row>
    <row r="119" spans="1:2">
      <c r="A119" s="123"/>
      <c r="B119" s="123"/>
    </row>
    <row r="120" spans="1:2">
      <c r="A120" s="123"/>
      <c r="B120" s="123"/>
    </row>
    <row r="121" spans="1:2">
      <c r="A121" s="123"/>
      <c r="B121" s="123"/>
    </row>
    <row r="122" spans="1:2">
      <c r="A122" s="123"/>
      <c r="B122" s="123"/>
    </row>
    <row r="123" spans="1:2">
      <c r="A123" s="123"/>
      <c r="B123" s="123"/>
    </row>
    <row r="124" spans="1:2">
      <c r="A124" s="123"/>
      <c r="B124" s="123"/>
    </row>
    <row r="125" spans="1:2">
      <c r="A125" s="123"/>
      <c r="B125" s="123"/>
    </row>
    <row r="126" spans="1:2">
      <c r="A126" s="123"/>
      <c r="B126" s="123"/>
    </row>
    <row r="127" spans="1:2">
      <c r="A127" s="123"/>
      <c r="B127" s="123"/>
    </row>
    <row r="128" spans="1:2">
      <c r="A128" s="123"/>
      <c r="B128" s="123"/>
    </row>
    <row r="129" spans="1:2">
      <c r="A129" s="123"/>
      <c r="B129" s="123"/>
    </row>
    <row r="130" spans="1:2">
      <c r="A130" s="123"/>
      <c r="B130" s="123"/>
    </row>
    <row r="131" spans="1:2">
      <c r="A131" s="123"/>
      <c r="B131" s="123"/>
    </row>
    <row r="132" spans="1:2">
      <c r="A132" s="123"/>
      <c r="B132" s="123"/>
    </row>
    <row r="133" spans="1:2">
      <c r="A133" s="123"/>
      <c r="B133" s="123"/>
    </row>
    <row r="134" spans="1:2">
      <c r="A134" s="123"/>
      <c r="B134" s="123"/>
    </row>
    <row r="135" spans="1:2">
      <c r="A135" s="123"/>
      <c r="B135" s="123"/>
    </row>
    <row r="136" spans="1:2">
      <c r="A136" s="123"/>
      <c r="B136" s="123"/>
    </row>
    <row r="137" spans="1:2">
      <c r="A137" s="123"/>
      <c r="B137" s="123"/>
    </row>
    <row r="138" spans="1:2">
      <c r="A138" s="123"/>
      <c r="B138" s="123"/>
    </row>
    <row r="139" spans="1:2">
      <c r="A139" s="123"/>
      <c r="B139" s="123"/>
    </row>
    <row r="140" spans="1:2">
      <c r="A140" s="123"/>
      <c r="B140" s="123"/>
    </row>
    <row r="141" spans="1:2">
      <c r="A141" s="123"/>
      <c r="B141" s="123"/>
    </row>
    <row r="142" spans="1:2">
      <c r="A142" s="123"/>
      <c r="B142" s="123"/>
    </row>
    <row r="143" spans="1:2">
      <c r="A143" s="123"/>
      <c r="B143" s="123"/>
    </row>
    <row r="144" spans="1:2">
      <c r="A144" s="123"/>
      <c r="B144" s="123"/>
    </row>
    <row r="145" spans="1:2">
      <c r="A145" s="123"/>
      <c r="B145" s="123"/>
    </row>
    <row r="146" spans="1:2">
      <c r="A146" s="123"/>
      <c r="B146" s="123"/>
    </row>
    <row r="147" spans="1:2">
      <c r="A147" s="123"/>
      <c r="B147" s="123"/>
    </row>
    <row r="148" spans="1:2">
      <c r="A148" s="123"/>
      <c r="B148" s="123"/>
    </row>
    <row r="149" spans="1:2">
      <c r="A149" s="123"/>
      <c r="B149" s="123"/>
    </row>
    <row r="150" spans="1:2">
      <c r="A150" s="123"/>
      <c r="B150" s="123"/>
    </row>
    <row r="151" spans="1:2">
      <c r="A151" s="123"/>
      <c r="B151" s="123"/>
    </row>
    <row r="152" spans="1:2">
      <c r="A152" s="123"/>
      <c r="B152" s="123"/>
    </row>
    <row r="153" spans="1:2">
      <c r="A153" s="123"/>
      <c r="B153" s="123"/>
    </row>
    <row r="154" spans="1:2">
      <c r="A154" s="123"/>
      <c r="B154" s="123"/>
    </row>
    <row r="155" spans="1:2">
      <c r="A155" s="123"/>
      <c r="B155" s="123"/>
    </row>
    <row r="156" spans="1:2">
      <c r="A156" s="123"/>
      <c r="B156" s="123"/>
    </row>
    <row r="157" spans="1:2">
      <c r="A157" s="123"/>
      <c r="B157" s="123"/>
    </row>
    <row r="158" spans="1:2">
      <c r="A158" s="123"/>
      <c r="B158" s="123"/>
    </row>
    <row r="159" spans="1:2">
      <c r="A159" s="123"/>
      <c r="B159" s="123"/>
    </row>
    <row r="160" spans="1:2">
      <c r="A160" s="123"/>
      <c r="B160" s="123"/>
    </row>
    <row r="161" spans="1:2">
      <c r="A161" s="123"/>
      <c r="B161" s="123"/>
    </row>
    <row r="162" spans="1:2">
      <c r="A162" s="123"/>
      <c r="B162" s="123"/>
    </row>
    <row r="163" spans="1:2">
      <c r="A163" s="123"/>
      <c r="B163" s="123"/>
    </row>
    <row r="164" spans="1:2">
      <c r="A164" s="123"/>
      <c r="B164" s="123"/>
    </row>
    <row r="165" spans="1:2">
      <c r="A165" s="123"/>
      <c r="B165" s="123"/>
    </row>
    <row r="166" spans="1:2">
      <c r="A166" s="123"/>
      <c r="B166" s="123"/>
    </row>
    <row r="167" spans="1:2">
      <c r="A167" s="123"/>
      <c r="B167" s="123"/>
    </row>
    <row r="168" spans="1:2">
      <c r="A168" s="123"/>
      <c r="B168" s="123"/>
    </row>
    <row r="169" spans="1:2">
      <c r="A169" s="123"/>
      <c r="B169" s="123"/>
    </row>
    <row r="170" spans="1:2">
      <c r="A170" s="123"/>
      <c r="B170" s="123"/>
    </row>
    <row r="171" spans="1:2">
      <c r="A171" s="123"/>
      <c r="B171" s="123"/>
    </row>
    <row r="172" spans="1:2">
      <c r="A172" s="123"/>
      <c r="B172" s="123"/>
    </row>
    <row r="173" spans="1:2">
      <c r="A173" s="123"/>
      <c r="B173" s="123"/>
    </row>
    <row r="174" spans="1:2">
      <c r="A174" s="123"/>
      <c r="B174" s="123"/>
    </row>
    <row r="175" spans="1:2">
      <c r="A175" s="123"/>
      <c r="B175" s="123"/>
    </row>
    <row r="176" spans="1:2">
      <c r="A176" s="123"/>
      <c r="B176" s="123"/>
    </row>
    <row r="177" spans="1:2">
      <c r="A177" s="123"/>
      <c r="B177" s="123"/>
    </row>
    <row r="178" spans="1:2">
      <c r="A178" s="123"/>
      <c r="B178" s="123"/>
    </row>
    <row r="179" spans="1:2">
      <c r="A179" s="123"/>
      <c r="B179" s="123"/>
    </row>
    <row r="180" spans="1:2">
      <c r="A180" s="123"/>
      <c r="B180" s="123"/>
    </row>
    <row r="181" spans="1:2">
      <c r="A181" s="123"/>
      <c r="B181" s="123"/>
    </row>
    <row r="182" spans="1:2">
      <c r="A182" s="123"/>
      <c r="B182" s="123"/>
    </row>
    <row r="183" spans="1:2">
      <c r="A183" s="123"/>
      <c r="B183" s="123"/>
    </row>
    <row r="184" spans="1:2">
      <c r="A184" s="123"/>
      <c r="B184" s="123"/>
    </row>
    <row r="185" spans="1:2">
      <c r="A185" s="123"/>
      <c r="B185" s="123"/>
    </row>
    <row r="186" spans="1:2">
      <c r="A186" s="123"/>
      <c r="B186" s="123"/>
    </row>
    <row r="187" spans="1:2">
      <c r="A187" s="123"/>
      <c r="B187" s="123"/>
    </row>
    <row r="188" spans="1:2">
      <c r="A188" s="123"/>
      <c r="B188" s="123"/>
    </row>
    <row r="189" spans="1:2">
      <c r="A189" s="123"/>
      <c r="B189" s="123"/>
    </row>
    <row r="190" spans="1:2">
      <c r="A190" s="123"/>
      <c r="B190" s="123"/>
    </row>
    <row r="191" spans="1:2">
      <c r="A191" s="123"/>
      <c r="B191" s="123"/>
    </row>
    <row r="192" spans="1:2">
      <c r="A192" s="123"/>
      <c r="B192" s="123"/>
    </row>
    <row r="193" spans="1:2">
      <c r="A193" s="123"/>
      <c r="B193" s="123"/>
    </row>
    <row r="194" spans="1:2">
      <c r="A194" s="123"/>
      <c r="B194" s="123"/>
    </row>
    <row r="195" spans="1:2">
      <c r="A195" s="123"/>
      <c r="B195" s="123"/>
    </row>
    <row r="196" spans="1:2">
      <c r="A196" s="123"/>
      <c r="B196" s="123"/>
    </row>
    <row r="197" spans="1:2">
      <c r="A197" s="123"/>
      <c r="B197" s="123"/>
    </row>
    <row r="198" spans="1:2">
      <c r="A198" s="123"/>
      <c r="B198" s="123"/>
    </row>
    <row r="199" spans="1:2">
      <c r="A199" s="123"/>
      <c r="B199" s="123"/>
    </row>
    <row r="200" spans="1:2">
      <c r="A200" s="123"/>
      <c r="B200" s="123"/>
    </row>
    <row r="201" spans="1:2">
      <c r="A201" s="123"/>
      <c r="B201" s="123"/>
    </row>
    <row r="202" spans="1:2">
      <c r="A202" s="123"/>
      <c r="B202" s="123"/>
    </row>
    <row r="203" spans="1:2">
      <c r="A203" s="123"/>
      <c r="B203" s="123"/>
    </row>
    <row r="204" spans="1:2">
      <c r="A204" s="123"/>
      <c r="B204" s="123"/>
    </row>
    <row r="205" spans="1:2">
      <c r="A205" s="123"/>
      <c r="B205" s="123"/>
    </row>
    <row r="206" spans="1:2">
      <c r="A206" s="123"/>
      <c r="B206" s="123"/>
    </row>
    <row r="207" spans="1:2">
      <c r="A207" s="123"/>
      <c r="B207" s="123"/>
    </row>
    <row r="208" spans="1:2">
      <c r="A208" s="123"/>
      <c r="B208" s="123"/>
    </row>
    <row r="209" spans="1:2">
      <c r="A209" s="123"/>
      <c r="B209" s="123"/>
    </row>
    <row r="210" spans="1:2">
      <c r="A210" s="123"/>
      <c r="B210" s="123"/>
    </row>
    <row r="211" spans="1:2">
      <c r="A211" s="123"/>
      <c r="B211" s="123"/>
    </row>
    <row r="212" spans="1:2">
      <c r="A212" s="123"/>
      <c r="B212" s="123"/>
    </row>
    <row r="213" spans="1:2">
      <c r="A213" s="123"/>
      <c r="B213" s="123"/>
    </row>
    <row r="214" spans="1:2">
      <c r="A214" s="123"/>
      <c r="B214" s="123"/>
    </row>
    <row r="215" spans="1:2">
      <c r="A215" s="123"/>
      <c r="B215" s="123"/>
    </row>
    <row r="216" spans="1:2">
      <c r="A216" s="123"/>
      <c r="B216" s="123"/>
    </row>
    <row r="217" spans="1:2">
      <c r="A217" s="123"/>
      <c r="B217" s="123"/>
    </row>
    <row r="218" spans="1:2">
      <c r="A218" s="123"/>
      <c r="B218" s="123"/>
    </row>
    <row r="219" spans="1:2">
      <c r="A219" s="123"/>
      <c r="B219" s="123"/>
    </row>
    <row r="220" spans="1:2">
      <c r="A220" s="123"/>
      <c r="B220" s="123"/>
    </row>
    <row r="221" spans="1:2">
      <c r="A221" s="123"/>
      <c r="B221" s="123"/>
    </row>
    <row r="222" spans="1:2">
      <c r="A222" s="123"/>
      <c r="B222" s="123"/>
    </row>
    <row r="223" spans="1:2">
      <c r="A223" s="123"/>
      <c r="B223" s="123"/>
    </row>
    <row r="224" spans="1:2">
      <c r="A224" s="123"/>
      <c r="B224" s="123"/>
    </row>
    <row r="225" spans="1:2">
      <c r="A225" s="123"/>
      <c r="B225" s="123"/>
    </row>
    <row r="226" spans="1:2">
      <c r="A226" s="123"/>
      <c r="B226" s="123"/>
    </row>
    <row r="227" spans="1:2">
      <c r="A227" s="123"/>
      <c r="B227" s="123"/>
    </row>
    <row r="228" spans="1:2">
      <c r="A228" s="123"/>
      <c r="B228" s="123"/>
    </row>
    <row r="229" spans="1:2">
      <c r="A229" s="123"/>
      <c r="B229" s="123"/>
    </row>
    <row r="230" spans="1:2">
      <c r="A230" s="123"/>
      <c r="B230" s="123"/>
    </row>
    <row r="231" spans="1:2">
      <c r="A231" s="123"/>
      <c r="B231" s="123"/>
    </row>
    <row r="232" spans="1:2">
      <c r="A232" s="123"/>
      <c r="B232" s="123"/>
    </row>
    <row r="233" spans="1:2">
      <c r="A233" s="123"/>
      <c r="B233" s="123"/>
    </row>
    <row r="234" spans="1:2">
      <c r="A234" s="123"/>
      <c r="B234" s="123"/>
    </row>
    <row r="235" spans="1:2">
      <c r="A235" s="123"/>
      <c r="B235" s="123"/>
    </row>
    <row r="236" spans="1:2">
      <c r="A236" s="123"/>
      <c r="B236" s="123"/>
    </row>
    <row r="237" spans="1:2">
      <c r="A237" s="123"/>
      <c r="B237" s="123"/>
    </row>
    <row r="238" spans="1:2">
      <c r="A238" s="123"/>
      <c r="B238" s="123"/>
    </row>
    <row r="239" spans="1:2">
      <c r="A239" s="123"/>
      <c r="B239" s="123"/>
    </row>
    <row r="240" spans="1:2">
      <c r="A240" s="123"/>
      <c r="B240" s="123"/>
    </row>
    <row r="241" spans="1:2">
      <c r="A241" s="123"/>
      <c r="B241" s="123"/>
    </row>
    <row r="242" spans="1:2">
      <c r="A242" s="123"/>
      <c r="B242" s="123"/>
    </row>
    <row r="243" spans="1:2">
      <c r="A243" s="123"/>
      <c r="B243" s="123"/>
    </row>
    <row r="244" spans="1:2">
      <c r="A244" s="123"/>
      <c r="B244" s="123"/>
    </row>
    <row r="245" spans="1:2">
      <c r="A245" s="123"/>
      <c r="B245" s="123"/>
    </row>
    <row r="246" spans="1:2">
      <c r="A246" s="123"/>
      <c r="B246" s="123"/>
    </row>
    <row r="247" spans="1:2">
      <c r="A247" s="123"/>
      <c r="B247" s="123"/>
    </row>
    <row r="248" spans="1:2">
      <c r="A248" s="123"/>
      <c r="B248" s="123"/>
    </row>
    <row r="249" spans="1:2">
      <c r="A249" s="123"/>
      <c r="B249" s="123"/>
    </row>
    <row r="250" spans="1:2">
      <c r="A250" s="123"/>
      <c r="B250" s="123"/>
    </row>
    <row r="251" spans="1:2">
      <c r="A251" s="123"/>
      <c r="B251" s="123"/>
    </row>
    <row r="252" spans="1:2">
      <c r="A252" s="123"/>
      <c r="B252" s="123"/>
    </row>
    <row r="253" spans="1:2">
      <c r="A253" s="123"/>
      <c r="B253" s="123"/>
    </row>
    <row r="254" spans="1:2">
      <c r="A254" s="123"/>
      <c r="B254" s="123"/>
    </row>
    <row r="255" spans="1:2">
      <c r="A255" s="123"/>
      <c r="B255" s="123"/>
    </row>
    <row r="256" spans="1:2">
      <c r="A256" s="123"/>
      <c r="B256" s="123"/>
    </row>
    <row r="257" spans="1:2">
      <c r="A257" s="123"/>
      <c r="B257" s="123"/>
    </row>
    <row r="258" spans="1:2">
      <c r="A258" s="123"/>
      <c r="B258" s="123"/>
    </row>
    <row r="259" spans="1:2">
      <c r="A259" s="123"/>
    </row>
    <row r="260" spans="1:2">
      <c r="A260" s="123"/>
    </row>
    <row r="261" spans="1:2">
      <c r="A261" s="123"/>
    </row>
    <row r="262" spans="1:2">
      <c r="A262" s="123"/>
    </row>
    <row r="263" spans="1:2">
      <c r="A263" s="123"/>
    </row>
    <row r="264" spans="1:2">
      <c r="A264" s="123"/>
    </row>
    <row r="265" spans="1:2">
      <c r="A265" s="123"/>
    </row>
    <row r="266" spans="1:2">
      <c r="A266" s="123"/>
    </row>
    <row r="267" spans="1:2">
      <c r="A267" s="123"/>
    </row>
    <row r="268" spans="1:2">
      <c r="A268" s="123"/>
    </row>
    <row r="269" spans="1:2">
      <c r="A269" s="123"/>
    </row>
    <row r="270" spans="1:2">
      <c r="A270" s="123"/>
    </row>
    <row r="271" spans="1:2">
      <c r="A271" s="123"/>
    </row>
    <row r="272" spans="1:2">
      <c r="A272" s="123"/>
    </row>
    <row r="273" spans="1:1">
      <c r="A273" s="123"/>
    </row>
    <row r="274" spans="1:1">
      <c r="A274" s="123"/>
    </row>
    <row r="275" spans="1:1">
      <c r="A275" s="123"/>
    </row>
    <row r="276" spans="1:1">
      <c r="A276" s="123"/>
    </row>
    <row r="277" spans="1:1">
      <c r="A277" s="123"/>
    </row>
    <row r="278" spans="1:1">
      <c r="A278" s="123"/>
    </row>
    <row r="279" spans="1:1">
      <c r="A279" s="123"/>
    </row>
    <row r="280" spans="1:1">
      <c r="A280" s="123"/>
    </row>
    <row r="281" spans="1:1">
      <c r="A281" s="123"/>
    </row>
    <row r="282" spans="1:1">
      <c r="A282" s="123"/>
    </row>
    <row r="283" spans="1:1">
      <c r="A283" s="123"/>
    </row>
    <row r="284" spans="1:1">
      <c r="A284" s="123"/>
    </row>
    <row r="285" spans="1:1">
      <c r="A285" s="123"/>
    </row>
    <row r="286" spans="1:1">
      <c r="A286" s="123"/>
    </row>
    <row r="287" spans="1:1">
      <c r="A287" s="123"/>
    </row>
    <row r="288" spans="1:1">
      <c r="A288" s="123"/>
    </row>
    <row r="289" spans="1:1">
      <c r="A289" s="123"/>
    </row>
    <row r="290" spans="1:1">
      <c r="A290" s="123"/>
    </row>
    <row r="291" spans="1:1">
      <c r="A291" s="123"/>
    </row>
    <row r="292" spans="1:1">
      <c r="A292" s="123"/>
    </row>
    <row r="293" spans="1:1">
      <c r="A293" s="123"/>
    </row>
    <row r="294" spans="1:1">
      <c r="A294" s="123"/>
    </row>
    <row r="295" spans="1:1">
      <c r="A295" s="123"/>
    </row>
    <row r="296" spans="1:1">
      <c r="A296" s="123"/>
    </row>
    <row r="297" spans="1:1">
      <c r="A297" s="123"/>
    </row>
    <row r="298" spans="1:1">
      <c r="A298" s="123"/>
    </row>
    <row r="299" spans="1:1">
      <c r="A299" s="123"/>
    </row>
    <row r="300" spans="1:1">
      <c r="A300" s="123"/>
    </row>
    <row r="301" spans="1:1">
      <c r="A301" s="123"/>
    </row>
    <row r="302" spans="1:1">
      <c r="A302" s="123"/>
    </row>
    <row r="303" spans="1:1">
      <c r="A303" s="123"/>
    </row>
    <row r="304" spans="1:1">
      <c r="A304" s="123"/>
    </row>
    <row r="305" spans="1:1">
      <c r="A305" s="123"/>
    </row>
    <row r="306" spans="1:1">
      <c r="A306" s="123"/>
    </row>
    <row r="307" spans="1:1">
      <c r="A307" s="123"/>
    </row>
    <row r="308" spans="1:1">
      <c r="A308" s="123"/>
    </row>
    <row r="309" spans="1:1">
      <c r="A309" s="123"/>
    </row>
    <row r="310" spans="1:1">
      <c r="A310" s="123"/>
    </row>
    <row r="311" spans="1:1">
      <c r="A311" s="123"/>
    </row>
    <row r="312" spans="1:1">
      <c r="A312" s="123"/>
    </row>
    <row r="313" spans="1:1">
      <c r="A313" s="123"/>
    </row>
    <row r="314" spans="1:1">
      <c r="A314" s="123"/>
    </row>
    <row r="315" spans="1:1">
      <c r="A315" s="123"/>
    </row>
    <row r="316" spans="1:1">
      <c r="A316" s="123"/>
    </row>
    <row r="317" spans="1:1">
      <c r="A317" s="123"/>
    </row>
    <row r="318" spans="1:1">
      <c r="A318" s="123"/>
    </row>
    <row r="319" spans="1:1">
      <c r="A319" s="123"/>
    </row>
    <row r="320" spans="1:1">
      <c r="A320" s="123"/>
    </row>
    <row r="321" spans="1:1">
      <c r="A321" s="123"/>
    </row>
    <row r="322" spans="1:1">
      <c r="A322" s="123"/>
    </row>
    <row r="323" spans="1:1">
      <c r="A323" s="123"/>
    </row>
    <row r="324" spans="1:1">
      <c r="A324" s="123"/>
    </row>
    <row r="325" spans="1:1">
      <c r="A325" s="123"/>
    </row>
    <row r="326" spans="1:1">
      <c r="A326" s="123"/>
    </row>
    <row r="327" spans="1:1">
      <c r="A327" s="123"/>
    </row>
    <row r="328" spans="1:1">
      <c r="A328" s="123"/>
    </row>
    <row r="329" spans="1:1">
      <c r="A329" s="123"/>
    </row>
    <row r="330" spans="1:1">
      <c r="A330" s="123"/>
    </row>
    <row r="331" spans="1:1">
      <c r="A331" s="123"/>
    </row>
    <row r="332" spans="1:1">
      <c r="A332" s="123"/>
    </row>
    <row r="333" spans="1:1">
      <c r="A333" s="123"/>
    </row>
    <row r="334" spans="1:1">
      <c r="A334" s="123"/>
    </row>
    <row r="335" spans="1:1">
      <c r="A335" s="123"/>
    </row>
    <row r="336" spans="1:1">
      <c r="A336" s="123"/>
    </row>
    <row r="337" spans="1:1">
      <c r="A337" s="123"/>
    </row>
    <row r="338" spans="1:1">
      <c r="A338" s="123"/>
    </row>
    <row r="339" spans="1:1">
      <c r="A339" s="123"/>
    </row>
    <row r="340" spans="1:1">
      <c r="A340" s="123"/>
    </row>
    <row r="341" spans="1:1">
      <c r="A341" s="123"/>
    </row>
    <row r="342" spans="1:1">
      <c r="A342" s="123"/>
    </row>
    <row r="343" spans="1:1">
      <c r="A343" s="123"/>
    </row>
    <row r="344" spans="1:1">
      <c r="A344" s="123"/>
    </row>
    <row r="345" spans="1:1">
      <c r="A345" s="123"/>
    </row>
    <row r="346" spans="1:1">
      <c r="A346" s="123"/>
    </row>
    <row r="347" spans="1:1">
      <c r="A347" s="123"/>
    </row>
    <row r="348" spans="1:1">
      <c r="A348" s="123"/>
    </row>
    <row r="349" spans="1:1">
      <c r="A349" s="123"/>
    </row>
    <row r="350" spans="1:1">
      <c r="A350" s="123"/>
    </row>
    <row r="351" spans="1:1">
      <c r="A351" s="123"/>
    </row>
    <row r="352" spans="1:1">
      <c r="A352" s="123"/>
    </row>
    <row r="353" spans="1:1">
      <c r="A353" s="123"/>
    </row>
    <row r="354" spans="1:1">
      <c r="A354" s="123"/>
    </row>
    <row r="355" spans="1:1">
      <c r="A355" s="123"/>
    </row>
    <row r="356" spans="1:1">
      <c r="A356" s="123"/>
    </row>
    <row r="357" spans="1:1">
      <c r="A357" s="123"/>
    </row>
    <row r="358" spans="1:1">
      <c r="A358" s="123"/>
    </row>
    <row r="359" spans="1:1">
      <c r="A359" s="123"/>
    </row>
    <row r="360" spans="1:1">
      <c r="A360" s="123"/>
    </row>
    <row r="361" spans="1:1">
      <c r="A361" s="123"/>
    </row>
    <row r="362" spans="1:1">
      <c r="A362" s="123"/>
    </row>
    <row r="363" spans="1:1">
      <c r="A363" s="123"/>
    </row>
    <row r="364" spans="1:1">
      <c r="A364" s="123"/>
    </row>
    <row r="365" spans="1:1">
      <c r="A365" s="123"/>
    </row>
    <row r="366" spans="1:1">
      <c r="A366" s="123"/>
    </row>
    <row r="367" spans="1:1">
      <c r="A367" s="123"/>
    </row>
    <row r="368" spans="1:1">
      <c r="A368" s="123"/>
    </row>
    <row r="369" spans="1:1">
      <c r="A369" s="123"/>
    </row>
    <row r="370" spans="1:1">
      <c r="A370" s="123"/>
    </row>
    <row r="371" spans="1:1">
      <c r="A371" s="123"/>
    </row>
    <row r="372" spans="1:1">
      <c r="A372" s="123"/>
    </row>
    <row r="373" spans="1:1">
      <c r="A373" s="123"/>
    </row>
    <row r="374" spans="1:1">
      <c r="A374" s="123"/>
    </row>
    <row r="375" spans="1:1">
      <c r="A375" s="123"/>
    </row>
    <row r="376" spans="1:1">
      <c r="A376" s="123"/>
    </row>
    <row r="377" spans="1:1">
      <c r="A377" s="123"/>
    </row>
    <row r="378" spans="1:1">
      <c r="A378" s="123"/>
    </row>
    <row r="379" spans="1:1">
      <c r="A379" s="123"/>
    </row>
    <row r="380" spans="1:1">
      <c r="A380" s="123"/>
    </row>
    <row r="381" spans="1:1">
      <c r="A381" s="123"/>
    </row>
    <row r="382" spans="1:1">
      <c r="A382" s="123"/>
    </row>
    <row r="383" spans="1:1">
      <c r="A383" s="123"/>
    </row>
    <row r="384" spans="1:1">
      <c r="A384" s="123"/>
    </row>
    <row r="385" spans="1:1">
      <c r="A385" s="123"/>
    </row>
    <row r="386" spans="1:1">
      <c r="A386" s="123"/>
    </row>
    <row r="387" spans="1:1">
      <c r="A387" s="123"/>
    </row>
    <row r="388" spans="1:1">
      <c r="A388" s="123"/>
    </row>
    <row r="389" spans="1:1">
      <c r="A389" s="123"/>
    </row>
    <row r="390" spans="1:1">
      <c r="A390" s="123"/>
    </row>
    <row r="391" spans="1:1">
      <c r="A391" s="123"/>
    </row>
    <row r="392" spans="1:1">
      <c r="A392" s="123"/>
    </row>
    <row r="393" spans="1:1">
      <c r="A393" s="123"/>
    </row>
    <row r="394" spans="1:1">
      <c r="A394" s="123"/>
    </row>
    <row r="395" spans="1:1">
      <c r="A395" s="123"/>
    </row>
    <row r="396" spans="1:1">
      <c r="A396" s="123"/>
    </row>
    <row r="397" spans="1:1">
      <c r="A397" s="123"/>
    </row>
    <row r="398" spans="1:1">
      <c r="A398" s="123"/>
    </row>
    <row r="399" spans="1:1">
      <c r="A399" s="123"/>
    </row>
    <row r="400" spans="1:1">
      <c r="A400" s="123"/>
    </row>
    <row r="401" spans="1:1">
      <c r="A401" s="123"/>
    </row>
    <row r="402" spans="1:1">
      <c r="A402" s="123"/>
    </row>
    <row r="403" spans="1:1">
      <c r="A403" s="123"/>
    </row>
    <row r="404" spans="1:1">
      <c r="A404" s="123"/>
    </row>
    <row r="405" spans="1:1">
      <c r="A405" s="123"/>
    </row>
    <row r="406" spans="1:1">
      <c r="A406" s="123"/>
    </row>
    <row r="407" spans="1:1">
      <c r="A407" s="123"/>
    </row>
    <row r="408" spans="1:1">
      <c r="A408" s="123"/>
    </row>
    <row r="409" spans="1:1">
      <c r="A409" s="123"/>
    </row>
    <row r="410" spans="1:1">
      <c r="A410" s="123"/>
    </row>
    <row r="411" spans="1:1">
      <c r="A411" s="123"/>
    </row>
    <row r="412" spans="1:1">
      <c r="A412" s="123"/>
    </row>
    <row r="413" spans="1:1">
      <c r="A413" s="123"/>
    </row>
    <row r="414" spans="1:1">
      <c r="A414" s="123"/>
    </row>
    <row r="415" spans="1:1">
      <c r="A415" s="123"/>
    </row>
    <row r="416" spans="1:1">
      <c r="A416" s="123"/>
    </row>
    <row r="417" spans="1:1">
      <c r="A417" s="123"/>
    </row>
    <row r="418" spans="1:1">
      <c r="A418" s="123"/>
    </row>
    <row r="419" spans="1:1">
      <c r="A419" s="123"/>
    </row>
    <row r="420" spans="1:1">
      <c r="A420" s="123"/>
    </row>
    <row r="421" spans="1:1">
      <c r="A421" s="123"/>
    </row>
    <row r="422" spans="1:1">
      <c r="A422" s="123"/>
    </row>
    <row r="423" spans="1:1">
      <c r="A423" s="123"/>
    </row>
    <row r="424" spans="1:1">
      <c r="A424" s="123"/>
    </row>
    <row r="425" spans="1:1">
      <c r="A425" s="123"/>
    </row>
    <row r="426" spans="1:1">
      <c r="A426" s="123"/>
    </row>
    <row r="427" spans="1:1">
      <c r="A427" s="123"/>
    </row>
    <row r="428" spans="1:1">
      <c r="A428" s="123"/>
    </row>
    <row r="429" spans="1:1">
      <c r="A429" s="123"/>
    </row>
    <row r="430" spans="1:1">
      <c r="A430" s="123"/>
    </row>
    <row r="431" spans="1:1">
      <c r="A431" s="123"/>
    </row>
    <row r="432" spans="1:1">
      <c r="A432" s="123"/>
    </row>
    <row r="433" spans="1:1">
      <c r="A433" s="123"/>
    </row>
    <row r="434" spans="1:1">
      <c r="A434" s="123"/>
    </row>
    <row r="435" spans="1:1">
      <c r="A435" s="123"/>
    </row>
    <row r="436" spans="1:1">
      <c r="A436" s="123"/>
    </row>
    <row r="437" spans="1:1">
      <c r="A437" s="123"/>
    </row>
    <row r="438" spans="1:1">
      <c r="A438" s="123"/>
    </row>
    <row r="439" spans="1:1">
      <c r="A439" s="123"/>
    </row>
    <row r="440" spans="1:1">
      <c r="A440" s="123"/>
    </row>
    <row r="441" spans="1:1">
      <c r="A441" s="123"/>
    </row>
    <row r="442" spans="1:1">
      <c r="A442" s="123"/>
    </row>
    <row r="443" spans="1:1">
      <c r="A443" s="123"/>
    </row>
    <row r="444" spans="1:1">
      <c r="A444" s="123"/>
    </row>
    <row r="445" spans="1:1">
      <c r="A445" s="123"/>
    </row>
    <row r="446" spans="1:1">
      <c r="A446" s="123"/>
    </row>
    <row r="447" spans="1:1">
      <c r="A447" s="123"/>
    </row>
    <row r="448" spans="1:1">
      <c r="A448" s="123"/>
    </row>
    <row r="449" spans="1:1">
      <c r="A449" s="123"/>
    </row>
    <row r="450" spans="1:1">
      <c r="A450" s="123"/>
    </row>
    <row r="451" spans="1:1">
      <c r="A451" s="123"/>
    </row>
    <row r="452" spans="1:1">
      <c r="A452" s="123"/>
    </row>
    <row r="453" spans="1:1">
      <c r="A453" s="123"/>
    </row>
    <row r="454" spans="1:1">
      <c r="A454" s="123"/>
    </row>
    <row r="455" spans="1:1">
      <c r="A455" s="123"/>
    </row>
    <row r="456" spans="1:1">
      <c r="A456" s="123"/>
    </row>
    <row r="457" spans="1:1">
      <c r="A457" s="123"/>
    </row>
    <row r="458" spans="1:1">
      <c r="A458" s="123"/>
    </row>
    <row r="459" spans="1:1">
      <c r="A459" s="123"/>
    </row>
    <row r="460" spans="1:1">
      <c r="A460" s="123"/>
    </row>
    <row r="461" spans="1:1">
      <c r="A461" s="123"/>
    </row>
    <row r="462" spans="1:1">
      <c r="A462" s="123"/>
    </row>
    <row r="463" spans="1:1">
      <c r="A463" s="123"/>
    </row>
    <row r="464" spans="1:1">
      <c r="A464" s="123"/>
    </row>
    <row r="465" spans="1:1">
      <c r="A465" s="123"/>
    </row>
    <row r="466" spans="1:1">
      <c r="A466" s="123"/>
    </row>
    <row r="467" spans="1:1">
      <c r="A467" s="123"/>
    </row>
    <row r="468" spans="1:1">
      <c r="A468" s="123"/>
    </row>
    <row r="469" spans="1:1">
      <c r="A469" s="123"/>
    </row>
    <row r="470" spans="1:1">
      <c r="A470" s="123"/>
    </row>
    <row r="471" spans="1:1">
      <c r="A471" s="123"/>
    </row>
    <row r="472" spans="1:1">
      <c r="A472" s="123"/>
    </row>
    <row r="473" spans="1:1">
      <c r="A473" s="123"/>
    </row>
    <row r="474" spans="1:1">
      <c r="A474" s="123"/>
    </row>
    <row r="475" spans="1:1">
      <c r="A475" s="123"/>
    </row>
    <row r="476" spans="1:1">
      <c r="A476" s="123"/>
    </row>
    <row r="477" spans="1:1">
      <c r="A477" s="123"/>
    </row>
    <row r="478" spans="1:1">
      <c r="A478" s="123"/>
    </row>
    <row r="479" spans="1:1">
      <c r="A479" s="123"/>
    </row>
    <row r="480" spans="1:1">
      <c r="A480" s="123"/>
    </row>
    <row r="481" spans="1:1">
      <c r="A481" s="123"/>
    </row>
    <row r="482" spans="1:1">
      <c r="A482" s="123"/>
    </row>
    <row r="483" spans="1:1">
      <c r="A483" s="123"/>
    </row>
    <row r="484" spans="1:1">
      <c r="A484" s="123"/>
    </row>
    <row r="485" spans="1:1">
      <c r="A485" s="123"/>
    </row>
    <row r="486" spans="1:1">
      <c r="A486" s="123"/>
    </row>
    <row r="487" spans="1:1">
      <c r="A487" s="123"/>
    </row>
    <row r="488" spans="1:1">
      <c r="A488" s="123"/>
    </row>
    <row r="489" spans="1:1">
      <c r="A489" s="123"/>
    </row>
    <row r="490" spans="1:1">
      <c r="A490" s="123"/>
    </row>
    <row r="491" spans="1:1">
      <c r="A491" s="123"/>
    </row>
    <row r="492" spans="1:1">
      <c r="A492" s="123"/>
    </row>
    <row r="493" spans="1:1">
      <c r="A493" s="123"/>
    </row>
    <row r="494" spans="1:1">
      <c r="A494" s="123"/>
    </row>
    <row r="495" spans="1:1">
      <c r="A495" s="123"/>
    </row>
    <row r="496" spans="1:1">
      <c r="A496" s="123"/>
    </row>
    <row r="497" spans="1:1">
      <c r="A497" s="123"/>
    </row>
    <row r="498" spans="1:1">
      <c r="A498" s="123"/>
    </row>
    <row r="499" spans="1:1">
      <c r="A499" s="123"/>
    </row>
    <row r="500" spans="1:1">
      <c r="A500" s="123"/>
    </row>
    <row r="501" spans="1:1">
      <c r="A501" s="123"/>
    </row>
    <row r="502" spans="1:1">
      <c r="A502" s="123"/>
    </row>
    <row r="503" spans="1:1">
      <c r="A503" s="123"/>
    </row>
    <row r="504" spans="1:1">
      <c r="A504" s="123"/>
    </row>
    <row r="505" spans="1:1">
      <c r="A505" s="123"/>
    </row>
    <row r="506" spans="1:1">
      <c r="A506" s="123"/>
    </row>
    <row r="507" spans="1:1">
      <c r="A507" s="123"/>
    </row>
    <row r="508" spans="1:1">
      <c r="A508" s="123"/>
    </row>
    <row r="509" spans="1:1">
      <c r="A509" s="123"/>
    </row>
    <row r="510" spans="1:1">
      <c r="A510" s="123"/>
    </row>
    <row r="511" spans="1:1">
      <c r="A511" s="123"/>
    </row>
    <row r="512" spans="1:1">
      <c r="A512" s="123"/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119"/>
  <sheetViews>
    <sheetView workbookViewId="0"/>
  </sheetViews>
  <sheetFormatPr defaultColWidth="9.140625" defaultRowHeight="12.75"/>
  <cols>
    <col min="1" max="1" width="9.140625" style="127"/>
    <col min="2" max="2" width="1.7109375" style="127" customWidth="1"/>
    <col min="3" max="4" width="9.140625" style="127"/>
    <col min="5" max="5" width="1.7109375" style="127" customWidth="1"/>
    <col min="6" max="7" width="9.140625" style="127"/>
    <col min="8" max="8" width="1.7109375" style="127" customWidth="1"/>
    <col min="9" max="10" width="9.140625" style="127"/>
    <col min="11" max="11" width="1.7109375" style="127" customWidth="1"/>
    <col min="12" max="16384" width="9.140625" style="127"/>
  </cols>
  <sheetData>
    <row r="1" spans="1:1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3" spans="1:13">
      <c r="A3" s="127" t="s">
        <v>91</v>
      </c>
      <c r="C3" s="128" t="s">
        <v>88</v>
      </c>
      <c r="D3" s="128" t="s">
        <v>89</v>
      </c>
      <c r="E3" s="129"/>
      <c r="F3" s="128" t="s">
        <v>88</v>
      </c>
      <c r="G3" s="128" t="s">
        <v>89</v>
      </c>
      <c r="H3" s="129"/>
      <c r="I3" s="128" t="s">
        <v>88</v>
      </c>
      <c r="J3" s="128" t="s">
        <v>89</v>
      </c>
      <c r="K3" s="129"/>
      <c r="L3" s="128" t="s">
        <v>88</v>
      </c>
      <c r="M3" s="128" t="s">
        <v>89</v>
      </c>
    </row>
    <row r="4" spans="1:13">
      <c r="A4" s="127">
        <v>-0.04</v>
      </c>
      <c r="C4" s="127">
        <v>0</v>
      </c>
      <c r="D4" s="130">
        <f t="shared" ref="D4:D67" si="0">$A$4*C4^3+$A$6*C4^2</f>
        <v>0</v>
      </c>
      <c r="F4" s="127">
        <v>20</v>
      </c>
      <c r="G4" s="127">
        <v>0</v>
      </c>
      <c r="I4" s="127">
        <v>60</v>
      </c>
      <c r="J4" s="127">
        <v>0</v>
      </c>
      <c r="L4" s="127">
        <v>100</v>
      </c>
      <c r="M4" s="127">
        <v>0</v>
      </c>
    </row>
    <row r="5" spans="1:13">
      <c r="A5" s="127" t="s">
        <v>92</v>
      </c>
      <c r="C5" s="127">
        <v>1</v>
      </c>
      <c r="D5" s="130">
        <f t="shared" si="0"/>
        <v>5.46</v>
      </c>
      <c r="F5" s="127">
        <v>20</v>
      </c>
      <c r="G5" s="127">
        <f>D24</f>
        <v>1880</v>
      </c>
      <c r="I5" s="127">
        <v>60</v>
      </c>
      <c r="J5" s="127">
        <f>D64</f>
        <v>11160</v>
      </c>
      <c r="L5" s="127">
        <v>100</v>
      </c>
      <c r="M5" s="130">
        <f>D104</f>
        <v>15000</v>
      </c>
    </row>
    <row r="6" spans="1:13">
      <c r="A6" s="127">
        <v>5.5</v>
      </c>
      <c r="C6" s="127">
        <v>2</v>
      </c>
      <c r="D6" s="130">
        <f t="shared" si="0"/>
        <v>21.68</v>
      </c>
    </row>
    <row r="7" spans="1:13">
      <c r="C7" s="127">
        <v>3</v>
      </c>
      <c r="D7" s="130">
        <f t="shared" si="0"/>
        <v>48.42</v>
      </c>
    </row>
    <row r="8" spans="1:13">
      <c r="C8" s="127">
        <v>4</v>
      </c>
      <c r="D8" s="130">
        <f t="shared" si="0"/>
        <v>85.44</v>
      </c>
    </row>
    <row r="9" spans="1:13">
      <c r="C9" s="127">
        <v>5</v>
      </c>
      <c r="D9" s="130">
        <f t="shared" si="0"/>
        <v>132.5</v>
      </c>
    </row>
    <row r="10" spans="1:13">
      <c r="C10" s="127">
        <v>6</v>
      </c>
      <c r="D10" s="130">
        <f t="shared" si="0"/>
        <v>189.36</v>
      </c>
    </row>
    <row r="11" spans="1:13">
      <c r="C11" s="127">
        <v>7</v>
      </c>
      <c r="D11" s="130">
        <f t="shared" si="0"/>
        <v>255.78</v>
      </c>
    </row>
    <row r="12" spans="1:13">
      <c r="C12" s="127">
        <v>8</v>
      </c>
      <c r="D12" s="130">
        <f t="shared" si="0"/>
        <v>331.52</v>
      </c>
    </row>
    <row r="13" spans="1:13">
      <c r="C13" s="127">
        <v>9</v>
      </c>
      <c r="D13" s="130">
        <f t="shared" si="0"/>
        <v>416.34</v>
      </c>
    </row>
    <row r="14" spans="1:13">
      <c r="C14" s="127">
        <v>10</v>
      </c>
      <c r="D14" s="130">
        <f t="shared" si="0"/>
        <v>510</v>
      </c>
    </row>
    <row r="15" spans="1:13">
      <c r="C15" s="127">
        <v>11</v>
      </c>
      <c r="D15" s="130">
        <f t="shared" si="0"/>
        <v>612.26</v>
      </c>
    </row>
    <row r="16" spans="1:13">
      <c r="C16" s="127">
        <v>12</v>
      </c>
      <c r="D16" s="130">
        <f t="shared" si="0"/>
        <v>722.88</v>
      </c>
    </row>
    <row r="17" spans="3:4">
      <c r="C17" s="127">
        <v>13</v>
      </c>
      <c r="D17" s="130">
        <f t="shared" si="0"/>
        <v>841.62</v>
      </c>
    </row>
    <row r="18" spans="3:4">
      <c r="C18" s="127">
        <v>14</v>
      </c>
      <c r="D18" s="130">
        <f t="shared" si="0"/>
        <v>968.24</v>
      </c>
    </row>
    <row r="19" spans="3:4">
      <c r="C19" s="127">
        <v>15</v>
      </c>
      <c r="D19" s="130">
        <f t="shared" si="0"/>
        <v>1102.5</v>
      </c>
    </row>
    <row r="20" spans="3:4">
      <c r="C20" s="127">
        <v>16</v>
      </c>
      <c r="D20" s="130">
        <f t="shared" si="0"/>
        <v>1244.1600000000001</v>
      </c>
    </row>
    <row r="21" spans="3:4">
      <c r="C21" s="127">
        <v>17</v>
      </c>
      <c r="D21" s="130">
        <f t="shared" si="0"/>
        <v>1392.98</v>
      </c>
    </row>
    <row r="22" spans="3:4">
      <c r="C22" s="127">
        <v>18</v>
      </c>
      <c r="D22" s="130">
        <f t="shared" si="0"/>
        <v>1548.72</v>
      </c>
    </row>
    <row r="23" spans="3:4">
      <c r="C23" s="127">
        <v>19</v>
      </c>
      <c r="D23" s="130">
        <f t="shared" si="0"/>
        <v>1711.1399999999999</v>
      </c>
    </row>
    <row r="24" spans="3:4">
      <c r="C24" s="127">
        <v>20</v>
      </c>
      <c r="D24" s="130">
        <f t="shared" si="0"/>
        <v>1880</v>
      </c>
    </row>
    <row r="25" spans="3:4">
      <c r="C25" s="127">
        <v>21</v>
      </c>
      <c r="D25" s="130">
        <f t="shared" si="0"/>
        <v>2055.06</v>
      </c>
    </row>
    <row r="26" spans="3:4">
      <c r="C26" s="127">
        <v>22</v>
      </c>
      <c r="D26" s="130">
        <f t="shared" si="0"/>
        <v>2236.08</v>
      </c>
    </row>
    <row r="27" spans="3:4">
      <c r="C27" s="127">
        <v>23</v>
      </c>
      <c r="D27" s="130">
        <f t="shared" si="0"/>
        <v>2422.8200000000002</v>
      </c>
    </row>
    <row r="28" spans="3:4">
      <c r="C28" s="127">
        <v>24</v>
      </c>
      <c r="D28" s="130">
        <f t="shared" si="0"/>
        <v>2615.04</v>
      </c>
    </row>
    <row r="29" spans="3:4">
      <c r="C29" s="127">
        <v>25</v>
      </c>
      <c r="D29" s="130">
        <f t="shared" si="0"/>
        <v>2812.5</v>
      </c>
    </row>
    <row r="30" spans="3:4">
      <c r="C30" s="127">
        <v>26</v>
      </c>
      <c r="D30" s="130">
        <f t="shared" si="0"/>
        <v>3014.96</v>
      </c>
    </row>
    <row r="31" spans="3:4">
      <c r="C31" s="127">
        <v>27</v>
      </c>
      <c r="D31" s="130">
        <f t="shared" si="0"/>
        <v>3222.18</v>
      </c>
    </row>
    <row r="32" spans="3:4">
      <c r="C32" s="127">
        <v>28</v>
      </c>
      <c r="D32" s="130">
        <f t="shared" si="0"/>
        <v>3433.92</v>
      </c>
    </row>
    <row r="33" spans="3:4">
      <c r="C33" s="127">
        <v>29</v>
      </c>
      <c r="D33" s="130">
        <f t="shared" si="0"/>
        <v>3649.94</v>
      </c>
    </row>
    <row r="34" spans="3:4">
      <c r="C34" s="127">
        <v>30</v>
      </c>
      <c r="D34" s="130">
        <f t="shared" si="0"/>
        <v>3870</v>
      </c>
    </row>
    <row r="35" spans="3:4">
      <c r="C35" s="127">
        <v>31</v>
      </c>
      <c r="D35" s="130">
        <f t="shared" si="0"/>
        <v>4093.8599999999997</v>
      </c>
    </row>
    <row r="36" spans="3:4">
      <c r="C36" s="127">
        <v>32</v>
      </c>
      <c r="D36" s="130">
        <f t="shared" si="0"/>
        <v>4321.28</v>
      </c>
    </row>
    <row r="37" spans="3:4">
      <c r="C37" s="127">
        <v>33</v>
      </c>
      <c r="D37" s="130">
        <f t="shared" si="0"/>
        <v>4552.0200000000004</v>
      </c>
    </row>
    <row r="38" spans="3:4">
      <c r="C38" s="127">
        <v>34</v>
      </c>
      <c r="D38" s="130">
        <f t="shared" si="0"/>
        <v>4785.84</v>
      </c>
    </row>
    <row r="39" spans="3:4">
      <c r="C39" s="127">
        <v>35</v>
      </c>
      <c r="D39" s="130">
        <f t="shared" si="0"/>
        <v>5022.5</v>
      </c>
    </row>
    <row r="40" spans="3:4">
      <c r="C40" s="127">
        <v>36</v>
      </c>
      <c r="D40" s="130">
        <f t="shared" si="0"/>
        <v>5261.76</v>
      </c>
    </row>
    <row r="41" spans="3:4">
      <c r="C41" s="127">
        <v>37</v>
      </c>
      <c r="D41" s="130">
        <f t="shared" si="0"/>
        <v>5503.38</v>
      </c>
    </row>
    <row r="42" spans="3:4">
      <c r="C42" s="127">
        <v>38</v>
      </c>
      <c r="D42" s="130">
        <f t="shared" si="0"/>
        <v>5747.12</v>
      </c>
    </row>
    <row r="43" spans="3:4">
      <c r="C43" s="127">
        <v>39</v>
      </c>
      <c r="D43" s="130">
        <f t="shared" si="0"/>
        <v>5992.74</v>
      </c>
    </row>
    <row r="44" spans="3:4">
      <c r="C44" s="127">
        <v>40</v>
      </c>
      <c r="D44" s="130">
        <f t="shared" si="0"/>
        <v>6240</v>
      </c>
    </row>
    <row r="45" spans="3:4">
      <c r="C45" s="127">
        <v>41</v>
      </c>
      <c r="D45" s="130">
        <f t="shared" si="0"/>
        <v>6488.66</v>
      </c>
    </row>
    <row r="46" spans="3:4">
      <c r="C46" s="127">
        <v>42</v>
      </c>
      <c r="D46" s="130">
        <f t="shared" si="0"/>
        <v>6738.48</v>
      </c>
    </row>
    <row r="47" spans="3:4">
      <c r="C47" s="127">
        <v>43</v>
      </c>
      <c r="D47" s="130">
        <f t="shared" si="0"/>
        <v>6989.2199999999993</v>
      </c>
    </row>
    <row r="48" spans="3:4">
      <c r="C48" s="127">
        <v>44</v>
      </c>
      <c r="D48" s="130">
        <f t="shared" si="0"/>
        <v>7240.6399999999994</v>
      </c>
    </row>
    <row r="49" spans="3:4">
      <c r="C49" s="127">
        <v>45</v>
      </c>
      <c r="D49" s="130">
        <f t="shared" si="0"/>
        <v>7492.5</v>
      </c>
    </row>
    <row r="50" spans="3:4">
      <c r="C50" s="127">
        <v>46</v>
      </c>
      <c r="D50" s="130">
        <f t="shared" si="0"/>
        <v>7744.5599999999995</v>
      </c>
    </row>
    <row r="51" spans="3:4">
      <c r="C51" s="127">
        <v>47</v>
      </c>
      <c r="D51" s="130">
        <f t="shared" si="0"/>
        <v>7996.58</v>
      </c>
    </row>
    <row r="52" spans="3:4">
      <c r="C52" s="127">
        <v>48</v>
      </c>
      <c r="D52" s="130">
        <f t="shared" si="0"/>
        <v>8248.32</v>
      </c>
    </row>
    <row r="53" spans="3:4">
      <c r="C53" s="127">
        <v>49</v>
      </c>
      <c r="D53" s="130">
        <f t="shared" si="0"/>
        <v>8499.5400000000009</v>
      </c>
    </row>
    <row r="54" spans="3:4">
      <c r="C54" s="127">
        <v>50</v>
      </c>
      <c r="D54" s="130">
        <f t="shared" si="0"/>
        <v>8750</v>
      </c>
    </row>
    <row r="55" spans="3:4">
      <c r="C55" s="127">
        <v>51</v>
      </c>
      <c r="D55" s="130">
        <f t="shared" si="0"/>
        <v>8999.4599999999991</v>
      </c>
    </row>
    <row r="56" spans="3:4">
      <c r="C56" s="127">
        <v>52</v>
      </c>
      <c r="D56" s="130">
        <f t="shared" si="0"/>
        <v>9247.68</v>
      </c>
    </row>
    <row r="57" spans="3:4">
      <c r="C57" s="127">
        <v>53</v>
      </c>
      <c r="D57" s="130">
        <f t="shared" si="0"/>
        <v>9494.42</v>
      </c>
    </row>
    <row r="58" spans="3:4">
      <c r="C58" s="127">
        <v>54</v>
      </c>
      <c r="D58" s="130">
        <f t="shared" si="0"/>
        <v>9739.4399999999987</v>
      </c>
    </row>
    <row r="59" spans="3:4">
      <c r="C59" s="127">
        <v>55</v>
      </c>
      <c r="D59" s="130">
        <f t="shared" si="0"/>
        <v>9982.5</v>
      </c>
    </row>
    <row r="60" spans="3:4">
      <c r="C60" s="127">
        <v>56</v>
      </c>
      <c r="D60" s="130">
        <f t="shared" si="0"/>
        <v>10223.36</v>
      </c>
    </row>
    <row r="61" spans="3:4">
      <c r="C61" s="127">
        <v>57</v>
      </c>
      <c r="D61" s="130">
        <f t="shared" si="0"/>
        <v>10461.779999999999</v>
      </c>
    </row>
    <row r="62" spans="3:4">
      <c r="C62" s="127">
        <v>58</v>
      </c>
      <c r="D62" s="130">
        <f t="shared" si="0"/>
        <v>10697.52</v>
      </c>
    </row>
    <row r="63" spans="3:4">
      <c r="C63" s="127">
        <v>59</v>
      </c>
      <c r="D63" s="130">
        <f t="shared" si="0"/>
        <v>10930.34</v>
      </c>
    </row>
    <row r="64" spans="3:4">
      <c r="C64" s="127">
        <v>60</v>
      </c>
      <c r="D64" s="130">
        <f t="shared" si="0"/>
        <v>11160</v>
      </c>
    </row>
    <row r="65" spans="3:4">
      <c r="C65" s="127">
        <v>61</v>
      </c>
      <c r="D65" s="130">
        <f t="shared" si="0"/>
        <v>11386.26</v>
      </c>
    </row>
    <row r="66" spans="3:4">
      <c r="C66" s="127">
        <v>62</v>
      </c>
      <c r="D66" s="130">
        <f t="shared" si="0"/>
        <v>11608.88</v>
      </c>
    </row>
    <row r="67" spans="3:4">
      <c r="C67" s="127">
        <v>63</v>
      </c>
      <c r="D67" s="130">
        <f t="shared" si="0"/>
        <v>11827.619999999999</v>
      </c>
    </row>
    <row r="68" spans="3:4">
      <c r="C68" s="127">
        <v>64</v>
      </c>
      <c r="D68" s="130">
        <f t="shared" ref="D68:D99" si="1">$A$4*C68^3+$A$6*C68^2</f>
        <v>12042.24</v>
      </c>
    </row>
    <row r="69" spans="3:4">
      <c r="C69" s="127">
        <v>65</v>
      </c>
      <c r="D69" s="130">
        <f t="shared" si="1"/>
        <v>12252.5</v>
      </c>
    </row>
    <row r="70" spans="3:4">
      <c r="C70" s="127">
        <v>66</v>
      </c>
      <c r="D70" s="130">
        <f t="shared" si="1"/>
        <v>12458.16</v>
      </c>
    </row>
    <row r="71" spans="3:4">
      <c r="C71" s="127">
        <v>67</v>
      </c>
      <c r="D71" s="130">
        <f t="shared" si="1"/>
        <v>12658.98</v>
      </c>
    </row>
    <row r="72" spans="3:4">
      <c r="C72" s="127">
        <v>68</v>
      </c>
      <c r="D72" s="130">
        <f t="shared" si="1"/>
        <v>12854.72</v>
      </c>
    </row>
    <row r="73" spans="3:4">
      <c r="C73" s="127">
        <v>69</v>
      </c>
      <c r="D73" s="130">
        <f t="shared" si="1"/>
        <v>13045.14</v>
      </c>
    </row>
    <row r="74" spans="3:4">
      <c r="C74" s="127">
        <v>70</v>
      </c>
      <c r="D74" s="130">
        <f t="shared" si="1"/>
        <v>13230</v>
      </c>
    </row>
    <row r="75" spans="3:4">
      <c r="C75" s="127">
        <v>71</v>
      </c>
      <c r="D75" s="130">
        <f t="shared" si="1"/>
        <v>13409.06</v>
      </c>
    </row>
    <row r="76" spans="3:4">
      <c r="C76" s="127">
        <v>72</v>
      </c>
      <c r="D76" s="130">
        <f t="shared" si="1"/>
        <v>13582.08</v>
      </c>
    </row>
    <row r="77" spans="3:4">
      <c r="C77" s="127">
        <v>73</v>
      </c>
      <c r="D77" s="130">
        <f t="shared" si="1"/>
        <v>13748.82</v>
      </c>
    </row>
    <row r="78" spans="3:4">
      <c r="C78" s="127">
        <v>74</v>
      </c>
      <c r="D78" s="130">
        <f t="shared" si="1"/>
        <v>13909.039999999999</v>
      </c>
    </row>
    <row r="79" spans="3:4">
      <c r="C79" s="127">
        <v>75</v>
      </c>
      <c r="D79" s="130">
        <f t="shared" si="1"/>
        <v>14062.5</v>
      </c>
    </row>
    <row r="80" spans="3:4">
      <c r="C80" s="127">
        <v>76</v>
      </c>
      <c r="D80" s="130">
        <f t="shared" si="1"/>
        <v>14208.96</v>
      </c>
    </row>
    <row r="81" spans="3:4">
      <c r="C81" s="127">
        <v>77</v>
      </c>
      <c r="D81" s="130">
        <f t="shared" si="1"/>
        <v>14348.18</v>
      </c>
    </row>
    <row r="82" spans="3:4">
      <c r="C82" s="127">
        <v>78</v>
      </c>
      <c r="D82" s="130">
        <f t="shared" si="1"/>
        <v>14479.919999999998</v>
      </c>
    </row>
    <row r="83" spans="3:4">
      <c r="C83" s="127">
        <v>79</v>
      </c>
      <c r="D83" s="130">
        <f t="shared" si="1"/>
        <v>14603.939999999999</v>
      </c>
    </row>
    <row r="84" spans="3:4">
      <c r="C84" s="127">
        <v>80</v>
      </c>
      <c r="D84" s="130">
        <f t="shared" si="1"/>
        <v>14720</v>
      </c>
    </row>
    <row r="85" spans="3:4">
      <c r="C85" s="127">
        <v>81</v>
      </c>
      <c r="D85" s="130">
        <f t="shared" si="1"/>
        <v>14827.86</v>
      </c>
    </row>
    <row r="86" spans="3:4">
      <c r="C86" s="127">
        <v>82</v>
      </c>
      <c r="D86" s="130">
        <f t="shared" si="1"/>
        <v>14927.279999999999</v>
      </c>
    </row>
    <row r="87" spans="3:4">
      <c r="C87" s="127">
        <v>83</v>
      </c>
      <c r="D87" s="130">
        <f t="shared" si="1"/>
        <v>15018.02</v>
      </c>
    </row>
    <row r="88" spans="3:4">
      <c r="C88" s="127">
        <v>84</v>
      </c>
      <c r="D88" s="130">
        <f t="shared" si="1"/>
        <v>15099.84</v>
      </c>
    </row>
    <row r="89" spans="3:4">
      <c r="C89" s="127">
        <v>85</v>
      </c>
      <c r="D89" s="130">
        <f t="shared" si="1"/>
        <v>15172.5</v>
      </c>
    </row>
    <row r="90" spans="3:4">
      <c r="C90" s="127">
        <v>86</v>
      </c>
      <c r="D90" s="130">
        <f t="shared" si="1"/>
        <v>15235.759999999998</v>
      </c>
    </row>
    <row r="91" spans="3:4">
      <c r="C91" s="127">
        <v>87</v>
      </c>
      <c r="D91" s="130">
        <f t="shared" si="1"/>
        <v>15289.380000000001</v>
      </c>
    </row>
    <row r="92" spans="3:4">
      <c r="C92" s="127">
        <v>88</v>
      </c>
      <c r="D92" s="130">
        <f t="shared" si="1"/>
        <v>15333.119999999999</v>
      </c>
    </row>
    <row r="93" spans="3:4">
      <c r="C93" s="127">
        <v>89</v>
      </c>
      <c r="D93" s="130">
        <f t="shared" si="1"/>
        <v>15366.739999999998</v>
      </c>
    </row>
    <row r="94" spans="3:4">
      <c r="C94" s="127">
        <v>90</v>
      </c>
      <c r="D94" s="130">
        <f t="shared" si="1"/>
        <v>15390</v>
      </c>
    </row>
    <row r="95" spans="3:4">
      <c r="C95" s="127">
        <v>91</v>
      </c>
      <c r="D95" s="130">
        <f t="shared" si="1"/>
        <v>15402.66</v>
      </c>
    </row>
    <row r="96" spans="3:4">
      <c r="C96" s="127">
        <v>92</v>
      </c>
      <c r="D96" s="130">
        <f t="shared" si="1"/>
        <v>15404.48</v>
      </c>
    </row>
    <row r="97" spans="3:4">
      <c r="C97" s="127">
        <v>93</v>
      </c>
      <c r="D97" s="130">
        <f t="shared" si="1"/>
        <v>15395.219999999998</v>
      </c>
    </row>
    <row r="98" spans="3:4">
      <c r="C98" s="127">
        <v>94</v>
      </c>
      <c r="D98" s="130">
        <f t="shared" si="1"/>
        <v>15374.64</v>
      </c>
    </row>
    <row r="99" spans="3:4">
      <c r="C99" s="127">
        <v>95</v>
      </c>
      <c r="D99" s="130">
        <f t="shared" si="1"/>
        <v>15342.5</v>
      </c>
    </row>
    <row r="100" spans="3:4">
      <c r="C100" s="127">
        <v>96</v>
      </c>
      <c r="D100" s="130">
        <f>$A$4*C100^3+$A$6*C100^2</f>
        <v>15298.559999999998</v>
      </c>
    </row>
    <row r="101" spans="3:4">
      <c r="C101" s="127">
        <v>97</v>
      </c>
      <c r="D101" s="130">
        <f>$A$4*C101^3+$A$6*C101^2</f>
        <v>15242.580000000002</v>
      </c>
    </row>
    <row r="102" spans="3:4">
      <c r="C102" s="127">
        <v>98</v>
      </c>
      <c r="D102" s="130">
        <f>$A$4*C102^3+$A$6*C102^2</f>
        <v>15174.32</v>
      </c>
    </row>
    <row r="103" spans="3:4">
      <c r="C103" s="127">
        <v>99</v>
      </c>
      <c r="D103" s="130">
        <f>$A$4*C103^3+$A$6*C103^2</f>
        <v>15093.54</v>
      </c>
    </row>
    <row r="104" spans="3:4">
      <c r="C104" s="127">
        <v>100</v>
      </c>
      <c r="D104" s="130">
        <f>$A$4*C104^3+$A$6*C104^2</f>
        <v>15000</v>
      </c>
    </row>
    <row r="105" spans="3:4">
      <c r="C105" s="127">
        <v>101</v>
      </c>
      <c r="D105" s="130">
        <f t="shared" ref="D105:D119" si="2">$A$4*C105^3+$A$6*C105^2</f>
        <v>14893.46</v>
      </c>
    </row>
    <row r="106" spans="3:4">
      <c r="C106" s="127">
        <v>102</v>
      </c>
      <c r="D106" s="130">
        <f t="shared" si="2"/>
        <v>14773.68</v>
      </c>
    </row>
    <row r="107" spans="3:4">
      <c r="C107" s="127">
        <v>103</v>
      </c>
      <c r="D107" s="130">
        <f t="shared" si="2"/>
        <v>14640.419999999998</v>
      </c>
    </row>
    <row r="108" spans="3:4">
      <c r="C108" s="127">
        <v>104</v>
      </c>
      <c r="D108" s="130">
        <f t="shared" si="2"/>
        <v>14493.440000000002</v>
      </c>
    </row>
    <row r="109" spans="3:4">
      <c r="C109" s="127">
        <v>105</v>
      </c>
      <c r="D109" s="130">
        <f t="shared" si="2"/>
        <v>14332.5</v>
      </c>
    </row>
    <row r="110" spans="3:4">
      <c r="C110" s="127">
        <v>106</v>
      </c>
      <c r="D110" s="130">
        <f t="shared" si="2"/>
        <v>14157.36</v>
      </c>
    </row>
    <row r="111" spans="3:4">
      <c r="C111" s="127">
        <v>107</v>
      </c>
      <c r="D111" s="130">
        <f t="shared" si="2"/>
        <v>13967.779999999999</v>
      </c>
    </row>
    <row r="112" spans="3:4">
      <c r="C112" s="127">
        <v>108</v>
      </c>
      <c r="D112" s="130">
        <f>$A$4*C112^3+$A$6*C112^2</f>
        <v>13763.519999999997</v>
      </c>
    </row>
    <row r="113" spans="3:4">
      <c r="C113" s="127">
        <v>109</v>
      </c>
      <c r="D113" s="130">
        <f t="shared" si="2"/>
        <v>13544.339999999997</v>
      </c>
    </row>
    <row r="114" spans="3:4">
      <c r="C114" s="127">
        <v>110</v>
      </c>
      <c r="D114" s="130">
        <f t="shared" si="2"/>
        <v>13310</v>
      </c>
    </row>
    <row r="115" spans="3:4">
      <c r="C115" s="127">
        <v>111</v>
      </c>
      <c r="D115" s="130">
        <f t="shared" si="2"/>
        <v>13060.260000000002</v>
      </c>
    </row>
    <row r="116" spans="3:4">
      <c r="C116" s="127">
        <v>112</v>
      </c>
      <c r="D116" s="130">
        <f t="shared" si="2"/>
        <v>12794.879999999997</v>
      </c>
    </row>
    <row r="117" spans="3:4">
      <c r="C117" s="127">
        <v>113</v>
      </c>
      <c r="D117" s="130">
        <f t="shared" si="2"/>
        <v>12513.619999999995</v>
      </c>
    </row>
    <row r="118" spans="3:4">
      <c r="C118" s="127">
        <v>114</v>
      </c>
      <c r="D118" s="130">
        <f t="shared" si="2"/>
        <v>12216.239999999998</v>
      </c>
    </row>
    <row r="119" spans="3:4">
      <c r="C119" s="127">
        <v>115</v>
      </c>
      <c r="D119" s="130">
        <f t="shared" si="2"/>
        <v>11902.5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50"/>
  <sheetViews>
    <sheetView zoomScale="80" zoomScaleNormal="80" workbookViewId="0"/>
  </sheetViews>
  <sheetFormatPr defaultRowHeight="15"/>
  <cols>
    <col min="1" max="1" width="20.28515625" customWidth="1"/>
    <col min="2" max="3" width="7.7109375" customWidth="1"/>
    <col min="4" max="4" width="7.7109375" style="145" customWidth="1"/>
    <col min="5" max="5" width="7.7109375" style="206" customWidth="1"/>
    <col min="6" max="8" width="7.7109375" style="145" customWidth="1"/>
    <col min="9" max="9" width="7.7109375" style="231" customWidth="1"/>
    <col min="10" max="10" width="7.7109375" customWidth="1"/>
  </cols>
  <sheetData>
    <row r="1" spans="1:10" s="287" customFormat="1"/>
    <row r="2" spans="1:10" ht="18.75">
      <c r="A2" s="218"/>
      <c r="B2" s="173"/>
      <c r="C2" s="42"/>
      <c r="D2" s="146"/>
      <c r="E2" s="207"/>
      <c r="F2" s="146"/>
      <c r="G2" s="146"/>
      <c r="H2" s="146"/>
      <c r="I2" s="207"/>
      <c r="J2" s="42"/>
    </row>
    <row r="3" spans="1:10">
      <c r="B3" s="5"/>
      <c r="C3" s="5"/>
      <c r="D3" s="5"/>
      <c r="E3" s="5"/>
      <c r="F3" s="5"/>
      <c r="G3" s="5"/>
      <c r="H3" s="5"/>
      <c r="I3" s="5"/>
      <c r="J3" s="5"/>
    </row>
    <row r="4" spans="1:10" ht="19.899999999999999" customHeight="1">
      <c r="A4" s="1" t="s">
        <v>1</v>
      </c>
      <c r="B4" s="166" t="s">
        <v>11</v>
      </c>
      <c r="C4" s="166" t="str">
        <f>'2 Proxy Sum'!C5</f>
        <v>ATO</v>
      </c>
      <c r="D4" s="166" t="str">
        <f>'2 Proxy Sum'!C6</f>
        <v>CPK</v>
      </c>
      <c r="E4" s="166" t="str">
        <f>'2 Proxy Sum'!C7</f>
        <v>NJR</v>
      </c>
      <c r="F4" s="166" t="str">
        <f>'2 Proxy Sum'!C8</f>
        <v>NI</v>
      </c>
      <c r="G4" s="166" t="str">
        <f>'2 Proxy Sum'!C9</f>
        <v>NWN</v>
      </c>
      <c r="H4" s="166" t="str">
        <f>'2 Proxy Sum'!C10</f>
        <v>OGS</v>
      </c>
      <c r="I4" s="166" t="str">
        <f>'2 Proxy Sum'!C11</f>
        <v>SWX</v>
      </c>
      <c r="J4" s="166" t="str">
        <f>'2 Proxy Sum'!C12</f>
        <v>SR</v>
      </c>
    </row>
    <row r="5" spans="1:10" ht="19.899999999999999" customHeight="1">
      <c r="C5" s="1"/>
      <c r="D5" s="147"/>
      <c r="E5" s="208"/>
      <c r="F5" s="147"/>
      <c r="G5" s="147"/>
      <c r="H5" s="147"/>
      <c r="I5" s="232"/>
    </row>
    <row r="6" spans="1:10" ht="19.899999999999999" customHeight="1">
      <c r="A6" s="2" t="s">
        <v>9</v>
      </c>
      <c r="B6" s="19">
        <f>AVERAGE(B9:B38)</f>
        <v>3862.1010000000006</v>
      </c>
      <c r="C6" s="18">
        <f t="shared" ref="C6:J6" si="0">AVERAGE(C9:C38)</f>
        <v>110.7300006</v>
      </c>
      <c r="D6" s="18">
        <f t="shared" ref="D6:H6" si="1">AVERAGE(D9:D38)</f>
        <v>125.90497693333336</v>
      </c>
      <c r="E6" s="18">
        <f t="shared" ref="E6" si="2">AVERAGE(E9:E38)</f>
        <v>43.998107800000007</v>
      </c>
      <c r="F6" s="18">
        <f t="shared" si="1"/>
        <v>28.96066646666667</v>
      </c>
      <c r="G6" s="18">
        <f t="shared" si="1"/>
        <v>52.887999966666669</v>
      </c>
      <c r="H6" s="18">
        <f t="shared" si="1"/>
        <v>81.259666999999993</v>
      </c>
      <c r="I6" s="18">
        <f t="shared" ref="I6" si="3">AVERAGE(I9:I38)</f>
        <v>87.521666233333335</v>
      </c>
      <c r="J6" s="18">
        <f t="shared" si="0"/>
        <v>73.254238133333331</v>
      </c>
    </row>
    <row r="7" spans="1:10" ht="19.899999999999999" customHeight="1">
      <c r="A7" s="37" t="s">
        <v>8</v>
      </c>
      <c r="B7" s="38">
        <f>STDEV(B9:B38)</f>
        <v>127.2086326324079</v>
      </c>
      <c r="C7" s="39">
        <f t="shared" ref="C7:J7" si="4">STDEV(C9:C38)</f>
        <v>3.6921106949078144</v>
      </c>
      <c r="D7" s="39">
        <f t="shared" ref="D7:H7" si="5">STDEV(D9:D38)</f>
        <v>4.2507450700190406</v>
      </c>
      <c r="E7" s="39">
        <f t="shared" ref="E7" si="6">STDEV(E9:E38)</f>
        <v>1.3080342882791827</v>
      </c>
      <c r="F7" s="39">
        <f t="shared" si="5"/>
        <v>1.3383468257606093</v>
      </c>
      <c r="G7" s="39">
        <f t="shared" si="5"/>
        <v>1.3010935442535669</v>
      </c>
      <c r="H7" s="39">
        <f t="shared" si="5"/>
        <v>3.0551516610780438</v>
      </c>
      <c r="I7" s="39">
        <f t="shared" ref="I7" si="7">STDEV(I9:I38)</f>
        <v>2.9896063220828548</v>
      </c>
      <c r="J7" s="39">
        <f t="shared" si="4"/>
        <v>2.487844020299792</v>
      </c>
    </row>
    <row r="8" spans="1:10" ht="19.899999999999999" customHeight="1">
      <c r="A8" s="17"/>
      <c r="C8" s="1"/>
      <c r="D8" s="147"/>
      <c r="E8" s="208"/>
      <c r="F8" s="147"/>
      <c r="G8" s="147"/>
      <c r="H8" s="147"/>
      <c r="I8" s="232"/>
    </row>
    <row r="9" spans="1:10" ht="19.899999999999999" customHeight="1">
      <c r="A9" s="229">
        <v>44715</v>
      </c>
      <c r="B9" s="20">
        <v>4108.54</v>
      </c>
      <c r="C9" s="3">
        <v>116.110001</v>
      </c>
      <c r="D9" s="3">
        <v>132.80592300000001</v>
      </c>
      <c r="E9" s="3">
        <v>45.759602000000001</v>
      </c>
      <c r="F9" s="3">
        <v>31.42</v>
      </c>
      <c r="G9" s="3">
        <v>55.18</v>
      </c>
      <c r="H9" s="3">
        <v>87.150002000000001</v>
      </c>
      <c r="I9" s="3">
        <v>93.82</v>
      </c>
      <c r="J9" s="3">
        <v>76.925797000000003</v>
      </c>
    </row>
    <row r="10" spans="1:10" ht="19.899999999999999" customHeight="1">
      <c r="A10" s="34">
        <v>44718</v>
      </c>
      <c r="B10" s="20">
        <v>4121.43</v>
      </c>
      <c r="C10" s="3">
        <v>116.760002</v>
      </c>
      <c r="D10" s="3">
        <v>134.359207</v>
      </c>
      <c r="E10" s="3">
        <v>46.305069000000003</v>
      </c>
      <c r="F10" s="3">
        <v>31.76</v>
      </c>
      <c r="G10" s="3">
        <v>55.450001</v>
      </c>
      <c r="H10" s="3">
        <v>87.440002000000007</v>
      </c>
      <c r="I10" s="3">
        <v>93.25</v>
      </c>
      <c r="J10" s="3">
        <v>77.589889999999997</v>
      </c>
    </row>
    <row r="11" spans="1:10" ht="19.899999999999999" customHeight="1">
      <c r="A11" s="34">
        <v>44719</v>
      </c>
      <c r="B11" s="20">
        <v>4160.68</v>
      </c>
      <c r="C11" s="3">
        <v>117.43</v>
      </c>
      <c r="D11" s="3">
        <v>133.54272499999999</v>
      </c>
      <c r="E11" s="3">
        <v>46.483584999999998</v>
      </c>
      <c r="F11" s="3">
        <v>31.77</v>
      </c>
      <c r="G11" s="3">
        <v>55.32</v>
      </c>
      <c r="H11" s="3">
        <v>88.160004000000001</v>
      </c>
      <c r="I11" s="3">
        <v>93.5</v>
      </c>
      <c r="J11" s="3">
        <v>77.976448000000005</v>
      </c>
    </row>
    <row r="12" spans="1:10" ht="19.899999999999999" customHeight="1">
      <c r="A12" s="34">
        <v>44720</v>
      </c>
      <c r="B12" s="20">
        <v>4115.7700000000004</v>
      </c>
      <c r="C12" s="3">
        <v>115.220001</v>
      </c>
      <c r="D12" s="3">
        <v>129.918396</v>
      </c>
      <c r="E12" s="3">
        <v>46.057129000000003</v>
      </c>
      <c r="F12" s="3">
        <v>31.030000999999999</v>
      </c>
      <c r="G12" s="3">
        <v>54.700001</v>
      </c>
      <c r="H12" s="3">
        <v>86.529999000000004</v>
      </c>
      <c r="I12" s="3">
        <v>92.209998999999996</v>
      </c>
      <c r="J12" s="3">
        <v>77.014999000000003</v>
      </c>
    </row>
    <row r="13" spans="1:10" ht="19.899999999999999" customHeight="1">
      <c r="A13" s="34">
        <v>44721</v>
      </c>
      <c r="B13" s="20">
        <v>4017.82</v>
      </c>
      <c r="C13" s="3">
        <v>112.949997</v>
      </c>
      <c r="D13" s="3">
        <v>128.47463999999999</v>
      </c>
      <c r="E13" s="3">
        <v>45.660426999999999</v>
      </c>
      <c r="F13" s="3">
        <v>30.23</v>
      </c>
      <c r="G13" s="3">
        <v>53.419998</v>
      </c>
      <c r="H13" s="3">
        <v>85</v>
      </c>
      <c r="I13" s="3">
        <v>91.650002000000001</v>
      </c>
      <c r="J13" s="3">
        <v>75.989998</v>
      </c>
    </row>
    <row r="14" spans="1:10" ht="19.899999999999999" customHeight="1">
      <c r="A14" s="34">
        <v>44722</v>
      </c>
      <c r="B14" s="20">
        <v>3900.86</v>
      </c>
      <c r="C14" s="3">
        <v>111.970001</v>
      </c>
      <c r="D14" s="3">
        <v>128.753433</v>
      </c>
      <c r="E14" s="3">
        <v>45.660426999999999</v>
      </c>
      <c r="F14" s="3">
        <v>30.049999</v>
      </c>
      <c r="G14" s="3">
        <v>54.09</v>
      </c>
      <c r="H14" s="3">
        <v>85.110000999999997</v>
      </c>
      <c r="I14" s="3">
        <v>91.889999000000003</v>
      </c>
      <c r="J14" s="3">
        <v>76.959998999999996</v>
      </c>
    </row>
    <row r="15" spans="1:10" ht="19.899999999999999" customHeight="1">
      <c r="A15" s="34">
        <v>44725</v>
      </c>
      <c r="B15" s="20">
        <v>3749.63</v>
      </c>
      <c r="C15" s="3">
        <v>107.010002</v>
      </c>
      <c r="D15" s="3">
        <v>123.764999</v>
      </c>
      <c r="E15" s="3">
        <v>43.667000000000002</v>
      </c>
      <c r="F15" s="3">
        <v>28.540001</v>
      </c>
      <c r="G15" s="3">
        <v>51.509998000000003</v>
      </c>
      <c r="H15" s="3">
        <v>80.160004000000001</v>
      </c>
      <c r="I15" s="3">
        <v>88.18</v>
      </c>
      <c r="J15" s="3">
        <v>73.660004000000001</v>
      </c>
    </row>
    <row r="16" spans="1:10" ht="19.899999999999999" customHeight="1">
      <c r="A16" s="34">
        <v>44726</v>
      </c>
      <c r="B16" s="20">
        <v>3735.48</v>
      </c>
      <c r="C16" s="3">
        <v>105.540001</v>
      </c>
      <c r="D16" s="3">
        <v>119.959999</v>
      </c>
      <c r="E16" s="3">
        <v>42.610000999999997</v>
      </c>
      <c r="F16" s="3">
        <v>27.6</v>
      </c>
      <c r="G16" s="3">
        <v>50.810001</v>
      </c>
      <c r="H16" s="3">
        <v>78.819999999999993</v>
      </c>
      <c r="I16" s="3">
        <v>87.040001000000004</v>
      </c>
      <c r="J16" s="3">
        <v>72.970000999999996</v>
      </c>
    </row>
    <row r="17" spans="1:10" ht="19.899999999999999" customHeight="1">
      <c r="A17" s="34">
        <v>44727</v>
      </c>
      <c r="B17" s="20">
        <v>3789.99</v>
      </c>
      <c r="C17" s="3">
        <v>106.089996</v>
      </c>
      <c r="D17" s="3">
        <v>120.779999</v>
      </c>
      <c r="E17" s="3">
        <v>42.919998</v>
      </c>
      <c r="F17" s="3">
        <v>27.719999000000001</v>
      </c>
      <c r="G17" s="3">
        <v>50.810001</v>
      </c>
      <c r="H17" s="3">
        <v>79</v>
      </c>
      <c r="I17" s="3">
        <v>86.309997999999993</v>
      </c>
      <c r="J17" s="3">
        <v>72.260002</v>
      </c>
    </row>
    <row r="18" spans="1:10" ht="19.899999999999999" customHeight="1">
      <c r="A18" s="34">
        <v>44728</v>
      </c>
      <c r="B18" s="20">
        <v>3666.77</v>
      </c>
      <c r="C18" s="3">
        <v>104.58000199999999</v>
      </c>
      <c r="D18" s="3">
        <v>120.290001</v>
      </c>
      <c r="E18" s="3">
        <v>42.349997999999999</v>
      </c>
      <c r="F18" s="3">
        <v>27.17</v>
      </c>
      <c r="G18" s="3">
        <v>50.860000999999997</v>
      </c>
      <c r="H18" s="3">
        <v>78.080001999999993</v>
      </c>
      <c r="I18" s="3">
        <v>84</v>
      </c>
      <c r="J18" s="3">
        <v>71.690002000000007</v>
      </c>
    </row>
    <row r="19" spans="1:10" ht="19.899999999999999" customHeight="1">
      <c r="A19" s="34">
        <v>44729</v>
      </c>
      <c r="B19" s="20">
        <v>3674.84</v>
      </c>
      <c r="C19" s="3">
        <v>103.510002</v>
      </c>
      <c r="D19" s="3">
        <v>119</v>
      </c>
      <c r="E19" s="3">
        <v>41.330002</v>
      </c>
      <c r="F19" s="3">
        <v>26.66</v>
      </c>
      <c r="G19" s="3">
        <v>51.689999</v>
      </c>
      <c r="H19" s="3">
        <v>77.440002000000007</v>
      </c>
      <c r="I19" s="3">
        <v>82.489998</v>
      </c>
      <c r="J19" s="3">
        <v>70.669998000000007</v>
      </c>
    </row>
    <row r="20" spans="1:10" ht="19.899999999999999" customHeight="1">
      <c r="A20" s="34">
        <v>44733</v>
      </c>
      <c r="B20" s="20">
        <v>3764.79</v>
      </c>
      <c r="C20" s="3">
        <v>105.470001</v>
      </c>
      <c r="D20" s="3">
        <v>120.959999</v>
      </c>
      <c r="E20" s="3">
        <v>42.209999000000003</v>
      </c>
      <c r="F20" s="3">
        <v>26.98</v>
      </c>
      <c r="G20" s="3">
        <v>51.759998000000003</v>
      </c>
      <c r="H20" s="3">
        <v>78.419998000000007</v>
      </c>
      <c r="I20" s="3">
        <v>84.510002</v>
      </c>
      <c r="J20" s="3">
        <v>71.889999000000003</v>
      </c>
    </row>
    <row r="21" spans="1:10" ht="19.899999999999999" customHeight="1">
      <c r="A21" s="34">
        <v>44734</v>
      </c>
      <c r="B21" s="20">
        <v>3759.89</v>
      </c>
      <c r="C21" s="3">
        <v>105.660004</v>
      </c>
      <c r="D21" s="3">
        <v>120.57</v>
      </c>
      <c r="E21" s="3">
        <v>42.689999</v>
      </c>
      <c r="F21" s="3">
        <v>27.389999</v>
      </c>
      <c r="G21" s="3">
        <v>52.080002</v>
      </c>
      <c r="H21" s="3">
        <v>78.379997000000003</v>
      </c>
      <c r="I21" s="3">
        <v>84.93</v>
      </c>
      <c r="J21" s="3">
        <v>71.930000000000007</v>
      </c>
    </row>
    <row r="22" spans="1:10" ht="19.899999999999999" customHeight="1">
      <c r="A22" s="34">
        <v>44735</v>
      </c>
      <c r="B22" s="20">
        <v>3795.73</v>
      </c>
      <c r="C22" s="3">
        <v>107.040001</v>
      </c>
      <c r="D22" s="3">
        <v>120.80999799999999</v>
      </c>
      <c r="E22" s="3">
        <v>42.669998</v>
      </c>
      <c r="F22" s="3">
        <v>27.809999000000001</v>
      </c>
      <c r="G22" s="3">
        <v>52.119999</v>
      </c>
      <c r="H22" s="3">
        <v>78.190002000000007</v>
      </c>
      <c r="I22" s="3">
        <v>86.699996999999996</v>
      </c>
      <c r="J22" s="3">
        <v>72.129997000000003</v>
      </c>
    </row>
    <row r="23" spans="1:10" ht="19.899999999999999" customHeight="1">
      <c r="A23" s="34">
        <v>44736</v>
      </c>
      <c r="B23" s="20">
        <v>3911.74</v>
      </c>
      <c r="C23" s="3">
        <v>109.239998</v>
      </c>
      <c r="D23" s="3">
        <v>120.529999</v>
      </c>
      <c r="E23" s="3">
        <v>43.709999000000003</v>
      </c>
      <c r="F23" s="3">
        <v>28.620000999999998</v>
      </c>
      <c r="G23" s="3">
        <v>52.389999000000003</v>
      </c>
      <c r="H23" s="3">
        <v>78.459998999999996</v>
      </c>
      <c r="I23" s="3">
        <v>88.07</v>
      </c>
      <c r="J23" s="3">
        <v>73.25</v>
      </c>
    </row>
    <row r="24" spans="1:10" ht="19.899999999999999" customHeight="1">
      <c r="A24" s="34">
        <v>44739</v>
      </c>
      <c r="B24" s="20">
        <v>3900.11</v>
      </c>
      <c r="C24" s="3">
        <v>110.75</v>
      </c>
      <c r="D24" s="3">
        <v>126.589996</v>
      </c>
      <c r="E24" s="3">
        <v>44.560001</v>
      </c>
      <c r="F24" s="3">
        <v>29.16</v>
      </c>
      <c r="G24" s="3">
        <v>53.48</v>
      </c>
      <c r="H24" s="3">
        <v>81.099997999999999</v>
      </c>
      <c r="I24" s="3">
        <v>89.519997000000004</v>
      </c>
      <c r="J24" s="3">
        <v>74.989998</v>
      </c>
    </row>
    <row r="25" spans="1:10" ht="19.899999999999999" customHeight="1">
      <c r="A25" s="34">
        <v>44740</v>
      </c>
      <c r="B25" s="20">
        <v>3821.55</v>
      </c>
      <c r="C25" s="3">
        <v>110.650002</v>
      </c>
      <c r="D25" s="3">
        <v>126.550003</v>
      </c>
      <c r="E25" s="3">
        <v>44.720001000000003</v>
      </c>
      <c r="F25" s="3">
        <v>29.35</v>
      </c>
      <c r="G25" s="3">
        <v>53.139999000000003</v>
      </c>
      <c r="H25" s="3">
        <v>80.930000000000007</v>
      </c>
      <c r="I25" s="3">
        <v>87.459998999999996</v>
      </c>
      <c r="J25" s="3">
        <v>74.389999000000003</v>
      </c>
    </row>
    <row r="26" spans="1:10" ht="19.899999999999999" customHeight="1">
      <c r="A26" s="34">
        <v>44741</v>
      </c>
      <c r="B26" s="20">
        <v>3818.83</v>
      </c>
      <c r="C26" s="3">
        <v>110.900002</v>
      </c>
      <c r="D26" s="3">
        <v>126.449997</v>
      </c>
      <c r="E26" s="3">
        <v>44.200001</v>
      </c>
      <c r="F26" s="3">
        <v>29.459999</v>
      </c>
      <c r="G26" s="3">
        <v>52.950001</v>
      </c>
      <c r="H26" s="3">
        <v>80.809997999999993</v>
      </c>
      <c r="I26" s="3">
        <v>86.139999000000003</v>
      </c>
      <c r="J26" s="3">
        <v>74.190002000000007</v>
      </c>
    </row>
    <row r="27" spans="1:10" ht="19.899999999999999" customHeight="1">
      <c r="A27" s="34">
        <v>44742</v>
      </c>
      <c r="B27" s="20">
        <v>3785.38</v>
      </c>
      <c r="C27" s="3">
        <v>112.099998</v>
      </c>
      <c r="D27" s="3">
        <v>129.550003</v>
      </c>
      <c r="E27" s="3">
        <v>44.529998999999997</v>
      </c>
      <c r="F27" s="3">
        <v>29.49</v>
      </c>
      <c r="G27" s="3">
        <v>53.099997999999999</v>
      </c>
      <c r="H27" s="3">
        <v>81.190002000000007</v>
      </c>
      <c r="I27" s="3">
        <v>87.080001999999993</v>
      </c>
      <c r="J27" s="3">
        <v>74.370002999999997</v>
      </c>
    </row>
    <row r="28" spans="1:10" ht="19.899999999999999" customHeight="1">
      <c r="A28" s="34">
        <v>44743</v>
      </c>
      <c r="B28" s="20">
        <v>3825.33</v>
      </c>
      <c r="C28" s="3">
        <v>115.150002</v>
      </c>
      <c r="D28" s="3">
        <v>132.05999800000001</v>
      </c>
      <c r="E28" s="3">
        <v>45.490001999999997</v>
      </c>
      <c r="F28" s="3">
        <v>30.049999</v>
      </c>
      <c r="G28" s="3">
        <v>54.580002</v>
      </c>
      <c r="H28" s="3">
        <v>84.150002000000001</v>
      </c>
      <c r="I28" s="3">
        <v>88</v>
      </c>
      <c r="J28" s="3">
        <v>76.319999999999993</v>
      </c>
    </row>
    <row r="29" spans="1:10" ht="19.899999999999999" customHeight="1">
      <c r="A29" s="34">
        <v>44747</v>
      </c>
      <c r="B29" s="20">
        <v>3831.39</v>
      </c>
      <c r="C29" s="3">
        <v>110.610001</v>
      </c>
      <c r="D29" s="3">
        <v>125.790001</v>
      </c>
      <c r="E29" s="3">
        <v>43.119999</v>
      </c>
      <c r="F29" s="3">
        <v>28.549999</v>
      </c>
      <c r="G29" s="3">
        <v>51.849997999999999</v>
      </c>
      <c r="H29" s="3">
        <v>79.300003000000004</v>
      </c>
      <c r="I29" s="3">
        <v>85.779999000000004</v>
      </c>
      <c r="J29" s="3">
        <v>72.360000999999997</v>
      </c>
    </row>
    <row r="30" spans="1:10" ht="19.899999999999999" customHeight="1">
      <c r="A30" s="34">
        <v>44748</v>
      </c>
      <c r="B30" s="20">
        <v>3845.08</v>
      </c>
      <c r="C30" s="3">
        <v>113</v>
      </c>
      <c r="D30" s="3">
        <v>128.08999600000001</v>
      </c>
      <c r="E30" s="3">
        <v>43.959999000000003</v>
      </c>
      <c r="F30" s="3">
        <v>29.07</v>
      </c>
      <c r="G30" s="3">
        <v>52.959999000000003</v>
      </c>
      <c r="H30" s="3">
        <v>80.849997999999999</v>
      </c>
      <c r="I30" s="3">
        <v>86.470000999999996</v>
      </c>
      <c r="J30" s="3">
        <v>72.809997999999993</v>
      </c>
    </row>
    <row r="31" spans="1:10" ht="19.899999999999999" customHeight="1">
      <c r="A31" s="34">
        <v>44749</v>
      </c>
      <c r="B31" s="20">
        <v>3902.62</v>
      </c>
      <c r="C31" s="3">
        <v>112.339996</v>
      </c>
      <c r="D31" s="3">
        <v>125.80999799999999</v>
      </c>
      <c r="E31" s="3">
        <v>43.860000999999997</v>
      </c>
      <c r="F31" s="3">
        <v>28.5</v>
      </c>
      <c r="G31" s="3">
        <v>52.720001000000003</v>
      </c>
      <c r="H31" s="3">
        <v>80.309997999999993</v>
      </c>
      <c r="I31" s="3">
        <v>86.389999000000003</v>
      </c>
      <c r="J31" s="3">
        <v>71.900002000000001</v>
      </c>
    </row>
    <row r="32" spans="1:10" ht="19.899999999999999" customHeight="1">
      <c r="A32" s="34">
        <v>44750</v>
      </c>
      <c r="B32" s="20">
        <v>3899.38</v>
      </c>
      <c r="C32" s="3">
        <v>112.050003</v>
      </c>
      <c r="D32" s="3">
        <v>125.32</v>
      </c>
      <c r="E32" s="3">
        <v>43.700001</v>
      </c>
      <c r="F32" s="3">
        <v>28.469999000000001</v>
      </c>
      <c r="G32" s="3">
        <v>52.060001</v>
      </c>
      <c r="H32" s="3">
        <v>79.669998000000007</v>
      </c>
      <c r="I32" s="3">
        <v>86.339995999999999</v>
      </c>
      <c r="J32" s="3">
        <v>71.389999000000003</v>
      </c>
    </row>
    <row r="33" spans="1:10" ht="19.899999999999999" customHeight="1">
      <c r="A33" s="34">
        <v>44753</v>
      </c>
      <c r="B33" s="20">
        <v>3854.43</v>
      </c>
      <c r="C33" s="3">
        <v>112.120003</v>
      </c>
      <c r="D33" s="3">
        <v>125.480003</v>
      </c>
      <c r="E33" s="3">
        <v>43.790000999999997</v>
      </c>
      <c r="F33" s="3">
        <v>28.799999</v>
      </c>
      <c r="G33" s="3">
        <v>52.439999</v>
      </c>
      <c r="H33" s="3">
        <v>79.819999999999993</v>
      </c>
      <c r="I33" s="3">
        <v>86.629997000000003</v>
      </c>
      <c r="J33" s="3">
        <v>70.980002999999996</v>
      </c>
    </row>
    <row r="34" spans="1:10" ht="19.899999999999999" customHeight="1">
      <c r="A34" s="34">
        <v>44754</v>
      </c>
      <c r="B34" s="20">
        <v>3818.8</v>
      </c>
      <c r="C34" s="3">
        <v>111.849998</v>
      </c>
      <c r="D34" s="3">
        <v>124.849998</v>
      </c>
      <c r="E34" s="3">
        <v>43.48</v>
      </c>
      <c r="F34" s="3">
        <v>28.68</v>
      </c>
      <c r="G34" s="3">
        <v>52.150002000000001</v>
      </c>
      <c r="H34" s="3">
        <v>79.790001000000004</v>
      </c>
      <c r="I34" s="3">
        <v>85.309997999999993</v>
      </c>
      <c r="J34" s="3">
        <v>70.370002999999997</v>
      </c>
    </row>
    <row r="35" spans="1:10" ht="19.899999999999999" customHeight="1">
      <c r="A35" s="34">
        <v>44755</v>
      </c>
      <c r="B35" s="20">
        <v>3801.78</v>
      </c>
      <c r="C35" s="3">
        <v>111.08000199999999</v>
      </c>
      <c r="D35" s="3">
        <v>125.80999799999999</v>
      </c>
      <c r="E35" s="3">
        <v>43.529998999999997</v>
      </c>
      <c r="F35" s="3">
        <v>28.610001</v>
      </c>
      <c r="G35" s="3">
        <v>52.580002</v>
      </c>
      <c r="H35" s="3">
        <v>80.019997000000004</v>
      </c>
      <c r="I35" s="3">
        <v>86.150002000000001</v>
      </c>
      <c r="J35" s="3">
        <v>69.970000999999996</v>
      </c>
    </row>
    <row r="36" spans="1:10" ht="19.899999999999999" customHeight="1">
      <c r="A36" s="34">
        <v>44756</v>
      </c>
      <c r="B36" s="20">
        <v>3790.38</v>
      </c>
      <c r="C36" s="3">
        <v>110.91999800000001</v>
      </c>
      <c r="D36" s="3">
        <v>126.279999</v>
      </c>
      <c r="E36" s="3">
        <v>43.509998000000003</v>
      </c>
      <c r="F36" s="3">
        <v>28.709999</v>
      </c>
      <c r="G36" s="3">
        <v>53.23</v>
      </c>
      <c r="H36" s="3">
        <v>80.400002000000001</v>
      </c>
      <c r="I36" s="3">
        <v>85.620002999999997</v>
      </c>
      <c r="J36" s="3">
        <v>69.809997999999993</v>
      </c>
    </row>
    <row r="37" spans="1:10" ht="19.899999999999999" customHeight="1">
      <c r="A37" s="34">
        <v>44757</v>
      </c>
      <c r="B37" s="20">
        <v>3863.16</v>
      </c>
      <c r="C37" s="3">
        <v>111.900002</v>
      </c>
      <c r="D37" s="3">
        <v>127.790001</v>
      </c>
      <c r="E37" s="3">
        <v>44.060001</v>
      </c>
      <c r="F37" s="3">
        <v>28.780000999999999</v>
      </c>
      <c r="G37" s="3">
        <v>54.049999</v>
      </c>
      <c r="H37" s="3">
        <v>81.860000999999997</v>
      </c>
      <c r="I37" s="3">
        <v>85.449996999999996</v>
      </c>
      <c r="J37" s="3">
        <v>70.709998999999996</v>
      </c>
    </row>
    <row r="38" spans="1:10" ht="19.899999999999999" customHeight="1">
      <c r="A38" s="34">
        <v>44760</v>
      </c>
      <c r="B38" s="20">
        <v>3830.85</v>
      </c>
      <c r="C38" s="3">
        <v>111.900002</v>
      </c>
      <c r="D38" s="3">
        <v>126.209999</v>
      </c>
      <c r="E38" s="3">
        <v>43.349997999999999</v>
      </c>
      <c r="F38" s="3">
        <v>28.389999</v>
      </c>
      <c r="G38" s="3">
        <v>53.16</v>
      </c>
      <c r="H38" s="3">
        <v>81.25</v>
      </c>
      <c r="I38" s="3">
        <v>84.760002</v>
      </c>
      <c r="J38" s="3">
        <v>70.160004000000001</v>
      </c>
    </row>
    <row r="39" spans="1:10">
      <c r="A39" s="45"/>
      <c r="B39" s="45"/>
      <c r="C39" s="18"/>
      <c r="D39" s="18"/>
      <c r="E39" s="18"/>
      <c r="F39" s="18"/>
      <c r="G39" s="18"/>
      <c r="H39" s="18"/>
      <c r="I39" s="18"/>
      <c r="J39" s="15"/>
    </row>
    <row r="40" spans="1:10">
      <c r="A40" s="46"/>
      <c r="B40" s="46"/>
      <c r="C40" s="3"/>
      <c r="D40" s="3"/>
      <c r="E40" s="3"/>
      <c r="F40" s="3"/>
      <c r="G40" s="3"/>
      <c r="H40" s="3"/>
      <c r="I40" s="3"/>
    </row>
    <row r="41" spans="1:10">
      <c r="A41" s="6"/>
      <c r="B41" s="6"/>
    </row>
    <row r="42" spans="1:10" s="47" customFormat="1" ht="14.45" customHeight="1">
      <c r="A42" s="292" t="s">
        <v>78</v>
      </c>
      <c r="B42" s="292"/>
      <c r="C42" s="292"/>
      <c r="D42" s="292"/>
      <c r="E42" s="292"/>
      <c r="F42" s="292"/>
      <c r="G42" s="292"/>
      <c r="H42" s="292"/>
      <c r="I42" s="292"/>
      <c r="J42" s="292"/>
    </row>
    <row r="43" spans="1:10">
      <c r="A43" s="6"/>
      <c r="B43" s="6"/>
    </row>
    <row r="44" spans="1:10">
      <c r="A44" s="6"/>
      <c r="B44" s="6"/>
    </row>
    <row r="45" spans="1:10">
      <c r="A45" s="6"/>
      <c r="B45" s="6"/>
    </row>
    <row r="46" spans="1:10">
      <c r="A46" s="6"/>
      <c r="B46" s="6"/>
    </row>
    <row r="47" spans="1:10">
      <c r="A47" s="6"/>
      <c r="B47" s="6"/>
    </row>
    <row r="48" spans="1:10">
      <c r="A48" s="6"/>
      <c r="B48" s="6"/>
    </row>
    <row r="49" spans="1:2">
      <c r="A49" s="6"/>
      <c r="B49" s="6"/>
    </row>
    <row r="50" spans="1:2">
      <c r="A50" s="6"/>
      <c r="B50" s="6"/>
    </row>
  </sheetData>
  <mergeCells count="1">
    <mergeCell ref="A42:J42"/>
  </mergeCells>
  <printOptions horizontalCentered="1"/>
  <pageMargins left="0.7" right="0.7" top="0.75" bottom="0.75" header="0.3" footer="0.3"/>
  <pageSetup scale="65" orientation="landscape" r:id="rId1"/>
  <headerFooter scaleWithDoc="0">
    <oddHeader>&amp;C&amp;"-,Bold"&amp;14DCF Stock and Index Prices&amp;R&amp;10Docket No. 20220067-GU
FPUC Petition
Exhibit DJG-3
Page &amp;P of &amp;N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2"/>
  <sheetViews>
    <sheetView workbookViewId="0"/>
  </sheetViews>
  <sheetFormatPr defaultRowHeight="15"/>
  <cols>
    <col min="1" max="1" width="4.5703125" customWidth="1"/>
    <col min="2" max="2" width="4.7109375" customWidth="1"/>
    <col min="3" max="3" width="3.85546875" customWidth="1"/>
    <col min="4" max="4" width="5.7109375" customWidth="1"/>
    <col min="5" max="5" width="8.140625" customWidth="1"/>
    <col min="6" max="6" width="8.7109375" customWidth="1"/>
    <col min="7" max="7" width="5.85546875" customWidth="1"/>
    <col min="8" max="8" width="6.140625" customWidth="1"/>
    <col min="9" max="9" width="6.28515625" customWidth="1"/>
    <col min="10" max="10" width="6" customWidth="1"/>
  </cols>
  <sheetData>
    <row r="1" spans="1:10">
      <c r="A1" t="s">
        <v>88</v>
      </c>
      <c r="B1" t="s">
        <v>89</v>
      </c>
      <c r="C1" s="301" t="s">
        <v>93</v>
      </c>
      <c r="D1" s="301"/>
      <c r="E1" t="s">
        <v>94</v>
      </c>
      <c r="F1" t="s">
        <v>95</v>
      </c>
      <c r="G1" s="301" t="s">
        <v>96</v>
      </c>
      <c r="H1" s="301"/>
      <c r="I1" s="301" t="s">
        <v>97</v>
      </c>
      <c r="J1" s="301"/>
    </row>
    <row r="2" spans="1:10">
      <c r="A2" s="23">
        <v>1</v>
      </c>
      <c r="B2" s="23">
        <v>100</v>
      </c>
      <c r="C2" s="23">
        <v>0</v>
      </c>
      <c r="D2" s="23">
        <v>100</v>
      </c>
      <c r="E2" s="23">
        <v>0</v>
      </c>
      <c r="F2" s="23">
        <v>-40</v>
      </c>
      <c r="G2" s="23">
        <v>22</v>
      </c>
      <c r="H2" s="23">
        <v>10</v>
      </c>
      <c r="I2" s="23">
        <v>22</v>
      </c>
      <c r="J2" s="23">
        <v>-5</v>
      </c>
    </row>
    <row r="3" spans="1:10">
      <c r="A3" s="23">
        <v>2</v>
      </c>
      <c r="B3" s="23">
        <v>75</v>
      </c>
      <c r="C3" s="23">
        <v>1</v>
      </c>
      <c r="D3" s="23">
        <v>100</v>
      </c>
      <c r="E3" s="23">
        <v>0</v>
      </c>
      <c r="F3" s="23">
        <v>-40</v>
      </c>
      <c r="G3" s="23">
        <v>22</v>
      </c>
      <c r="H3" s="23">
        <v>90</v>
      </c>
      <c r="I3" s="23">
        <v>22</v>
      </c>
      <c r="J3" s="23">
        <v>-35</v>
      </c>
    </row>
    <row r="4" spans="1:10">
      <c r="A4" s="23">
        <v>3</v>
      </c>
      <c r="B4" s="23">
        <v>55</v>
      </c>
      <c r="C4" s="23">
        <v>2</v>
      </c>
      <c r="D4" s="23">
        <v>100</v>
      </c>
      <c r="E4" s="23">
        <v>0</v>
      </c>
      <c r="F4" s="23">
        <v>-40</v>
      </c>
      <c r="G4" s="23"/>
      <c r="H4" s="23"/>
      <c r="I4" s="23"/>
    </row>
    <row r="5" spans="1:10">
      <c r="A5" s="23">
        <v>4</v>
      </c>
      <c r="B5" s="23">
        <v>37</v>
      </c>
      <c r="C5" s="23">
        <v>3</v>
      </c>
      <c r="D5" s="23">
        <v>100</v>
      </c>
      <c r="E5" s="23">
        <v>0</v>
      </c>
      <c r="F5" s="23">
        <v>-40</v>
      </c>
      <c r="G5" s="23"/>
      <c r="H5" s="23"/>
      <c r="I5" s="23"/>
    </row>
    <row r="6" spans="1:10">
      <c r="A6" s="23">
        <v>5</v>
      </c>
      <c r="B6" s="23">
        <v>25</v>
      </c>
      <c r="C6" s="23">
        <v>4</v>
      </c>
      <c r="D6" s="23">
        <v>100</v>
      </c>
      <c r="E6" s="23">
        <v>0</v>
      </c>
      <c r="F6" s="23">
        <v>-40</v>
      </c>
      <c r="G6" s="23"/>
      <c r="H6" s="23"/>
      <c r="I6" s="23"/>
    </row>
    <row r="7" spans="1:10">
      <c r="A7" s="23">
        <v>6</v>
      </c>
      <c r="B7" s="23">
        <v>17</v>
      </c>
      <c r="C7" s="23">
        <v>5</v>
      </c>
      <c r="D7" s="23">
        <v>100</v>
      </c>
      <c r="E7" s="23">
        <v>0</v>
      </c>
      <c r="F7" s="23">
        <v>-40</v>
      </c>
      <c r="G7" s="23"/>
      <c r="H7" s="23"/>
      <c r="I7" s="23"/>
    </row>
    <row r="8" spans="1:10">
      <c r="A8" s="23">
        <v>7</v>
      </c>
      <c r="B8" s="23">
        <v>12</v>
      </c>
      <c r="C8" s="23">
        <v>6</v>
      </c>
      <c r="D8" s="23">
        <v>100</v>
      </c>
      <c r="E8" s="23">
        <v>0</v>
      </c>
      <c r="F8" s="23">
        <v>-40</v>
      </c>
      <c r="G8" s="23"/>
      <c r="H8" s="23"/>
      <c r="I8" s="23"/>
    </row>
    <row r="9" spans="1:10">
      <c r="A9" s="23">
        <v>8</v>
      </c>
      <c r="B9" s="23">
        <v>8.25</v>
      </c>
      <c r="C9" s="23">
        <v>7</v>
      </c>
      <c r="D9" s="23">
        <v>100</v>
      </c>
      <c r="E9" s="23">
        <v>0</v>
      </c>
      <c r="F9" s="23">
        <v>-40</v>
      </c>
      <c r="G9" s="23"/>
      <c r="H9" s="23"/>
      <c r="I9" s="23"/>
    </row>
    <row r="10" spans="1:10">
      <c r="A10" s="23">
        <v>9</v>
      </c>
      <c r="B10" s="23">
        <v>5.5</v>
      </c>
      <c r="C10" s="23">
        <v>8</v>
      </c>
      <c r="D10" s="23">
        <v>100</v>
      </c>
      <c r="E10" s="23">
        <v>0</v>
      </c>
      <c r="F10" s="23">
        <v>-40</v>
      </c>
      <c r="G10" s="23"/>
      <c r="H10" s="23"/>
      <c r="I10" s="23"/>
    </row>
    <row r="11" spans="1:10">
      <c r="A11" s="23">
        <v>10</v>
      </c>
      <c r="B11" s="23">
        <v>4</v>
      </c>
      <c r="C11" s="23">
        <v>9</v>
      </c>
      <c r="D11" s="23">
        <v>100</v>
      </c>
      <c r="E11" s="23">
        <v>0</v>
      </c>
      <c r="F11" s="23">
        <v>-40</v>
      </c>
      <c r="G11" s="23"/>
      <c r="H11" s="23"/>
      <c r="I11" s="23"/>
    </row>
    <row r="12" spans="1:10">
      <c r="A12" s="23">
        <v>11</v>
      </c>
      <c r="B12" s="23">
        <v>3.2</v>
      </c>
      <c r="C12" s="23">
        <v>10</v>
      </c>
      <c r="D12" s="23">
        <v>100</v>
      </c>
      <c r="E12" s="23">
        <v>0</v>
      </c>
      <c r="F12" s="23">
        <v>-40</v>
      </c>
      <c r="G12" s="23"/>
      <c r="H12" s="23"/>
      <c r="I12" s="23"/>
    </row>
    <row r="13" spans="1:10">
      <c r="A13" s="23">
        <v>12</v>
      </c>
      <c r="B13" s="23">
        <v>2.7</v>
      </c>
      <c r="C13" s="23">
        <v>11</v>
      </c>
      <c r="D13" s="23">
        <v>100</v>
      </c>
      <c r="E13" s="23">
        <v>0</v>
      </c>
      <c r="F13" s="23">
        <v>-40</v>
      </c>
      <c r="G13" s="23"/>
      <c r="H13" s="23"/>
      <c r="I13" s="23"/>
    </row>
    <row r="14" spans="1:10">
      <c r="A14" s="23">
        <v>13</v>
      </c>
      <c r="B14" s="23">
        <v>2.2999999999999998</v>
      </c>
      <c r="C14" s="23">
        <v>12</v>
      </c>
      <c r="D14" s="23">
        <v>100</v>
      </c>
      <c r="E14" s="23">
        <v>0</v>
      </c>
      <c r="F14" s="23">
        <v>-40</v>
      </c>
      <c r="G14" s="23"/>
      <c r="H14" s="23"/>
      <c r="I14" s="23"/>
    </row>
    <row r="15" spans="1:10">
      <c r="A15" s="23">
        <v>14</v>
      </c>
      <c r="B15" s="23">
        <v>1.9</v>
      </c>
      <c r="C15" s="23">
        <v>13</v>
      </c>
      <c r="D15" s="23">
        <v>100</v>
      </c>
      <c r="E15" s="23">
        <v>0</v>
      </c>
      <c r="F15" s="23">
        <v>-40</v>
      </c>
      <c r="G15" s="23"/>
      <c r="H15" s="23"/>
      <c r="I15" s="23"/>
    </row>
    <row r="16" spans="1:10">
      <c r="A16" s="23">
        <v>15</v>
      </c>
      <c r="B16" s="23">
        <v>1.7</v>
      </c>
      <c r="C16" s="23">
        <v>14</v>
      </c>
      <c r="D16" s="23">
        <v>100</v>
      </c>
      <c r="E16" s="23">
        <v>0</v>
      </c>
      <c r="F16" s="23">
        <v>-40</v>
      </c>
      <c r="G16" s="23"/>
      <c r="H16" s="23"/>
      <c r="I16" s="23"/>
    </row>
    <row r="17" spans="1:9">
      <c r="A17" s="23">
        <v>16</v>
      </c>
      <c r="B17" s="23">
        <v>1.5</v>
      </c>
      <c r="C17" s="23">
        <v>15</v>
      </c>
      <c r="D17" s="23">
        <v>100</v>
      </c>
      <c r="E17" s="23">
        <v>0</v>
      </c>
      <c r="F17" s="23">
        <v>-40</v>
      </c>
      <c r="G17" s="23"/>
      <c r="H17" s="23"/>
      <c r="I17" s="23"/>
    </row>
    <row r="18" spans="1:9">
      <c r="A18" s="23">
        <v>17</v>
      </c>
      <c r="B18" s="23">
        <v>1.3</v>
      </c>
      <c r="C18" s="23">
        <v>16</v>
      </c>
      <c r="D18" s="23">
        <v>100</v>
      </c>
      <c r="E18" s="23">
        <v>0</v>
      </c>
      <c r="F18" s="23">
        <v>-40</v>
      </c>
      <c r="G18" s="23"/>
      <c r="H18" s="23"/>
      <c r="I18" s="23"/>
    </row>
    <row r="19" spans="1:9">
      <c r="A19" s="23">
        <v>18</v>
      </c>
      <c r="B19" s="23">
        <v>1.2</v>
      </c>
      <c r="C19" s="23">
        <v>17</v>
      </c>
      <c r="D19" s="23">
        <v>100</v>
      </c>
      <c r="E19" s="23">
        <v>0</v>
      </c>
      <c r="F19" s="23">
        <v>-40</v>
      </c>
      <c r="G19" s="23"/>
      <c r="H19" s="23"/>
      <c r="I19" s="23"/>
    </row>
    <row r="20" spans="1:9">
      <c r="A20" s="23">
        <v>19</v>
      </c>
      <c r="B20" s="23">
        <v>1.1000000000000001</v>
      </c>
      <c r="C20" s="23">
        <v>18</v>
      </c>
      <c r="D20" s="23">
        <v>100</v>
      </c>
      <c r="E20" s="23">
        <v>0</v>
      </c>
      <c r="F20" s="23">
        <v>-40</v>
      </c>
      <c r="G20" s="23"/>
      <c r="H20" s="23"/>
      <c r="I20" s="23"/>
    </row>
    <row r="21" spans="1:9">
      <c r="A21" s="23">
        <v>20</v>
      </c>
      <c r="B21" s="23">
        <v>1</v>
      </c>
      <c r="C21" s="23">
        <v>19</v>
      </c>
      <c r="D21" s="23">
        <v>100</v>
      </c>
      <c r="E21" s="23">
        <v>0</v>
      </c>
      <c r="F21" s="23">
        <v>-40</v>
      </c>
      <c r="G21" s="23"/>
      <c r="H21" s="23"/>
      <c r="I21" s="23"/>
    </row>
    <row r="22" spans="1:9">
      <c r="A22" s="23"/>
      <c r="B22" s="23"/>
      <c r="C22" s="23">
        <v>20</v>
      </c>
      <c r="D22" s="23">
        <v>100</v>
      </c>
      <c r="E22" s="23">
        <v>0</v>
      </c>
      <c r="F22" s="23">
        <v>-40</v>
      </c>
      <c r="G22" s="23"/>
      <c r="H22" s="23"/>
      <c r="I22" s="23"/>
    </row>
  </sheetData>
  <mergeCells count="3">
    <mergeCell ref="C1:D1"/>
    <mergeCell ref="G1:H1"/>
    <mergeCell ref="I1:J1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26"/>
  <sheetViews>
    <sheetView zoomScaleNormal="100" workbookViewId="0"/>
  </sheetViews>
  <sheetFormatPr defaultColWidth="8.85546875" defaultRowHeight="15"/>
  <cols>
    <col min="1" max="1" width="41.5703125" bestFit="1" customWidth="1"/>
    <col min="2" max="2" width="2.7109375" customWidth="1"/>
    <col min="3" max="3" width="8.42578125" bestFit="1" customWidth="1"/>
    <col min="4" max="4" width="2.7109375" customWidth="1"/>
    <col min="5" max="5" width="11.7109375" customWidth="1"/>
    <col min="6" max="6" width="2.7109375" customWidth="1"/>
    <col min="7" max="7" width="11.7109375" style="243" customWidth="1"/>
    <col min="8" max="8" width="2.7109375" style="243" customWidth="1"/>
    <col min="9" max="9" width="11.7109375" customWidth="1"/>
    <col min="10" max="10" width="2.7109375" customWidth="1"/>
    <col min="11" max="11" width="11.7109375" customWidth="1"/>
  </cols>
  <sheetData>
    <row r="1" spans="1:14" s="287" customFormat="1"/>
    <row r="2" spans="1:14" ht="18.7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4" spans="1:14" ht="19.899999999999999" customHeight="1">
      <c r="E4" s="1" t="s">
        <v>3</v>
      </c>
      <c r="F4" s="1"/>
      <c r="G4" s="246" t="s">
        <v>4</v>
      </c>
      <c r="H4" s="246"/>
      <c r="I4" s="1" t="s">
        <v>5</v>
      </c>
      <c r="J4" s="1"/>
      <c r="K4" s="1" t="s">
        <v>6</v>
      </c>
    </row>
    <row r="5" spans="1:14" ht="19.899999999999999" customHeight="1">
      <c r="E5" s="1"/>
      <c r="F5" s="1"/>
      <c r="G5" s="246"/>
      <c r="H5" s="246"/>
      <c r="I5" s="1"/>
      <c r="J5" s="1"/>
      <c r="K5" s="1"/>
    </row>
    <row r="6" spans="1:14" ht="19.899999999999999" customHeight="1">
      <c r="C6" s="1"/>
      <c r="D6" s="1"/>
      <c r="E6" s="1" t="s">
        <v>234</v>
      </c>
      <c r="F6" s="1"/>
      <c r="G6" s="246" t="s">
        <v>235</v>
      </c>
      <c r="H6" s="246"/>
      <c r="I6" s="1" t="s">
        <v>81</v>
      </c>
      <c r="J6" s="1"/>
      <c r="K6" s="1" t="s">
        <v>57</v>
      </c>
    </row>
    <row r="7" spans="1:14" ht="19.899999999999999" customHeight="1">
      <c r="A7" s="2" t="s">
        <v>0</v>
      </c>
      <c r="B7" s="1"/>
      <c r="C7" s="2" t="s">
        <v>1</v>
      </c>
      <c r="D7" s="1"/>
      <c r="E7" s="134" t="s">
        <v>57</v>
      </c>
      <c r="F7" s="5"/>
      <c r="G7" s="4" t="s">
        <v>57</v>
      </c>
      <c r="H7" s="5"/>
      <c r="I7" s="134" t="s">
        <v>2</v>
      </c>
      <c r="J7" s="5"/>
      <c r="K7" s="134" t="s">
        <v>80</v>
      </c>
    </row>
    <row r="8" spans="1:14" ht="19.899999999999999" customHeight="1">
      <c r="A8" s="1"/>
      <c r="B8" s="1"/>
      <c r="C8" s="1"/>
      <c r="D8" s="1"/>
      <c r="E8" s="5"/>
      <c r="F8" s="5"/>
      <c r="G8" s="5"/>
      <c r="H8" s="5"/>
      <c r="I8" s="5"/>
      <c r="J8" s="5"/>
      <c r="K8" s="5"/>
    </row>
    <row r="9" spans="1:14" ht="19.899999999999999" customHeight="1">
      <c r="A9" t="str">
        <f>'2 Proxy Sum'!A5</f>
        <v>Atmos Energy Corp</v>
      </c>
      <c r="C9" s="35" t="str">
        <f>'2 Proxy Sum'!C5</f>
        <v>ATO</v>
      </c>
      <c r="D9" s="1"/>
      <c r="E9" s="76">
        <v>0.68</v>
      </c>
      <c r="F9" s="63"/>
      <c r="G9" s="76">
        <f>E9*4</f>
        <v>2.72</v>
      </c>
      <c r="H9" s="63"/>
      <c r="I9" s="62">
        <f>'3 Stock Price'!C6</f>
        <v>110.7300006</v>
      </c>
      <c r="J9" s="8"/>
      <c r="K9" s="16">
        <f>G9/I9</f>
        <v>2.4564255262904788E-2</v>
      </c>
      <c r="M9" s="210"/>
    </row>
    <row r="10" spans="1:14" s="145" customFormat="1" ht="19.899999999999999" customHeight="1">
      <c r="A10" s="145" t="str">
        <f>'2 Proxy Sum'!A6</f>
        <v>Chesapeake Utilities Corp</v>
      </c>
      <c r="C10" s="35" t="str">
        <f>'2 Proxy Sum'!C6</f>
        <v>CPK</v>
      </c>
      <c r="D10" s="147"/>
      <c r="E10" s="76">
        <v>0.53500000000000003</v>
      </c>
      <c r="F10" s="63"/>
      <c r="G10" s="76">
        <f t="shared" ref="G10:G16" si="0">E10*4</f>
        <v>2.14</v>
      </c>
      <c r="H10" s="63"/>
      <c r="I10" s="62">
        <f>'3 Stock Price'!D6</f>
        <v>125.90497693333336</v>
      </c>
      <c r="J10" s="8"/>
      <c r="K10" s="16">
        <f t="shared" ref="K10:K16" si="1">G10/I10</f>
        <v>1.6996945252872167E-2</v>
      </c>
      <c r="M10" s="210"/>
    </row>
    <row r="11" spans="1:14" s="206" customFormat="1" ht="19.899999999999999" customHeight="1">
      <c r="A11" s="206" t="str">
        <f>'2 Proxy Sum'!A7</f>
        <v>New Jersey Resources Corporation</v>
      </c>
      <c r="C11" s="35" t="str">
        <f>'2 Proxy Sum'!C7</f>
        <v>NJR</v>
      </c>
      <c r="D11" s="208"/>
      <c r="E11" s="76">
        <v>0.36299999999999999</v>
      </c>
      <c r="F11" s="63"/>
      <c r="G11" s="76">
        <f t="shared" si="0"/>
        <v>1.452</v>
      </c>
      <c r="H11" s="63"/>
      <c r="I11" s="62">
        <f>'3 Stock Price'!E6</f>
        <v>43.998107800000007</v>
      </c>
      <c r="J11" s="8"/>
      <c r="K11" s="16">
        <f t="shared" si="1"/>
        <v>3.3001419211032522E-2</v>
      </c>
      <c r="M11" s="210"/>
    </row>
    <row r="12" spans="1:14" s="145" customFormat="1" ht="19.899999999999999" customHeight="1">
      <c r="A12" s="145" t="str">
        <f>'2 Proxy Sum'!A8</f>
        <v>NiSource Inc</v>
      </c>
      <c r="C12" s="35" t="str">
        <f>'2 Proxy Sum'!C8</f>
        <v>NI</v>
      </c>
      <c r="D12" s="147"/>
      <c r="E12" s="76">
        <v>0.23499999999999999</v>
      </c>
      <c r="F12" s="63"/>
      <c r="G12" s="76">
        <f t="shared" si="0"/>
        <v>0.94</v>
      </c>
      <c r="H12" s="63"/>
      <c r="I12" s="62">
        <f>'3 Stock Price'!F6</f>
        <v>28.96066646666667</v>
      </c>
      <c r="J12" s="8"/>
      <c r="K12" s="16">
        <f t="shared" si="1"/>
        <v>3.2457816572761783E-2</v>
      </c>
      <c r="M12" s="210"/>
    </row>
    <row r="13" spans="1:14" s="145" customFormat="1" ht="19.899999999999999" customHeight="1">
      <c r="A13" s="145" t="str">
        <f>'2 Proxy Sum'!A9</f>
        <v>Northwest Natural Holding Company</v>
      </c>
      <c r="C13" s="35" t="str">
        <f>'2 Proxy Sum'!C9</f>
        <v>NWN</v>
      </c>
      <c r="D13" s="147"/>
      <c r="E13" s="76">
        <v>0.48199999999999998</v>
      </c>
      <c r="F13" s="63"/>
      <c r="G13" s="76">
        <f t="shared" si="0"/>
        <v>1.9279999999999999</v>
      </c>
      <c r="H13" s="63"/>
      <c r="I13" s="62">
        <f>'3 Stock Price'!G6</f>
        <v>52.887999966666669</v>
      </c>
      <c r="J13" s="8"/>
      <c r="K13" s="16">
        <f t="shared" si="1"/>
        <v>3.6454394214474856E-2</v>
      </c>
      <c r="M13" s="211"/>
    </row>
    <row r="14" spans="1:14" s="145" customFormat="1" ht="19.899999999999999" customHeight="1">
      <c r="A14" s="145" t="str">
        <f>'2 Proxy Sum'!A10</f>
        <v>ONE Gas Inc</v>
      </c>
      <c r="C14" s="35" t="str">
        <f>'2 Proxy Sum'!C10</f>
        <v>OGS</v>
      </c>
      <c r="D14" s="147"/>
      <c r="E14" s="76">
        <v>0.62</v>
      </c>
      <c r="F14" s="63"/>
      <c r="G14" s="76">
        <f t="shared" si="0"/>
        <v>2.48</v>
      </c>
      <c r="H14" s="63"/>
      <c r="I14" s="62">
        <f>'3 Stock Price'!H6</f>
        <v>81.259666999999993</v>
      </c>
      <c r="J14" s="8"/>
      <c r="K14" s="16">
        <f t="shared" si="1"/>
        <v>3.0519445766372635E-2</v>
      </c>
      <c r="M14" s="210"/>
      <c r="N14" s="209"/>
    </row>
    <row r="15" spans="1:14" s="231" customFormat="1" ht="19.899999999999999" customHeight="1">
      <c r="A15" s="231" t="str">
        <f>'2 Proxy Sum'!A11</f>
        <v>Southwest Gas Holdings Inc</v>
      </c>
      <c r="C15" s="35" t="str">
        <f>'2 Proxy Sum'!C11</f>
        <v>SWX</v>
      </c>
      <c r="D15" s="232"/>
      <c r="E15" s="76">
        <v>0.62</v>
      </c>
      <c r="F15" s="63"/>
      <c r="G15" s="76">
        <f t="shared" si="0"/>
        <v>2.48</v>
      </c>
      <c r="H15" s="63"/>
      <c r="I15" s="62">
        <f>'3 Stock Price'!I6</f>
        <v>87.521666233333335</v>
      </c>
      <c r="J15" s="8"/>
      <c r="K15" s="16">
        <f t="shared" si="1"/>
        <v>2.8335840789277294E-2</v>
      </c>
      <c r="M15" s="210"/>
    </row>
    <row r="16" spans="1:14" ht="19.899999999999999" customHeight="1">
      <c r="A16" s="15" t="str">
        <f>'2 Proxy Sum'!A12</f>
        <v>Spire Inc.</v>
      </c>
      <c r="C16" s="35" t="str">
        <f>'2 Proxy Sum'!C12</f>
        <v>SR</v>
      </c>
      <c r="D16" s="1"/>
      <c r="E16" s="77">
        <v>0.68500000000000005</v>
      </c>
      <c r="F16" s="63"/>
      <c r="G16" s="77">
        <f t="shared" si="0"/>
        <v>2.74</v>
      </c>
      <c r="H16" s="63"/>
      <c r="I16" s="65">
        <f>'3 Stock Price'!J6</f>
        <v>73.254238133333331</v>
      </c>
      <c r="J16" s="8"/>
      <c r="K16" s="270">
        <f t="shared" si="1"/>
        <v>3.7403979207493811E-2</v>
      </c>
      <c r="M16" s="210"/>
    </row>
    <row r="17" spans="1:13" ht="19.899999999999999" customHeight="1">
      <c r="C17" s="1"/>
      <c r="D17" s="1"/>
      <c r="E17" s="61"/>
      <c r="F17" s="63"/>
      <c r="G17" s="61"/>
      <c r="H17" s="63"/>
      <c r="I17" s="62"/>
      <c r="J17" s="8"/>
      <c r="K17" s="268"/>
    </row>
    <row r="18" spans="1:13">
      <c r="A18" s="13" t="s">
        <v>60</v>
      </c>
      <c r="B18" s="13"/>
      <c r="C18" s="1"/>
      <c r="D18" s="1"/>
      <c r="E18" s="66">
        <f>AVERAGE(E9:E16)</f>
        <v>0.52750000000000008</v>
      </c>
      <c r="F18" s="64"/>
      <c r="G18" s="66">
        <f>AVERAGE(G9:G16)</f>
        <v>2.1100000000000003</v>
      </c>
      <c r="H18" s="64"/>
      <c r="I18" s="66">
        <f>AVERAGE(I9:I16)</f>
        <v>75.564665391666665</v>
      </c>
      <c r="J18" s="64"/>
      <c r="K18" s="72">
        <f>AVERAGE(K9:K16)</f>
        <v>2.9966762034648729E-2</v>
      </c>
      <c r="M18" s="14"/>
    </row>
    <row r="19" spans="1:13">
      <c r="A19" s="43"/>
      <c r="B19" s="43"/>
      <c r="C19" s="2"/>
      <c r="D19" s="2"/>
      <c r="E19" s="48"/>
      <c r="F19" s="48"/>
      <c r="G19" s="48"/>
      <c r="H19" s="48"/>
      <c r="I19" s="49"/>
      <c r="J19" s="49"/>
      <c r="K19" s="50"/>
    </row>
    <row r="20" spans="1:13">
      <c r="A20" s="13"/>
      <c r="B20" s="13"/>
      <c r="C20" s="1"/>
      <c r="D20" s="1"/>
      <c r="E20" s="7"/>
      <c r="F20" s="7"/>
      <c r="G20" s="7"/>
      <c r="H20" s="7"/>
      <c r="I20" s="8"/>
      <c r="J20" s="8"/>
      <c r="K20" s="9"/>
    </row>
    <row r="21" spans="1:13" s="47" customFormat="1" ht="14.45" customHeight="1">
      <c r="A21"/>
      <c r="B21"/>
      <c r="C21"/>
      <c r="D21"/>
      <c r="E21"/>
      <c r="F21"/>
      <c r="G21" s="243"/>
      <c r="H21" s="243"/>
      <c r="I21"/>
      <c r="J21"/>
      <c r="K21"/>
    </row>
    <row r="22" spans="1:13" s="47" customFormat="1" ht="14.45" customHeight="1">
      <c r="A22" s="291" t="s">
        <v>252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</row>
    <row r="23" spans="1:13" s="244" customFormat="1" ht="14.45" customHeight="1">
      <c r="A23" s="291" t="s">
        <v>236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</row>
    <row r="24" spans="1:13" s="47" customFormat="1" ht="14.45" customHeight="1">
      <c r="A24" s="291" t="s">
        <v>253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</row>
    <row r="25" spans="1:13">
      <c r="A25" s="294" t="s">
        <v>254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</row>
    <row r="26" spans="1:13">
      <c r="A26" s="293"/>
      <c r="B26" s="293"/>
      <c r="C26" s="293"/>
      <c r="D26" s="293"/>
      <c r="E26" s="293"/>
      <c r="F26" s="293"/>
      <c r="G26" s="293"/>
      <c r="H26" s="293"/>
      <c r="I26" s="293"/>
      <c r="J26" s="293"/>
      <c r="K26" s="293"/>
    </row>
  </sheetData>
  <sortState ref="A9:N20">
    <sortCondition ref="A9"/>
  </sortState>
  <mergeCells count="5">
    <mergeCell ref="A26:K26"/>
    <mergeCell ref="A22:K22"/>
    <mergeCell ref="A24:K24"/>
    <mergeCell ref="A25:K25"/>
    <mergeCell ref="A23:K23"/>
  </mergeCells>
  <printOptions horizontalCentered="1"/>
  <pageMargins left="0.7" right="0.7" top="0.75" bottom="0.75" header="0.3" footer="0.3"/>
  <pageSetup scale="82" orientation="portrait" r:id="rId1"/>
  <headerFooter scaleWithDoc="0">
    <oddHeader>&amp;C&amp;"-,Bold"&amp;14DCF Dividend Yields&amp;R&amp;10Docket No. 20220067-GU
FPUC Petition
Exhibit DJG-4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D19"/>
  <sheetViews>
    <sheetView workbookViewId="0"/>
  </sheetViews>
  <sheetFormatPr defaultRowHeight="15"/>
  <cols>
    <col min="1" max="1" width="30.85546875" bestFit="1" customWidth="1"/>
    <col min="2" max="2" width="2.7109375" customWidth="1"/>
    <col min="3" max="3" width="12.7109375" customWidth="1"/>
    <col min="4" max="4" width="5" customWidth="1"/>
    <col min="8" max="8" width="10" bestFit="1" customWidth="1"/>
  </cols>
  <sheetData>
    <row r="1" spans="1:4" s="287" customFormat="1"/>
    <row r="2" spans="1:4">
      <c r="A2" s="183"/>
      <c r="B2" s="183"/>
      <c r="C2" s="183"/>
      <c r="D2" s="15"/>
    </row>
    <row r="4" spans="1:4">
      <c r="A4" s="167" t="s">
        <v>255</v>
      </c>
      <c r="B4" s="1"/>
      <c r="C4" s="248" t="s">
        <v>18</v>
      </c>
    </row>
    <row r="6" spans="1:4">
      <c r="A6" t="s">
        <v>79</v>
      </c>
      <c r="B6" s="1"/>
      <c r="C6" s="16">
        <v>3.7999999999999999E-2</v>
      </c>
      <c r="D6" s="1" t="s">
        <v>3</v>
      </c>
    </row>
    <row r="7" spans="1:4">
      <c r="B7" s="1"/>
      <c r="C7" s="16"/>
      <c r="D7" s="1"/>
    </row>
    <row r="8" spans="1:4" s="174" customFormat="1">
      <c r="A8" s="174" t="s">
        <v>164</v>
      </c>
      <c r="B8" s="175"/>
      <c r="C8" s="16">
        <v>1.7999999999999999E-2</v>
      </c>
      <c r="D8" s="175" t="s">
        <v>4</v>
      </c>
    </row>
    <row r="9" spans="1:4" s="174" customFormat="1">
      <c r="B9" s="175"/>
      <c r="C9" s="16"/>
      <c r="D9" s="175"/>
    </row>
    <row r="10" spans="1:4">
      <c r="A10" s="15" t="s">
        <v>65</v>
      </c>
      <c r="B10" s="1"/>
      <c r="C10" s="78">
        <f>'7 Risk Free Rate'!E36</f>
        <v>3.2163333333333335E-2</v>
      </c>
      <c r="D10" s="1" t="s">
        <v>5</v>
      </c>
    </row>
    <row r="11" spans="1:4">
      <c r="C11" s="136"/>
    </row>
    <row r="12" spans="1:4">
      <c r="A12" s="13" t="s">
        <v>84</v>
      </c>
      <c r="C12" s="212">
        <f>MAX(C6:C10)</f>
        <v>3.7999999999999999E-2</v>
      </c>
    </row>
    <row r="13" spans="1:4">
      <c r="A13" s="15"/>
      <c r="B13" s="15"/>
      <c r="C13" s="15"/>
      <c r="D13" s="15"/>
    </row>
    <row r="15" spans="1:4">
      <c r="A15" s="291" t="s">
        <v>266</v>
      </c>
      <c r="B15" s="291"/>
      <c r="C15" s="291"/>
      <c r="D15" s="201"/>
    </row>
    <row r="16" spans="1:4">
      <c r="A16" s="291" t="s">
        <v>267</v>
      </c>
      <c r="B16" s="291"/>
      <c r="C16" s="291"/>
      <c r="D16" s="200"/>
    </row>
    <row r="17" spans="1:4" s="206" customFormat="1">
      <c r="A17"/>
      <c r="B17"/>
      <c r="C17"/>
      <c r="D17"/>
    </row>
    <row r="19" spans="1:4">
      <c r="A19" s="142"/>
    </row>
  </sheetData>
  <mergeCells count="2">
    <mergeCell ref="A15:C15"/>
    <mergeCell ref="A16:C16"/>
  </mergeCells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&amp;C&amp;"-,Bold"&amp;14DCF Sustainable Growth Rate Determinants&amp;R&amp;10Docket No. 20220067-GU
FPUC Petition
Exhibit DJG-5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M27"/>
  <sheetViews>
    <sheetView zoomScaleNormal="100" workbookViewId="0"/>
  </sheetViews>
  <sheetFormatPr defaultColWidth="8.85546875" defaultRowHeight="15"/>
  <cols>
    <col min="1" max="1" width="41.5703125" style="243" bestFit="1" customWidth="1"/>
    <col min="2" max="2" width="2.7109375" style="243" customWidth="1"/>
    <col min="3" max="3" width="8.42578125" style="243" bestFit="1" customWidth="1"/>
    <col min="4" max="4" width="2.7109375" style="243" customWidth="1"/>
    <col min="5" max="5" width="11.7109375" style="243" customWidth="1"/>
    <col min="6" max="6" width="2.7109375" style="243" customWidth="1"/>
    <col min="7" max="7" width="11.7109375" style="243" customWidth="1"/>
    <col min="8" max="8" width="2.7109375" style="243" customWidth="1"/>
    <col min="9" max="9" width="11.7109375" style="243" customWidth="1"/>
    <col min="10" max="10" width="2.7109375" style="243" customWidth="1"/>
    <col min="11" max="11" width="20.7109375" style="243" customWidth="1"/>
    <col min="12" max="12" width="2.7109375" style="243" customWidth="1"/>
    <col min="13" max="13" width="20.7109375" style="243" customWidth="1"/>
    <col min="14" max="16384" width="8.85546875" style="243"/>
  </cols>
  <sheetData>
    <row r="1" spans="1:13" s="287" customFormat="1"/>
    <row r="2" spans="1:13" ht="18.7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15"/>
      <c r="M2" s="15"/>
    </row>
    <row r="4" spans="1:13" ht="19.899999999999999" customHeight="1">
      <c r="E4" s="246" t="s">
        <v>3</v>
      </c>
      <c r="F4" s="246"/>
      <c r="G4" s="246" t="s">
        <v>4</v>
      </c>
      <c r="H4" s="246"/>
      <c r="I4" s="246" t="s">
        <v>5</v>
      </c>
      <c r="J4" s="246"/>
      <c r="K4" s="246" t="s">
        <v>6</v>
      </c>
      <c r="M4" s="246" t="s">
        <v>7</v>
      </c>
    </row>
    <row r="5" spans="1:13" ht="19.899999999999999" customHeight="1">
      <c r="E5" s="246"/>
      <c r="F5" s="246"/>
      <c r="G5" s="246"/>
      <c r="H5" s="246"/>
      <c r="I5" s="246"/>
      <c r="J5" s="246"/>
      <c r="K5" s="246"/>
      <c r="M5" s="246"/>
    </row>
    <row r="6" spans="1:13" ht="19.899999999999999" customHeight="1">
      <c r="C6" s="246"/>
      <c r="D6" s="246"/>
      <c r="E6" s="246" t="s">
        <v>57</v>
      </c>
      <c r="F6" s="246"/>
      <c r="G6" s="246" t="s">
        <v>237</v>
      </c>
      <c r="H6" s="246"/>
      <c r="I6" s="246" t="s">
        <v>239</v>
      </c>
      <c r="J6" s="246"/>
      <c r="K6" s="246" t="s">
        <v>241</v>
      </c>
      <c r="M6" s="246" t="s">
        <v>241</v>
      </c>
    </row>
    <row r="7" spans="1:13" ht="19.899999999999999" customHeight="1">
      <c r="A7" s="247" t="s">
        <v>0</v>
      </c>
      <c r="B7" s="246"/>
      <c r="C7" s="247" t="s">
        <v>1</v>
      </c>
      <c r="D7" s="246"/>
      <c r="E7" s="134" t="s">
        <v>80</v>
      </c>
      <c r="F7" s="5"/>
      <c r="G7" s="134" t="s">
        <v>238</v>
      </c>
      <c r="H7" s="5"/>
      <c r="I7" s="134" t="s">
        <v>238</v>
      </c>
      <c r="J7" s="5"/>
      <c r="K7" s="139" t="s">
        <v>240</v>
      </c>
      <c r="M7" s="139" t="s">
        <v>242</v>
      </c>
    </row>
    <row r="8" spans="1:13" ht="19.899999999999999" customHeight="1">
      <c r="A8" s="246"/>
      <c r="B8" s="246"/>
      <c r="C8" s="246"/>
      <c r="D8" s="246"/>
      <c r="E8" s="5"/>
      <c r="F8" s="5"/>
      <c r="G8" s="5"/>
      <c r="H8" s="5"/>
      <c r="I8" s="5"/>
      <c r="J8" s="5"/>
      <c r="K8" s="5"/>
      <c r="M8" s="5"/>
    </row>
    <row r="9" spans="1:13" ht="19.899999999999999" customHeight="1">
      <c r="A9" s="243" t="str">
        <f>'2 Proxy Sum'!A5</f>
        <v>Atmos Energy Corp</v>
      </c>
      <c r="C9" s="35" t="str">
        <f>'2 Proxy Sum'!C5</f>
        <v>ATO</v>
      </c>
      <c r="D9" s="246"/>
      <c r="E9" s="272">
        <f>'4 Div Yields'!K9</f>
        <v>2.4564255262904788E-2</v>
      </c>
      <c r="F9" s="63"/>
      <c r="G9" s="251">
        <v>7.0000000000000007E-2</v>
      </c>
      <c r="H9" s="63"/>
      <c r="I9" s="251">
        <f>'5 Growth Determinants'!$C$12</f>
        <v>3.7999999999999999E-2</v>
      </c>
      <c r="J9" s="8"/>
      <c r="K9" s="16">
        <f>'4 Div Yields'!G9*(1+G9)/'4 Div Yields'!I9+G9</f>
        <v>9.6283753131308131E-2</v>
      </c>
      <c r="M9" s="16">
        <f>'4 Div Yields'!G9*(1+'6 DCF Result'!G9)/'4 Div Yields'!I9+'6 DCF Result'!I9</f>
        <v>6.428375313130813E-2</v>
      </c>
    </row>
    <row r="10" spans="1:13" ht="19.899999999999999" customHeight="1">
      <c r="A10" s="243" t="str">
        <f>'2 Proxy Sum'!A6</f>
        <v>Chesapeake Utilities Corp</v>
      </c>
      <c r="C10" s="35" t="str">
        <f>'2 Proxy Sum'!C6</f>
        <v>CPK</v>
      </c>
      <c r="D10" s="246"/>
      <c r="E10" s="272">
        <f>'4 Div Yields'!K10</f>
        <v>1.6996945252872167E-2</v>
      </c>
      <c r="F10" s="63"/>
      <c r="G10" s="251">
        <v>8.5000000000000006E-2</v>
      </c>
      <c r="H10" s="63"/>
      <c r="I10" s="251">
        <f>'5 Growth Determinants'!$C$12</f>
        <v>3.7999999999999999E-2</v>
      </c>
      <c r="J10" s="8"/>
      <c r="K10" s="16">
        <f>'4 Div Yields'!G10*(1+G10)/'4 Div Yields'!I10+G10</f>
        <v>0.10344168559936631</v>
      </c>
      <c r="M10" s="16">
        <f>'4 Div Yields'!G10*(1+'6 DCF Result'!G10)/'4 Div Yields'!I10+'6 DCF Result'!I10</f>
        <v>5.6441685599366298E-2</v>
      </c>
    </row>
    <row r="11" spans="1:13" ht="19.899999999999999" customHeight="1">
      <c r="A11" s="243" t="str">
        <f>'2 Proxy Sum'!A7</f>
        <v>New Jersey Resources Corporation</v>
      </c>
      <c r="C11" s="35" t="str">
        <f>'2 Proxy Sum'!C7</f>
        <v>NJR</v>
      </c>
      <c r="D11" s="246"/>
      <c r="E11" s="272">
        <f>'4 Div Yields'!K11</f>
        <v>3.3001419211032522E-2</v>
      </c>
      <c r="F11" s="63"/>
      <c r="G11" s="251">
        <v>0.05</v>
      </c>
      <c r="H11" s="63"/>
      <c r="I11" s="251">
        <f>'5 Growth Determinants'!$C$12</f>
        <v>3.7999999999999999E-2</v>
      </c>
      <c r="J11" s="8"/>
      <c r="K11" s="16">
        <f>'4 Div Yields'!G11*(1+G11)/'4 Div Yields'!I11+G11</f>
        <v>8.4651490171584146E-2</v>
      </c>
      <c r="M11" s="16">
        <f>'4 Div Yields'!G11*(1+'6 DCF Result'!G11)/'4 Div Yields'!I11+'6 DCF Result'!I11</f>
        <v>7.2651490171584149E-2</v>
      </c>
    </row>
    <row r="12" spans="1:13" ht="19.899999999999999" customHeight="1">
      <c r="A12" s="243" t="str">
        <f>'2 Proxy Sum'!A8</f>
        <v>NiSource Inc</v>
      </c>
      <c r="C12" s="35" t="str">
        <f>'2 Proxy Sum'!C8</f>
        <v>NI</v>
      </c>
      <c r="D12" s="246"/>
      <c r="E12" s="272">
        <f>'4 Div Yields'!K12</f>
        <v>3.2457816572761783E-2</v>
      </c>
      <c r="F12" s="63"/>
      <c r="G12" s="251">
        <v>4.4999999999999998E-2</v>
      </c>
      <c r="H12" s="63"/>
      <c r="I12" s="251">
        <f>'5 Growth Determinants'!$C$12</f>
        <v>3.7999999999999999E-2</v>
      </c>
      <c r="J12" s="8"/>
      <c r="K12" s="16">
        <f>'4 Div Yields'!G12*(1+G12)/'4 Div Yields'!I12+G12</f>
        <v>7.8918418318536063E-2</v>
      </c>
      <c r="M12" s="16">
        <f>'4 Div Yields'!G12*(1+'6 DCF Result'!G12)/'4 Div Yields'!I12+'6 DCF Result'!I12</f>
        <v>7.191841831853607E-2</v>
      </c>
    </row>
    <row r="13" spans="1:13" ht="19.899999999999999" customHeight="1">
      <c r="A13" s="243" t="str">
        <f>'2 Proxy Sum'!A9</f>
        <v>Northwest Natural Holding Company</v>
      </c>
      <c r="C13" s="35" t="str">
        <f>'2 Proxy Sum'!C9</f>
        <v>NWN</v>
      </c>
      <c r="D13" s="246"/>
      <c r="E13" s="272">
        <f>'4 Div Yields'!K13</f>
        <v>3.6454394214474856E-2</v>
      </c>
      <c r="F13" s="63"/>
      <c r="G13" s="251">
        <v>5.0000000000000001E-3</v>
      </c>
      <c r="H13" s="63"/>
      <c r="I13" s="251">
        <f>'5 Growth Determinants'!$C$12</f>
        <v>3.7999999999999999E-2</v>
      </c>
      <c r="J13" s="8"/>
      <c r="K13" s="16">
        <f>'4 Div Yields'!G13*(1+G13)/'4 Div Yields'!I13+G13</f>
        <v>4.1636666185547226E-2</v>
      </c>
      <c r="M13" s="16">
        <f>'4 Div Yields'!G13*(1+'6 DCF Result'!G13)/'4 Div Yields'!I13+'6 DCF Result'!I13</f>
        <v>7.4636666185547235E-2</v>
      </c>
    </row>
    <row r="14" spans="1:13" ht="19.899999999999999" customHeight="1">
      <c r="A14" s="243" t="str">
        <f>'2 Proxy Sum'!A10</f>
        <v>ONE Gas Inc</v>
      </c>
      <c r="C14" s="35" t="str">
        <f>'2 Proxy Sum'!C10</f>
        <v>OGS</v>
      </c>
      <c r="D14" s="246"/>
      <c r="E14" s="272">
        <f>'4 Div Yields'!K14</f>
        <v>3.0519445766372635E-2</v>
      </c>
      <c r="F14" s="63"/>
      <c r="G14" s="251">
        <v>6.5000000000000002E-2</v>
      </c>
      <c r="H14" s="63"/>
      <c r="I14" s="251">
        <f>'5 Growth Determinants'!$C$12</f>
        <v>3.7999999999999999E-2</v>
      </c>
      <c r="J14" s="8"/>
      <c r="K14" s="16">
        <f>'4 Div Yields'!G14*(1+G14)/'4 Div Yields'!I14+G14</f>
        <v>9.7503209741186869E-2</v>
      </c>
      <c r="M14" s="16">
        <f>'4 Div Yields'!G14*(1+'6 DCF Result'!G14)/'4 Div Yields'!I14+'6 DCF Result'!I14</f>
        <v>7.0503209741186859E-2</v>
      </c>
    </row>
    <row r="15" spans="1:13" ht="19.899999999999999" customHeight="1">
      <c r="A15" s="243" t="str">
        <f>'2 Proxy Sum'!A11</f>
        <v>Southwest Gas Holdings Inc</v>
      </c>
      <c r="C15" s="35" t="str">
        <f>'2 Proxy Sum'!C11</f>
        <v>SWX</v>
      </c>
      <c r="D15" s="246"/>
      <c r="E15" s="272">
        <f>'4 Div Yields'!K15</f>
        <v>2.8335840789277294E-2</v>
      </c>
      <c r="F15" s="63"/>
      <c r="G15" s="251">
        <v>5.5E-2</v>
      </c>
      <c r="H15" s="63"/>
      <c r="I15" s="251">
        <f>'5 Growth Determinants'!$C$12</f>
        <v>3.7999999999999999E-2</v>
      </c>
      <c r="J15" s="8"/>
      <c r="K15" s="16">
        <f>'4 Div Yields'!G15*(1+G15)/'4 Div Yields'!I15+G15</f>
        <v>8.4894312032687547E-2</v>
      </c>
      <c r="M15" s="16">
        <f>'4 Div Yields'!G15*(1+'6 DCF Result'!G15)/'4 Div Yields'!I15+'6 DCF Result'!I15</f>
        <v>6.7894312032687545E-2</v>
      </c>
    </row>
    <row r="16" spans="1:13" ht="19.899999999999999" customHeight="1">
      <c r="A16" s="15" t="str">
        <f>'2 Proxy Sum'!A12</f>
        <v>Spire Inc.</v>
      </c>
      <c r="C16" s="35" t="str">
        <f>'2 Proxy Sum'!C12</f>
        <v>SR</v>
      </c>
      <c r="D16" s="246"/>
      <c r="E16" s="249">
        <f>'4 Div Yields'!K16</f>
        <v>3.7403979207493811E-2</v>
      </c>
      <c r="F16" s="63"/>
      <c r="G16" s="249">
        <v>0.05</v>
      </c>
      <c r="H16" s="63"/>
      <c r="I16" s="249">
        <f>'5 Growth Determinants'!$C$12</f>
        <v>3.7999999999999999E-2</v>
      </c>
      <c r="J16" s="8"/>
      <c r="K16" s="270">
        <f>'4 Div Yields'!G16*(1+G16)/'4 Div Yields'!I16+G16</f>
        <v>8.9274178167868506E-2</v>
      </c>
      <c r="M16" s="270">
        <f>'4 Div Yields'!G16*(1+'6 DCF Result'!G16)/'4 Div Yields'!I16+'6 DCF Result'!I16</f>
        <v>7.7274178167868496E-2</v>
      </c>
    </row>
    <row r="17" spans="1:13" ht="19.899999999999999" customHeight="1">
      <c r="C17" s="246"/>
      <c r="D17" s="246"/>
      <c r="E17" s="273"/>
      <c r="F17" s="63"/>
      <c r="G17" s="61"/>
      <c r="H17" s="63"/>
      <c r="I17" s="62"/>
      <c r="J17" s="8"/>
      <c r="K17" s="268"/>
      <c r="M17" s="268"/>
    </row>
    <row r="18" spans="1:13">
      <c r="A18" s="202" t="s">
        <v>60</v>
      </c>
      <c r="B18" s="202"/>
      <c r="C18" s="246"/>
      <c r="D18" s="246"/>
      <c r="E18" s="250">
        <f>AVERAGE(E9:E16)</f>
        <v>2.9966762034648729E-2</v>
      </c>
      <c r="F18" s="64"/>
      <c r="G18" s="250">
        <f>AVERAGE(G9:G16)</f>
        <v>5.3124999999999999E-2</v>
      </c>
      <c r="H18" s="64"/>
      <c r="I18" s="252">
        <f>AVERAGE(I9:I16)</f>
        <v>3.7999999999999999E-2</v>
      </c>
      <c r="J18" s="64"/>
      <c r="K18" s="72">
        <f>'4 Div Yields'!G18*(1+G18)/'4 Div Yields'!I18+G18</f>
        <v>8.2531518754267591E-2</v>
      </c>
      <c r="M18" s="271">
        <f>'4 Div Yields'!G18*(1+'6 DCF Result'!G18)/'4 Div Yields'!I18+'6 DCF Result'!I18</f>
        <v>6.7406518754267591E-2</v>
      </c>
    </row>
    <row r="19" spans="1:13">
      <c r="A19" s="43"/>
      <c r="B19" s="43"/>
      <c r="C19" s="247"/>
      <c r="D19" s="247"/>
      <c r="E19" s="48"/>
      <c r="F19" s="48"/>
      <c r="G19" s="48"/>
      <c r="H19" s="48"/>
      <c r="I19" s="49"/>
      <c r="J19" s="49"/>
      <c r="K19" s="50"/>
      <c r="L19" s="15"/>
      <c r="M19" s="15"/>
    </row>
    <row r="20" spans="1:13">
      <c r="A20" s="202"/>
      <c r="B20" s="202"/>
      <c r="C20" s="246"/>
      <c r="D20" s="246"/>
      <c r="E20" s="7"/>
      <c r="F20" s="7"/>
      <c r="G20" s="7"/>
      <c r="H20" s="7"/>
      <c r="I20" s="8"/>
      <c r="J20" s="8"/>
      <c r="K20" s="9"/>
    </row>
    <row r="21" spans="1:13" s="244" customFormat="1" ht="14.45" customHeight="1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3" s="244" customFormat="1" ht="14.45" customHeight="1">
      <c r="A22" s="291" t="s">
        <v>243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</row>
    <row r="23" spans="1:13" s="244" customFormat="1" ht="14.45" customHeight="1">
      <c r="A23" s="291" t="s">
        <v>248</v>
      </c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</row>
    <row r="24" spans="1:13" s="244" customFormat="1" ht="14.45" customHeight="1">
      <c r="A24" s="291" t="s">
        <v>244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</row>
    <row r="25" spans="1:13" s="244" customFormat="1" ht="14.45" customHeight="1">
      <c r="A25" s="291" t="s">
        <v>245</v>
      </c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</row>
    <row r="26" spans="1:13">
      <c r="A26" s="291" t="s">
        <v>246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</row>
    <row r="27" spans="1:13">
      <c r="A27" s="293"/>
      <c r="B27" s="293"/>
      <c r="C27" s="293"/>
      <c r="D27" s="293"/>
      <c r="E27" s="293"/>
      <c r="F27" s="293"/>
      <c r="G27" s="293"/>
      <c r="H27" s="293"/>
      <c r="I27" s="293"/>
      <c r="J27" s="293"/>
      <c r="K27" s="293"/>
    </row>
  </sheetData>
  <mergeCells count="6">
    <mergeCell ref="A27:K27"/>
    <mergeCell ref="A22:M22"/>
    <mergeCell ref="A23:M23"/>
    <mergeCell ref="A24:M24"/>
    <mergeCell ref="A25:M25"/>
    <mergeCell ref="A26:M26"/>
  </mergeCells>
  <printOptions horizontalCentered="1"/>
  <pageMargins left="0.7" right="0.7" top="0.75" bottom="0.75" header="0.3" footer="0.3"/>
  <pageSetup scale="63" orientation="portrait" r:id="rId1"/>
  <headerFooter scaleWithDoc="0">
    <oddHeader>&amp;C&amp;"-,Bold"&amp;14DCF Results&amp;R&amp;10Docket No. 20220067-GU
FPUC Petition
Exhibit DJG-6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41"/>
  <sheetViews>
    <sheetView zoomScaleNormal="100" workbookViewId="0"/>
  </sheetViews>
  <sheetFormatPr defaultRowHeight="15"/>
  <cols>
    <col min="1" max="2" width="8.85546875"/>
    <col min="3" max="3" width="12.42578125" customWidth="1"/>
    <col min="4" max="4" width="2.7109375" customWidth="1"/>
    <col min="5" max="5" width="11.42578125" customWidth="1"/>
    <col min="7" max="7" width="10.7109375" bestFit="1" customWidth="1"/>
  </cols>
  <sheetData>
    <row r="1" spans="1:7" s="287" customFormat="1"/>
    <row r="2" spans="1:7">
      <c r="A2" s="183"/>
      <c r="B2" s="183"/>
      <c r="C2" s="15"/>
      <c r="D2" s="15"/>
      <c r="E2" s="15"/>
      <c r="F2" s="15"/>
      <c r="G2" s="15"/>
    </row>
    <row r="4" spans="1:7">
      <c r="C4" s="139" t="s">
        <v>10</v>
      </c>
      <c r="D4" s="1"/>
      <c r="E4" s="139" t="s">
        <v>18</v>
      </c>
    </row>
    <row r="5" spans="1:7">
      <c r="C5" s="229">
        <v>44715</v>
      </c>
      <c r="D5" s="34"/>
      <c r="E5" s="16">
        <v>3.1099999999999999E-2</v>
      </c>
      <c r="G5" s="34"/>
    </row>
    <row r="6" spans="1:7">
      <c r="C6" s="34">
        <v>44718</v>
      </c>
      <c r="D6" s="34"/>
      <c r="E6" s="16">
        <v>3.1899999999999998E-2</v>
      </c>
      <c r="G6" s="34"/>
    </row>
    <row r="7" spans="1:7">
      <c r="C7" s="34">
        <v>44719</v>
      </c>
      <c r="D7" s="34"/>
      <c r="E7" s="16">
        <v>3.1300000000000001E-2</v>
      </c>
      <c r="G7" s="34"/>
    </row>
    <row r="8" spans="1:7">
      <c r="C8" s="34">
        <v>44720</v>
      </c>
      <c r="D8" s="34"/>
      <c r="E8" s="16">
        <v>3.1800000000000002E-2</v>
      </c>
      <c r="G8" s="34"/>
    </row>
    <row r="9" spans="1:7">
      <c r="C9" s="34">
        <v>44721</v>
      </c>
      <c r="D9" s="34"/>
      <c r="E9" s="16">
        <v>3.1800000000000002E-2</v>
      </c>
      <c r="G9" s="34"/>
    </row>
    <row r="10" spans="1:7">
      <c r="C10" s="34">
        <v>44722</v>
      </c>
      <c r="D10" s="34"/>
      <c r="E10" s="16">
        <v>3.2000000000000001E-2</v>
      </c>
      <c r="G10" s="34"/>
    </row>
    <row r="11" spans="1:7">
      <c r="C11" s="34">
        <v>44725</v>
      </c>
      <c r="D11" s="34"/>
      <c r="E11" s="16">
        <v>3.4200000000000001E-2</v>
      </c>
      <c r="G11" s="34"/>
    </row>
    <row r="12" spans="1:7">
      <c r="C12" s="34">
        <v>44726</v>
      </c>
      <c r="D12" s="34"/>
      <c r="E12" s="16">
        <v>3.4500000000000003E-2</v>
      </c>
      <c r="G12" s="34"/>
    </row>
    <row r="13" spans="1:7">
      <c r="C13" s="34">
        <v>44727</v>
      </c>
      <c r="D13" s="34"/>
      <c r="E13" s="16">
        <v>3.39E-2</v>
      </c>
      <c r="G13" s="34"/>
    </row>
    <row r="14" spans="1:7">
      <c r="C14" s="34">
        <v>44728</v>
      </c>
      <c r="D14" s="34"/>
      <c r="E14" s="16">
        <v>3.3500000000000002E-2</v>
      </c>
      <c r="G14" s="34"/>
    </row>
    <row r="15" spans="1:7">
      <c r="C15" s="34">
        <v>44729</v>
      </c>
      <c r="D15" s="34"/>
      <c r="E15" s="16">
        <v>3.3000000000000002E-2</v>
      </c>
      <c r="G15" s="34"/>
    </row>
    <row r="16" spans="1:7">
      <c r="C16" s="34">
        <v>44733</v>
      </c>
      <c r="D16" s="34"/>
      <c r="E16" s="16">
        <v>3.39E-2</v>
      </c>
      <c r="G16" s="34"/>
    </row>
    <row r="17" spans="3:7">
      <c r="C17" s="34">
        <v>44734</v>
      </c>
      <c r="D17" s="34"/>
      <c r="E17" s="16">
        <v>3.2500000000000001E-2</v>
      </c>
      <c r="G17" s="34"/>
    </row>
    <row r="18" spans="3:7">
      <c r="C18" s="34">
        <v>44735</v>
      </c>
      <c r="D18" s="34"/>
      <c r="E18" s="16">
        <v>3.2099999999999997E-2</v>
      </c>
      <c r="G18" s="34"/>
    </row>
    <row r="19" spans="3:7">
      <c r="C19" s="34">
        <v>44736</v>
      </c>
      <c r="D19" s="34"/>
      <c r="E19" s="16">
        <v>3.2599999999999997E-2</v>
      </c>
      <c r="G19" s="34"/>
    </row>
    <row r="20" spans="3:7">
      <c r="C20" s="34">
        <v>44739</v>
      </c>
      <c r="D20" s="34"/>
      <c r="E20" s="16">
        <v>3.3099999999999997E-2</v>
      </c>
      <c r="G20" s="34"/>
    </row>
    <row r="21" spans="3:7">
      <c r="C21" s="34">
        <v>44740</v>
      </c>
      <c r="D21" s="34"/>
      <c r="E21" s="16">
        <v>3.3000000000000002E-2</v>
      </c>
      <c r="G21" s="34"/>
    </row>
    <row r="22" spans="3:7">
      <c r="C22" s="34">
        <v>44741</v>
      </c>
      <c r="D22" s="34"/>
      <c r="E22" s="16">
        <v>3.2199999999999999E-2</v>
      </c>
      <c r="G22" s="34"/>
    </row>
    <row r="23" spans="3:7">
      <c r="C23" s="34">
        <v>44742</v>
      </c>
      <c r="D23" s="34"/>
      <c r="E23" s="16">
        <v>3.1400000000000004E-2</v>
      </c>
      <c r="G23" s="34"/>
    </row>
    <row r="24" spans="3:7">
      <c r="C24" s="34">
        <v>44743</v>
      </c>
      <c r="D24" s="34"/>
      <c r="E24" s="16">
        <v>3.1099999999999999E-2</v>
      </c>
      <c r="G24" s="34"/>
    </row>
    <row r="25" spans="3:7">
      <c r="C25" s="34">
        <v>44747</v>
      </c>
      <c r="D25" s="34"/>
      <c r="E25" s="16">
        <v>3.0499999999999999E-2</v>
      </c>
      <c r="G25" s="34"/>
    </row>
    <row r="26" spans="3:7">
      <c r="C26" s="34">
        <v>44748</v>
      </c>
      <c r="D26" s="34"/>
      <c r="E26" s="16">
        <v>3.1400000000000004E-2</v>
      </c>
      <c r="G26" s="34"/>
    </row>
    <row r="27" spans="3:7">
      <c r="C27" s="34">
        <v>44749</v>
      </c>
      <c r="D27" s="34"/>
      <c r="E27" s="16">
        <v>3.2000000000000001E-2</v>
      </c>
      <c r="G27" s="34"/>
    </row>
    <row r="28" spans="3:7">
      <c r="C28" s="34">
        <v>44750</v>
      </c>
      <c r="D28" s="34"/>
      <c r="E28" s="16">
        <v>3.27E-2</v>
      </c>
      <c r="G28" s="34"/>
    </row>
    <row r="29" spans="3:7">
      <c r="C29" s="34">
        <v>44753</v>
      </c>
      <c r="D29" s="34"/>
      <c r="E29" s="16">
        <v>3.1800000000000002E-2</v>
      </c>
      <c r="G29" s="34"/>
    </row>
    <row r="30" spans="3:7">
      <c r="C30" s="34">
        <v>44754</v>
      </c>
      <c r="D30" s="34"/>
      <c r="E30" s="16">
        <v>3.1300000000000001E-2</v>
      </c>
      <c r="G30" s="34"/>
    </row>
    <row r="31" spans="3:7">
      <c r="C31" s="34">
        <v>44755</v>
      </c>
      <c r="D31" s="34"/>
      <c r="E31" s="16">
        <v>3.0800000000000001E-2</v>
      </c>
      <c r="G31" s="34"/>
    </row>
    <row r="32" spans="3:7">
      <c r="C32" s="34">
        <v>44756</v>
      </c>
      <c r="D32" s="34"/>
      <c r="E32" s="16">
        <v>3.1099999999999999E-2</v>
      </c>
      <c r="G32" s="34"/>
    </row>
    <row r="33" spans="1:7">
      <c r="C33" s="34">
        <v>44757</v>
      </c>
      <c r="D33" s="34"/>
      <c r="E33" s="16">
        <v>3.1E-2</v>
      </c>
      <c r="G33" s="34"/>
    </row>
    <row r="34" spans="1:7">
      <c r="C34" s="40">
        <v>44760</v>
      </c>
      <c r="D34" s="34"/>
      <c r="E34" s="270">
        <v>3.1400000000000004E-2</v>
      </c>
      <c r="G34" s="34"/>
    </row>
    <row r="35" spans="1:7">
      <c r="E35" s="268"/>
    </row>
    <row r="36" spans="1:7">
      <c r="C36" s="13" t="s">
        <v>60</v>
      </c>
      <c r="D36" s="13"/>
      <c r="E36" s="72">
        <f>AVERAGE(E5:E34)</f>
        <v>3.2163333333333335E-2</v>
      </c>
    </row>
    <row r="37" spans="1:7">
      <c r="A37" s="15"/>
      <c r="B37" s="15"/>
      <c r="C37" s="43"/>
      <c r="D37" s="43"/>
      <c r="E37" s="51"/>
      <c r="F37" s="15"/>
      <c r="G37" s="15"/>
    </row>
    <row r="40" spans="1:7" s="47" customFormat="1" ht="28.15" customHeight="1">
      <c r="A40" s="295" t="s">
        <v>159</v>
      </c>
      <c r="B40" s="295"/>
      <c r="C40" s="295"/>
      <c r="D40" s="295"/>
      <c r="E40" s="295"/>
      <c r="F40" s="295"/>
      <c r="G40" s="295"/>
    </row>
    <row r="41" spans="1:7">
      <c r="A41" s="295"/>
      <c r="B41" s="295"/>
      <c r="C41" s="295"/>
      <c r="D41" s="295"/>
      <c r="E41" s="295"/>
      <c r="F41" s="295"/>
      <c r="G41" s="295"/>
    </row>
  </sheetData>
  <mergeCells count="1">
    <mergeCell ref="A40:G41"/>
  </mergeCells>
  <printOptions horizontalCentered="1"/>
  <pageMargins left="0.7" right="0.7" top="0.75" bottom="0.75" header="0.3" footer="0.3"/>
  <pageSetup orientation="portrait" horizontalDpi="1200" verticalDpi="1200" r:id="rId1"/>
  <headerFooter scaleWithDoc="0">
    <oddHeader>&amp;C&amp;"-,Bold"&amp;14CAPM Risk-Free Rate&amp;R&amp;10Docket No. 20220067-GU
FPUC Petition
Exhibit DJG-7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E19"/>
  <sheetViews>
    <sheetView zoomScaleNormal="100" workbookViewId="0"/>
  </sheetViews>
  <sheetFormatPr defaultRowHeight="15"/>
  <cols>
    <col min="1" max="1" width="41.5703125" bestFit="1" customWidth="1"/>
    <col min="2" max="2" width="2.7109375" customWidth="1"/>
    <col min="3" max="3" width="8.42578125" bestFit="1" customWidth="1"/>
    <col min="4" max="4" width="2.7109375" customWidth="1"/>
    <col min="5" max="5" width="13.7109375" customWidth="1"/>
  </cols>
  <sheetData>
    <row r="1" spans="1:5" s="287" customFormat="1"/>
    <row r="2" spans="1:5">
      <c r="A2" s="183"/>
      <c r="B2" s="15"/>
      <c r="C2" s="15"/>
      <c r="D2" s="15"/>
      <c r="E2" s="15"/>
    </row>
    <row r="3" spans="1:5" ht="19.899999999999999" customHeight="1"/>
    <row r="4" spans="1:5" ht="19.899999999999999" customHeight="1">
      <c r="A4" s="2" t="s">
        <v>0</v>
      </c>
      <c r="B4" s="1"/>
      <c r="C4" s="2" t="s">
        <v>1</v>
      </c>
      <c r="D4" s="1"/>
      <c r="E4" s="134" t="s">
        <v>52</v>
      </c>
    </row>
    <row r="5" spans="1:5" ht="19.899999999999999" customHeight="1">
      <c r="A5" s="1"/>
      <c r="B5" s="1"/>
      <c r="C5" s="1"/>
      <c r="D5" s="1"/>
      <c r="E5" s="5"/>
    </row>
    <row r="6" spans="1:5" ht="19.899999999999999" customHeight="1">
      <c r="A6" t="str">
        <f>'2 Proxy Sum'!A5</f>
        <v>Atmos Energy Corp</v>
      </c>
      <c r="C6" s="35" t="str">
        <f>'2 Proxy Sum'!C5</f>
        <v>ATO</v>
      </c>
      <c r="D6" s="1"/>
      <c r="E6" s="59">
        <v>0.8</v>
      </c>
    </row>
    <row r="7" spans="1:5" s="145" customFormat="1" ht="19.899999999999999" customHeight="1">
      <c r="A7" s="145" t="str">
        <f>'2 Proxy Sum'!A6</f>
        <v>Chesapeake Utilities Corp</v>
      </c>
      <c r="C7" s="35" t="str">
        <f>'2 Proxy Sum'!C6</f>
        <v>CPK</v>
      </c>
      <c r="D7" s="147"/>
      <c r="E7" s="59">
        <v>0.75</v>
      </c>
    </row>
    <row r="8" spans="1:5" s="206" customFormat="1" ht="19.899999999999999" customHeight="1">
      <c r="A8" s="206" t="str">
        <f>'2 Proxy Sum'!A7</f>
        <v>New Jersey Resources Corporation</v>
      </c>
      <c r="C8" s="35" t="str">
        <f>'2 Proxy Sum'!C7</f>
        <v>NJR</v>
      </c>
      <c r="D8" s="208"/>
      <c r="E8" s="59">
        <v>0.95</v>
      </c>
    </row>
    <row r="9" spans="1:5" s="145" customFormat="1" ht="19.899999999999999" customHeight="1">
      <c r="A9" s="145" t="str">
        <f>'2 Proxy Sum'!A8</f>
        <v>NiSource Inc</v>
      </c>
      <c r="C9" s="35" t="str">
        <f>'2 Proxy Sum'!C8</f>
        <v>NI</v>
      </c>
      <c r="D9" s="147"/>
      <c r="E9" s="59">
        <v>0.85</v>
      </c>
    </row>
    <row r="10" spans="1:5" s="145" customFormat="1" ht="19.899999999999999" customHeight="1">
      <c r="A10" s="145" t="str">
        <f>'2 Proxy Sum'!A9</f>
        <v>Northwest Natural Holding Company</v>
      </c>
      <c r="C10" s="35" t="str">
        <f>'2 Proxy Sum'!C9</f>
        <v>NWN</v>
      </c>
      <c r="D10" s="147"/>
      <c r="E10" s="59">
        <v>0.8</v>
      </c>
    </row>
    <row r="11" spans="1:5" s="145" customFormat="1" ht="19.899999999999999" customHeight="1">
      <c r="A11" s="145" t="str">
        <f>'2 Proxy Sum'!A10</f>
        <v>ONE Gas Inc</v>
      </c>
      <c r="C11" s="35" t="str">
        <f>'2 Proxy Sum'!C10</f>
        <v>OGS</v>
      </c>
      <c r="D11" s="147"/>
      <c r="E11" s="59">
        <v>0.8</v>
      </c>
    </row>
    <row r="12" spans="1:5" s="231" customFormat="1" ht="19.899999999999999" customHeight="1">
      <c r="A12" s="231" t="str">
        <f>'2 Proxy Sum'!A11</f>
        <v>Southwest Gas Holdings Inc</v>
      </c>
      <c r="C12" s="35" t="str">
        <f>'2 Proxy Sum'!C11</f>
        <v>SWX</v>
      </c>
      <c r="D12" s="232"/>
      <c r="E12" s="59">
        <v>0.9</v>
      </c>
    </row>
    <row r="13" spans="1:5" ht="19.899999999999999" customHeight="1">
      <c r="A13" s="15" t="str">
        <f>'2 Proxy Sum'!A12</f>
        <v>Spire Inc.</v>
      </c>
      <c r="C13" s="35" t="str">
        <f>'2 Proxy Sum'!C12</f>
        <v>SR</v>
      </c>
      <c r="D13" s="1"/>
      <c r="E13" s="68">
        <v>0.8</v>
      </c>
    </row>
    <row r="14" spans="1:5" ht="19.899999999999999" customHeight="1">
      <c r="C14" s="1"/>
      <c r="D14" s="1"/>
      <c r="E14" s="7"/>
    </row>
    <row r="15" spans="1:5">
      <c r="A15" s="1" t="s">
        <v>60</v>
      </c>
      <c r="B15" s="11"/>
      <c r="C15" s="1"/>
      <c r="D15" s="1"/>
      <c r="E15" s="60">
        <f>AVERAGE(E6:E13)</f>
        <v>0.83125000000000004</v>
      </c>
    </row>
    <row r="16" spans="1:5">
      <c r="A16" s="2"/>
      <c r="B16" s="15"/>
      <c r="C16" s="2"/>
      <c r="D16" s="2"/>
      <c r="E16" s="41"/>
    </row>
    <row r="17" spans="1:5">
      <c r="C17" s="1"/>
      <c r="D17" s="1"/>
      <c r="E17" s="7"/>
    </row>
    <row r="18" spans="1:5" s="47" customFormat="1" ht="14.45" customHeight="1">
      <c r="A18"/>
      <c r="B18"/>
      <c r="C18"/>
      <c r="D18"/>
      <c r="E18"/>
    </row>
    <row r="19" spans="1:5">
      <c r="A19" s="294" t="s">
        <v>160</v>
      </c>
      <c r="B19" s="294"/>
      <c r="C19" s="294"/>
      <c r="D19" s="294"/>
      <c r="E19" s="294"/>
    </row>
  </sheetData>
  <mergeCells count="1">
    <mergeCell ref="A19:E19"/>
  </mergeCells>
  <printOptions horizontalCentered="1"/>
  <pageMargins left="0.7" right="0.7" top="0.75" bottom="0.75" header="0.3" footer="0.3"/>
  <pageSetup orientation="portrait" r:id="rId1"/>
  <headerFooter scaleWithDoc="0">
    <oddHeader>&amp;C&amp;"-,Bold"&amp;14CAPM Beta Coefficient&amp;R&amp;10Docket No. 20220067-GU
FPUC Petition
Exhibit DJG-8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Q150"/>
  <sheetViews>
    <sheetView zoomScale="90" zoomScaleNormal="90" workbookViewId="0"/>
  </sheetViews>
  <sheetFormatPr defaultRowHeight="15"/>
  <cols>
    <col min="1" max="1" width="25.28515625" style="243" customWidth="1"/>
    <col min="2" max="2" width="2.7109375" style="243" customWidth="1"/>
    <col min="3" max="3" width="10.7109375" style="243" customWidth="1"/>
    <col min="4" max="4" width="2.7109375" style="243" customWidth="1"/>
    <col min="5" max="5" width="10.7109375" style="243" customWidth="1"/>
    <col min="6" max="6" width="2.7109375" style="243" customWidth="1"/>
    <col min="7" max="7" width="10.7109375" style="243" customWidth="1"/>
    <col min="8" max="8" width="2.7109375" style="243" customWidth="1"/>
    <col min="9" max="9" width="10.7109375" style="243" customWidth="1"/>
    <col min="10" max="10" width="2.7109375" style="243" customWidth="1"/>
    <col min="11" max="11" width="10.7109375" style="243" customWidth="1"/>
    <col min="12" max="12" width="2.7109375" style="243" customWidth="1"/>
    <col min="13" max="13" width="10.7109375" style="243" customWidth="1"/>
    <col min="14" max="14" width="2.7109375" style="243" customWidth="1"/>
    <col min="15" max="15" width="10.7109375" style="243" customWidth="1"/>
    <col min="16" max="16" width="2.7109375" style="243" customWidth="1"/>
    <col min="17" max="18" width="10.7109375" style="243" customWidth="1"/>
    <col min="19" max="16384" width="9.140625" style="243"/>
  </cols>
  <sheetData>
    <row r="1" spans="1:17" s="287" customFormat="1"/>
    <row r="2" spans="1:17" ht="18.75">
      <c r="A2" s="218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4" spans="1:17">
      <c r="C4" s="246" t="s">
        <v>3</v>
      </c>
      <c r="D4" s="246"/>
      <c r="E4" s="246" t="s">
        <v>4</v>
      </c>
      <c r="F4" s="246"/>
      <c r="G4" s="246" t="s">
        <v>5</v>
      </c>
      <c r="H4" s="246"/>
      <c r="I4" s="246" t="s">
        <v>6</v>
      </c>
      <c r="J4" s="246"/>
      <c r="K4" s="246" t="s">
        <v>7</v>
      </c>
      <c r="L4" s="246"/>
      <c r="M4" s="246" t="s">
        <v>14</v>
      </c>
      <c r="N4" s="246"/>
      <c r="O4" s="246" t="s">
        <v>15</v>
      </c>
      <c r="P4" s="246"/>
      <c r="Q4" s="246" t="s">
        <v>16</v>
      </c>
    </row>
    <row r="6" spans="1:17" ht="30">
      <c r="A6" s="247" t="s">
        <v>25</v>
      </c>
      <c r="B6" s="246"/>
      <c r="C6" s="4" t="s">
        <v>110</v>
      </c>
      <c r="D6" s="5"/>
      <c r="E6" s="4" t="s">
        <v>23</v>
      </c>
      <c r="F6" s="5"/>
      <c r="G6" s="4" t="s">
        <v>20</v>
      </c>
      <c r="H6" s="5"/>
      <c r="I6" s="4" t="s">
        <v>24</v>
      </c>
      <c r="J6" s="5"/>
      <c r="K6" s="4" t="s">
        <v>26</v>
      </c>
      <c r="L6" s="5"/>
      <c r="M6" s="4" t="s">
        <v>22</v>
      </c>
      <c r="N6" s="5"/>
      <c r="O6" s="4" t="s">
        <v>21</v>
      </c>
      <c r="P6" s="5"/>
      <c r="Q6" s="4" t="s">
        <v>27</v>
      </c>
    </row>
    <row r="7" spans="1:17">
      <c r="A7" s="246">
        <v>2011</v>
      </c>
      <c r="B7" s="246"/>
      <c r="C7" s="30">
        <v>11385.007700425625</v>
      </c>
      <c r="D7" s="30"/>
      <c r="E7" s="31">
        <v>876.75740003776309</v>
      </c>
      <c r="F7" s="31"/>
      <c r="G7" s="31">
        <v>240.19540468757725</v>
      </c>
      <c r="H7" s="31"/>
      <c r="I7" s="31">
        <v>405.07782202444332</v>
      </c>
      <c r="J7" s="5"/>
      <c r="K7" s="137">
        <f t="shared" ref="K7:K17" si="0">E7/C7</f>
        <v>7.7009820555939176E-2</v>
      </c>
      <c r="L7" s="137"/>
      <c r="M7" s="137">
        <f t="shared" ref="M7:M17" si="1">G7/C7</f>
        <v>2.1097517982231809E-2</v>
      </c>
      <c r="N7" s="137"/>
      <c r="O7" s="137">
        <f t="shared" ref="O7:O17" si="2">I7/C7</f>
        <v>3.5579933952025314E-2</v>
      </c>
      <c r="P7" s="137"/>
      <c r="Q7" s="138">
        <f t="shared" ref="Q7:Q17" si="3">M7+O7</f>
        <v>5.667745193425712E-2</v>
      </c>
    </row>
    <row r="8" spans="1:17">
      <c r="A8" s="246">
        <v>2012</v>
      </c>
      <c r="B8" s="246"/>
      <c r="C8" s="30">
        <v>12742.436250224304</v>
      </c>
      <c r="D8" s="30"/>
      <c r="E8" s="31">
        <v>870.1948787587462</v>
      </c>
      <c r="F8" s="31"/>
      <c r="G8" s="31">
        <v>280.690417786708</v>
      </c>
      <c r="H8" s="31"/>
      <c r="I8" s="31">
        <v>398.90997200000004</v>
      </c>
      <c r="J8" s="5"/>
      <c r="K8" s="137">
        <f t="shared" si="0"/>
        <v>6.8291091410673396E-2</v>
      </c>
      <c r="L8" s="137"/>
      <c r="M8" s="137">
        <f t="shared" si="1"/>
        <v>2.2028002516533449E-2</v>
      </c>
      <c r="N8" s="137"/>
      <c r="O8" s="137">
        <f t="shared" si="2"/>
        <v>3.1305628230471082E-2</v>
      </c>
      <c r="P8" s="137"/>
      <c r="Q8" s="138">
        <f t="shared" si="3"/>
        <v>5.3333630747004535E-2</v>
      </c>
    </row>
    <row r="9" spans="1:17">
      <c r="A9" s="246">
        <v>2013</v>
      </c>
      <c r="B9" s="246"/>
      <c r="C9" s="30">
        <v>16494.783083987797</v>
      </c>
      <c r="D9" s="30"/>
      <c r="E9" s="31">
        <v>956.00990460087269</v>
      </c>
      <c r="F9" s="31"/>
      <c r="G9" s="31">
        <v>311.77171051674964</v>
      </c>
      <c r="H9" s="31"/>
      <c r="I9" s="31">
        <v>475.58680400000003</v>
      </c>
      <c r="J9" s="31"/>
      <c r="K9" s="137">
        <f t="shared" si="0"/>
        <v>5.7958319289988909E-2</v>
      </c>
      <c r="L9" s="137"/>
      <c r="M9" s="137">
        <f t="shared" si="1"/>
        <v>1.890123131230504E-2</v>
      </c>
      <c r="N9" s="137"/>
      <c r="O9" s="137">
        <f t="shared" si="2"/>
        <v>2.8832558850784333E-2</v>
      </c>
      <c r="P9" s="137"/>
      <c r="Q9" s="138">
        <f t="shared" si="3"/>
        <v>4.7733790163089374E-2</v>
      </c>
    </row>
    <row r="10" spans="1:17">
      <c r="A10" s="246">
        <v>2014</v>
      </c>
      <c r="B10" s="246"/>
      <c r="C10" s="30">
        <v>18245.162915721601</v>
      </c>
      <c r="D10" s="30"/>
      <c r="E10" s="31">
        <v>1004.2233066862408</v>
      </c>
      <c r="F10" s="31"/>
      <c r="G10" s="31">
        <v>350.43209036038417</v>
      </c>
      <c r="H10" s="31"/>
      <c r="I10" s="31">
        <v>553.27531399999998</v>
      </c>
      <c r="J10" s="31"/>
      <c r="K10" s="137">
        <f t="shared" si="0"/>
        <v>5.5040522867620748E-2</v>
      </c>
      <c r="L10" s="137"/>
      <c r="M10" s="137">
        <f t="shared" si="1"/>
        <v>1.9206849068934415E-2</v>
      </c>
      <c r="N10" s="137"/>
      <c r="O10" s="137">
        <f t="shared" si="2"/>
        <v>3.0324492938522921E-2</v>
      </c>
      <c r="P10" s="137"/>
      <c r="Q10" s="138">
        <f t="shared" si="3"/>
        <v>4.9531342007457332E-2</v>
      </c>
    </row>
    <row r="11" spans="1:17">
      <c r="A11" s="246">
        <v>2015</v>
      </c>
      <c r="B11" s="246"/>
      <c r="C11" s="30">
        <v>17899.5562447142</v>
      </c>
      <c r="D11" s="30"/>
      <c r="E11" s="31">
        <v>885.38</v>
      </c>
      <c r="F11" s="31"/>
      <c r="G11" s="31">
        <v>382.32</v>
      </c>
      <c r="H11" s="31"/>
      <c r="I11" s="31">
        <v>572.16</v>
      </c>
      <c r="J11" s="31"/>
      <c r="K11" s="137">
        <f t="shared" si="0"/>
        <v>4.9463796079383573E-2</v>
      </c>
      <c r="L11" s="137"/>
      <c r="M11" s="137">
        <f t="shared" si="1"/>
        <v>2.1359188729212233E-2</v>
      </c>
      <c r="N11" s="137"/>
      <c r="O11" s="137">
        <f t="shared" si="2"/>
        <v>3.1965038248865013E-2</v>
      </c>
      <c r="P11" s="137"/>
      <c r="Q11" s="138">
        <f t="shared" si="3"/>
        <v>5.3324226978077247E-2</v>
      </c>
    </row>
    <row r="12" spans="1:17">
      <c r="A12" s="246">
        <v>2016</v>
      </c>
      <c r="B12" s="246"/>
      <c r="C12" s="30">
        <v>19268</v>
      </c>
      <c r="D12" s="30"/>
      <c r="E12" s="31">
        <v>919.85</v>
      </c>
      <c r="F12" s="31"/>
      <c r="G12" s="31">
        <v>397.22</v>
      </c>
      <c r="H12" s="31"/>
      <c r="I12" s="31">
        <v>536.38</v>
      </c>
      <c r="J12" s="31"/>
      <c r="K12" s="137">
        <f t="shared" si="0"/>
        <v>4.7739775794062696E-2</v>
      </c>
      <c r="L12" s="137"/>
      <c r="M12" s="137">
        <f t="shared" si="1"/>
        <v>2.06155283371393E-2</v>
      </c>
      <c r="N12" s="137"/>
      <c r="O12" s="137">
        <f t="shared" si="2"/>
        <v>2.7837865891633798E-2</v>
      </c>
      <c r="P12" s="137"/>
      <c r="Q12" s="138">
        <f t="shared" si="3"/>
        <v>4.8453394228773095E-2</v>
      </c>
    </row>
    <row r="13" spans="1:17">
      <c r="A13" s="246">
        <v>2017</v>
      </c>
      <c r="B13" s="246"/>
      <c r="C13" s="30">
        <v>22821.240334090373</v>
      </c>
      <c r="D13" s="30"/>
      <c r="E13" s="31">
        <v>1065.995204191086</v>
      </c>
      <c r="F13" s="31"/>
      <c r="G13" s="31">
        <v>419.77</v>
      </c>
      <c r="H13" s="31"/>
      <c r="I13" s="31">
        <v>519.4</v>
      </c>
      <c r="J13" s="31"/>
      <c r="K13" s="137">
        <f t="shared" si="0"/>
        <v>4.671066027023528E-2</v>
      </c>
      <c r="L13" s="137"/>
      <c r="M13" s="137">
        <f t="shared" si="1"/>
        <v>1.8393829338581018E-2</v>
      </c>
      <c r="N13" s="137"/>
      <c r="O13" s="137">
        <f t="shared" si="2"/>
        <v>2.2759499150627679E-2</v>
      </c>
      <c r="P13" s="137"/>
      <c r="Q13" s="138">
        <f t="shared" si="3"/>
        <v>4.1153328489208697E-2</v>
      </c>
    </row>
    <row r="14" spans="1:17">
      <c r="A14" s="246">
        <v>2018</v>
      </c>
      <c r="B14" s="246"/>
      <c r="C14" s="30">
        <v>21026.901634051301</v>
      </c>
      <c r="D14" s="30"/>
      <c r="E14" s="31">
        <v>1281.6600000000001</v>
      </c>
      <c r="F14" s="31"/>
      <c r="G14" s="31">
        <v>456.31</v>
      </c>
      <c r="H14" s="31"/>
      <c r="I14" s="31">
        <v>806.41</v>
      </c>
      <c r="J14" s="31"/>
      <c r="K14" s="137">
        <f t="shared" si="0"/>
        <v>6.0953345495489426E-2</v>
      </c>
      <c r="L14" s="137"/>
      <c r="M14" s="137">
        <f t="shared" si="1"/>
        <v>2.1701247665564017E-2</v>
      </c>
      <c r="N14" s="137"/>
      <c r="O14" s="137">
        <f t="shared" si="2"/>
        <v>3.8351346957085045E-2</v>
      </c>
      <c r="P14" s="137"/>
      <c r="Q14" s="138">
        <f t="shared" si="3"/>
        <v>6.0052594622649058E-2</v>
      </c>
    </row>
    <row r="15" spans="1:17">
      <c r="A15" s="246">
        <v>2019</v>
      </c>
      <c r="B15" s="246"/>
      <c r="C15" s="30">
        <v>26759.6867868843</v>
      </c>
      <c r="D15" s="30"/>
      <c r="E15" s="31">
        <v>1304.5899999999999</v>
      </c>
      <c r="F15" s="31"/>
      <c r="G15" s="31">
        <v>485.48</v>
      </c>
      <c r="H15" s="31"/>
      <c r="I15" s="31">
        <v>728.74</v>
      </c>
      <c r="J15" s="31"/>
      <c r="K15" s="137">
        <f t="shared" si="0"/>
        <v>4.8752065388127687E-2</v>
      </c>
      <c r="L15" s="137"/>
      <c r="M15" s="137">
        <f t="shared" si="1"/>
        <v>1.8142215335567674E-2</v>
      </c>
      <c r="N15" s="137"/>
      <c r="O15" s="137">
        <f t="shared" si="2"/>
        <v>2.7232755218838237E-2</v>
      </c>
      <c r="P15" s="137"/>
      <c r="Q15" s="138">
        <f t="shared" si="3"/>
        <v>4.5374970554405911E-2</v>
      </c>
    </row>
    <row r="16" spans="1:17">
      <c r="A16" s="246">
        <v>2020</v>
      </c>
      <c r="B16" s="246"/>
      <c r="C16" s="30">
        <v>31658.700536655953</v>
      </c>
      <c r="D16" s="30"/>
      <c r="E16" s="31">
        <v>1019.0420753495006</v>
      </c>
      <c r="F16" s="31"/>
      <c r="G16" s="31">
        <v>480.39800648922301</v>
      </c>
      <c r="H16" s="31"/>
      <c r="I16" s="31">
        <v>519.69409900000005</v>
      </c>
      <c r="J16" s="31"/>
      <c r="K16" s="137">
        <f t="shared" si="0"/>
        <v>3.2188373435277452E-2</v>
      </c>
      <c r="L16" s="137"/>
      <c r="M16" s="137">
        <f t="shared" si="1"/>
        <v>1.5174280635207857E-2</v>
      </c>
      <c r="N16" s="137"/>
      <c r="O16" s="137">
        <f t="shared" si="2"/>
        <v>1.6415522121581504E-2</v>
      </c>
      <c r="P16" s="137"/>
      <c r="Q16" s="138">
        <f t="shared" si="3"/>
        <v>3.1589802756789361E-2</v>
      </c>
    </row>
    <row r="17" spans="1:17">
      <c r="A17" s="246">
        <v>2021</v>
      </c>
      <c r="B17" s="246"/>
      <c r="C17" s="30">
        <v>40356.495208879889</v>
      </c>
      <c r="D17" s="30"/>
      <c r="E17" s="31">
        <v>1738.618416167712</v>
      </c>
      <c r="F17" s="31"/>
      <c r="G17" s="31">
        <v>511.22783975846954</v>
      </c>
      <c r="H17" s="31"/>
      <c r="I17" s="31">
        <v>881.717985</v>
      </c>
      <c r="J17" s="31"/>
      <c r="K17" s="137">
        <f t="shared" si="0"/>
        <v>4.3081501680679965E-2</v>
      </c>
      <c r="L17" s="137"/>
      <c r="M17" s="137">
        <f t="shared" si="1"/>
        <v>1.2667795781383436E-2</v>
      </c>
      <c r="N17" s="137"/>
      <c r="O17" s="137">
        <f t="shared" si="2"/>
        <v>2.1848229893015839E-2</v>
      </c>
      <c r="P17" s="137"/>
      <c r="Q17" s="138">
        <f t="shared" si="3"/>
        <v>3.4516025674399278E-2</v>
      </c>
    </row>
    <row r="18" spans="1:17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>
      <c r="A19" s="202"/>
      <c r="B19" s="202"/>
      <c r="Q19" s="28"/>
    </row>
    <row r="20" spans="1:17">
      <c r="A20" s="23" t="s">
        <v>28</v>
      </c>
      <c r="B20" s="23"/>
      <c r="C20" s="138">
        <f>AVERAGE(Q7:Q17)</f>
        <v>4.7430959832373734E-2</v>
      </c>
      <c r="D20" s="12"/>
      <c r="E20" s="246" t="s">
        <v>19</v>
      </c>
      <c r="Q20" s="28"/>
    </row>
    <row r="21" spans="1:17">
      <c r="A21" s="23" t="s">
        <v>29</v>
      </c>
      <c r="B21" s="23"/>
      <c r="C21" s="137">
        <f>(E17/E7)^(1/10)-1</f>
        <v>7.0859474653023558E-2</v>
      </c>
      <c r="D21" s="26"/>
      <c r="E21" s="246" t="s">
        <v>30</v>
      </c>
      <c r="Q21" s="28"/>
    </row>
    <row r="22" spans="1:17">
      <c r="A22" s="23" t="s">
        <v>31</v>
      </c>
      <c r="B22" s="23"/>
      <c r="C22" s="137">
        <f>'7 Risk Free Rate'!E36</f>
        <v>3.2163333333333335E-2</v>
      </c>
      <c r="E22" s="246" t="s">
        <v>32</v>
      </c>
      <c r="Q22" s="28"/>
    </row>
    <row r="23" spans="1:17">
      <c r="A23" s="23" t="s">
        <v>33</v>
      </c>
      <c r="B23" s="23"/>
      <c r="C23" s="253">
        <f>'3 Stock Price'!B6</f>
        <v>3862.1010000000006</v>
      </c>
      <c r="E23" s="246" t="s">
        <v>38</v>
      </c>
      <c r="Q23" s="28"/>
    </row>
    <row r="24" spans="1:17">
      <c r="A24" s="32"/>
      <c r="B24" s="32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3"/>
    </row>
    <row r="25" spans="1:17">
      <c r="A25" s="23"/>
      <c r="B25" s="23"/>
      <c r="Q25" s="28"/>
    </row>
    <row r="26" spans="1:17">
      <c r="A26" s="23"/>
      <c r="B26" s="23"/>
      <c r="C26" s="246" t="s">
        <v>39</v>
      </c>
      <c r="D26" s="246"/>
      <c r="E26" s="246" t="s">
        <v>40</v>
      </c>
      <c r="F26" s="246"/>
      <c r="G26" s="246" t="s">
        <v>41</v>
      </c>
      <c r="H26" s="246"/>
      <c r="I26" s="246" t="s">
        <v>42</v>
      </c>
      <c r="J26" s="246"/>
      <c r="K26" s="246" t="s">
        <v>43</v>
      </c>
      <c r="Q26" s="28"/>
    </row>
    <row r="27" spans="1:17">
      <c r="A27" s="23"/>
      <c r="B27" s="23"/>
      <c r="C27" s="246"/>
      <c r="D27" s="246"/>
      <c r="E27" s="246"/>
      <c r="F27" s="246"/>
      <c r="G27" s="246"/>
      <c r="H27" s="246"/>
      <c r="I27" s="246"/>
      <c r="J27" s="246"/>
      <c r="K27" s="246"/>
      <c r="Q27" s="28"/>
    </row>
    <row r="28" spans="1:17">
      <c r="A28" s="247" t="s">
        <v>25</v>
      </c>
      <c r="B28" s="23"/>
      <c r="C28" s="247">
        <v>1</v>
      </c>
      <c r="D28" s="246"/>
      <c r="E28" s="247">
        <v>2</v>
      </c>
      <c r="F28" s="246"/>
      <c r="G28" s="247">
        <v>3</v>
      </c>
      <c r="H28" s="246"/>
      <c r="I28" s="247">
        <v>4</v>
      </c>
      <c r="J28" s="246"/>
      <c r="K28" s="247">
        <v>5</v>
      </c>
      <c r="Q28" s="28"/>
    </row>
    <row r="29" spans="1:17">
      <c r="A29" s="23"/>
      <c r="B29" s="202"/>
      <c r="Q29" s="28"/>
    </row>
    <row r="30" spans="1:17">
      <c r="A30" s="23" t="s">
        <v>34</v>
      </c>
      <c r="B30" s="202"/>
      <c r="C30" s="20">
        <f>$C$20*$C$23*(1+$C$21)^C28</f>
        <v>196.16341969818615</v>
      </c>
      <c r="D30" s="20"/>
      <c r="E30" s="20">
        <f t="shared" ref="E30:K30" si="4">$C$20*$C$23*(1+$C$21)^E28</f>
        <v>210.06345656414018</v>
      </c>
      <c r="F30" s="20"/>
      <c r="G30" s="20">
        <f t="shared" si="4"/>
        <v>224.94844274007338</v>
      </c>
      <c r="H30" s="20"/>
      <c r="I30" s="20">
        <f t="shared" si="4"/>
        <v>240.8881712166507</v>
      </c>
      <c r="J30" s="20"/>
      <c r="K30" s="73">
        <f t="shared" si="4"/>
        <v>257.95738047919019</v>
      </c>
      <c r="Q30" s="28"/>
    </row>
    <row r="31" spans="1:17">
      <c r="A31" s="23" t="s">
        <v>35</v>
      </c>
      <c r="B31" s="202"/>
      <c r="C31" s="74"/>
      <c r="D31" s="74"/>
      <c r="E31" s="74"/>
      <c r="F31" s="74"/>
      <c r="G31" s="74"/>
      <c r="H31" s="74"/>
      <c r="I31" s="74"/>
      <c r="J31" s="74"/>
      <c r="K31" s="75">
        <f>K30*(1+C22)/C38</f>
        <v>4604.9923626393738</v>
      </c>
      <c r="Q31" s="28"/>
    </row>
    <row r="32" spans="1:17">
      <c r="A32" s="23" t="s">
        <v>36</v>
      </c>
      <c r="B32" s="202"/>
      <c r="C32" s="19">
        <f>C30/(1+$C$22+$C$38)^C28</f>
        <v>179.96942528266709</v>
      </c>
      <c r="D32" s="20"/>
      <c r="E32" s="19">
        <f t="shared" ref="E32:I32" si="5">E30/(1+$C$22+$C$38)^E28</f>
        <v>176.81207429962902</v>
      </c>
      <c r="F32" s="20"/>
      <c r="G32" s="19">
        <f t="shared" si="5"/>
        <v>173.71011531006113</v>
      </c>
      <c r="H32" s="20"/>
      <c r="I32" s="19">
        <f t="shared" si="5"/>
        <v>170.66257652686815</v>
      </c>
      <c r="J32" s="20"/>
      <c r="K32" s="75">
        <f>(K30+K31)/(1+$C$22+C38)^K28</f>
        <v>3160.8458075838207</v>
      </c>
      <c r="Q32" s="28"/>
    </row>
    <row r="33" spans="1:17">
      <c r="A33" s="23"/>
      <c r="B33" s="202"/>
      <c r="Q33" s="28"/>
    </row>
    <row r="34" spans="1:17">
      <c r="A34" s="23" t="s">
        <v>37</v>
      </c>
      <c r="B34" s="202"/>
      <c r="C34" s="19">
        <f>SUM(C32,E32,G32,I32,K32)</f>
        <v>3861.999999003046</v>
      </c>
      <c r="E34" s="246" t="s">
        <v>50</v>
      </c>
      <c r="Q34" s="28"/>
    </row>
    <row r="35" spans="1:17">
      <c r="A35" s="23"/>
      <c r="B35" s="202"/>
      <c r="C35" s="20"/>
      <c r="E35" s="246"/>
      <c r="Q35" s="28"/>
    </row>
    <row r="36" spans="1:17">
      <c r="A36" s="23" t="s">
        <v>58</v>
      </c>
      <c r="B36" s="202"/>
      <c r="C36" s="268">
        <f>C38+C22</f>
        <v>8.998191992936648E-2</v>
      </c>
      <c r="E36" s="246" t="s">
        <v>51</v>
      </c>
      <c r="Q36" s="28"/>
    </row>
    <row r="37" spans="1:17" ht="15.75" thickBot="1">
      <c r="A37" s="23"/>
      <c r="B37" s="202"/>
      <c r="Q37" s="28"/>
    </row>
    <row r="38" spans="1:17" ht="15.75" thickBot="1">
      <c r="A38" s="29" t="s">
        <v>44</v>
      </c>
      <c r="B38" s="202"/>
      <c r="C38" s="254">
        <v>5.7818586596033145E-2</v>
      </c>
      <c r="E38" s="246" t="s">
        <v>59</v>
      </c>
      <c r="Q38" s="28"/>
    </row>
    <row r="39" spans="1:17">
      <c r="A39" s="32"/>
      <c r="B39" s="43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33"/>
    </row>
    <row r="40" spans="1:17">
      <c r="Q40" s="28"/>
    </row>
    <row r="41" spans="1:17">
      <c r="A41" s="23"/>
    </row>
    <row r="42" spans="1:17" s="54" customFormat="1" ht="14.45" customHeight="1">
      <c r="A42" s="296" t="s">
        <v>256</v>
      </c>
      <c r="B42" s="296"/>
      <c r="C42" s="296"/>
      <c r="D42" s="296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</row>
    <row r="43" spans="1:17" s="54" customFormat="1" ht="14.45" customHeight="1">
      <c r="A43" s="296" t="s">
        <v>64</v>
      </c>
      <c r="B43" s="296"/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</row>
    <row r="44" spans="1:17" s="54" customFormat="1" ht="14.45" customHeight="1">
      <c r="A44" s="296" t="s">
        <v>45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</row>
    <row r="45" spans="1:17" s="54" customFormat="1" ht="14.45" customHeight="1">
      <c r="A45" s="296" t="s">
        <v>46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</row>
    <row r="46" spans="1:17" s="54" customFormat="1" ht="14.45" customHeight="1">
      <c r="A46" s="296" t="s">
        <v>47</v>
      </c>
      <c r="B46" s="296"/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</row>
    <row r="47" spans="1:17" s="54" customFormat="1" ht="14.45" customHeight="1">
      <c r="A47" s="296" t="s">
        <v>48</v>
      </c>
      <c r="B47" s="296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</row>
    <row r="48" spans="1:17" s="54" customFormat="1" ht="14.45" customHeight="1">
      <c r="A48" s="296" t="s">
        <v>49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</row>
    <row r="49" spans="1:17" s="54" customFormat="1" ht="14.45" customHeight="1">
      <c r="A49" s="296" t="s">
        <v>259</v>
      </c>
      <c r="B49" s="296"/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</row>
    <row r="50" spans="1:17" s="54" customFormat="1" ht="14.45" customHeight="1">
      <c r="A50" s="296" t="s">
        <v>257</v>
      </c>
      <c r="B50" s="296"/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</row>
    <row r="51" spans="1:17" s="54" customFormat="1" ht="14.45" customHeight="1">
      <c r="A51" s="296" t="s">
        <v>258</v>
      </c>
      <c r="B51" s="296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</row>
    <row r="52" spans="1:17" s="54" customFormat="1" ht="14.45" customHeight="1">
      <c r="A52" s="296" t="s">
        <v>66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</row>
    <row r="53" spans="1:17" s="54" customFormat="1" ht="14.45" customHeight="1">
      <c r="A53" s="296" t="s">
        <v>67</v>
      </c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</row>
    <row r="54" spans="1:17" s="54" customFormat="1" ht="14.45" customHeight="1">
      <c r="A54" s="296" t="s">
        <v>68</v>
      </c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</row>
    <row r="55" spans="1:17" s="54" customFormat="1" ht="14.45" customHeight="1">
      <c r="A55" s="296" t="s">
        <v>63</v>
      </c>
      <c r="B55" s="296"/>
      <c r="C55" s="296"/>
      <c r="D55" s="296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</row>
    <row r="56" spans="1:17" s="54" customFormat="1" ht="14.45" customHeight="1">
      <c r="A56" s="296" t="s">
        <v>69</v>
      </c>
      <c r="B56" s="296"/>
      <c r="C56" s="296"/>
      <c r="D56" s="296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</row>
    <row r="57" spans="1:17">
      <c r="A57" s="23"/>
    </row>
    <row r="58" spans="1:17">
      <c r="A58" s="23"/>
    </row>
    <row r="59" spans="1:17">
      <c r="A59" s="23"/>
    </row>
    <row r="60" spans="1:17">
      <c r="A60" s="23"/>
    </row>
    <row r="61" spans="1:17">
      <c r="A61" s="23"/>
    </row>
    <row r="62" spans="1:17">
      <c r="A62" s="23"/>
    </row>
    <row r="63" spans="1:17">
      <c r="A63" s="23"/>
    </row>
    <row r="64" spans="1:17">
      <c r="A64" s="23"/>
    </row>
    <row r="65" spans="1:1">
      <c r="A65" s="23"/>
    </row>
    <row r="66" spans="1:1">
      <c r="A66" s="23"/>
    </row>
    <row r="67" spans="1:1">
      <c r="A67" s="23"/>
    </row>
    <row r="68" spans="1:1">
      <c r="A68" s="23"/>
    </row>
    <row r="69" spans="1:1">
      <c r="A69" s="23"/>
    </row>
    <row r="70" spans="1:1">
      <c r="A70" s="23"/>
    </row>
    <row r="71" spans="1:1">
      <c r="A71" s="23"/>
    </row>
    <row r="72" spans="1:1">
      <c r="A72" s="23"/>
    </row>
    <row r="73" spans="1:1">
      <c r="A73" s="23"/>
    </row>
    <row r="74" spans="1:1">
      <c r="A74" s="23"/>
    </row>
    <row r="75" spans="1:1">
      <c r="A75" s="23"/>
    </row>
    <row r="76" spans="1:1">
      <c r="A76" s="23"/>
    </row>
    <row r="77" spans="1:1">
      <c r="A77" s="23"/>
    </row>
    <row r="78" spans="1:1">
      <c r="A78" s="23"/>
    </row>
    <row r="79" spans="1:1">
      <c r="A79" s="23"/>
    </row>
    <row r="80" spans="1:1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  <row r="86" spans="1:1">
      <c r="A86" s="23"/>
    </row>
    <row r="87" spans="1:1">
      <c r="A87" s="23"/>
    </row>
    <row r="88" spans="1:1">
      <c r="A88" s="23"/>
    </row>
    <row r="89" spans="1:1">
      <c r="A89" s="23"/>
    </row>
    <row r="90" spans="1:1">
      <c r="A90" s="23"/>
    </row>
    <row r="91" spans="1:1">
      <c r="A91" s="23"/>
    </row>
    <row r="92" spans="1:1">
      <c r="A92" s="23"/>
    </row>
    <row r="93" spans="1:1">
      <c r="A93" s="23"/>
    </row>
    <row r="94" spans="1:1">
      <c r="A94" s="23"/>
    </row>
    <row r="95" spans="1:1">
      <c r="A95" s="23"/>
    </row>
    <row r="96" spans="1:1">
      <c r="A96" s="23"/>
    </row>
    <row r="97" spans="1:1">
      <c r="A97" s="23"/>
    </row>
    <row r="98" spans="1:1">
      <c r="A98" s="23"/>
    </row>
    <row r="99" spans="1:1">
      <c r="A99" s="23"/>
    </row>
    <row r="100" spans="1:1">
      <c r="A100" s="23"/>
    </row>
    <row r="101" spans="1:1">
      <c r="A101" s="23"/>
    </row>
    <row r="102" spans="1:1">
      <c r="A102" s="23"/>
    </row>
    <row r="103" spans="1:1">
      <c r="A103" s="23"/>
    </row>
    <row r="104" spans="1:1">
      <c r="A104" s="23"/>
    </row>
    <row r="105" spans="1:1">
      <c r="A105" s="23"/>
    </row>
    <row r="106" spans="1:1">
      <c r="A106" s="23"/>
    </row>
    <row r="107" spans="1:1">
      <c r="A107" s="23"/>
    </row>
    <row r="108" spans="1:1">
      <c r="A108" s="23"/>
    </row>
    <row r="109" spans="1:1">
      <c r="A109" s="23"/>
    </row>
    <row r="110" spans="1:1">
      <c r="A110" s="23"/>
    </row>
    <row r="111" spans="1:1">
      <c r="A111" s="23"/>
    </row>
    <row r="112" spans="1:1">
      <c r="A112" s="23"/>
    </row>
    <row r="113" spans="1:1">
      <c r="A113" s="23"/>
    </row>
    <row r="114" spans="1:1">
      <c r="A114" s="23"/>
    </row>
    <row r="115" spans="1:1">
      <c r="A115" s="23"/>
    </row>
    <row r="116" spans="1:1">
      <c r="A116" s="23"/>
    </row>
    <row r="117" spans="1:1">
      <c r="A117" s="23"/>
    </row>
    <row r="118" spans="1:1">
      <c r="A118" s="23"/>
    </row>
    <row r="119" spans="1:1">
      <c r="A119" s="23"/>
    </row>
    <row r="120" spans="1:1">
      <c r="A120" s="23"/>
    </row>
    <row r="121" spans="1:1">
      <c r="A121" s="23"/>
    </row>
    <row r="122" spans="1:1">
      <c r="A122" s="23"/>
    </row>
    <row r="123" spans="1:1">
      <c r="A123" s="23"/>
    </row>
    <row r="124" spans="1:1">
      <c r="A124" s="23"/>
    </row>
    <row r="125" spans="1:1">
      <c r="A125" s="23"/>
    </row>
    <row r="126" spans="1:1">
      <c r="A126" s="23"/>
    </row>
    <row r="127" spans="1:1">
      <c r="A127" s="23"/>
    </row>
    <row r="128" spans="1:1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  <row r="144" spans="1:1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</sheetData>
  <mergeCells count="15">
    <mergeCell ref="A47:Q47"/>
    <mergeCell ref="A42:Q42"/>
    <mergeCell ref="A43:Q43"/>
    <mergeCell ref="A44:Q44"/>
    <mergeCell ref="A45:Q45"/>
    <mergeCell ref="A46:Q46"/>
    <mergeCell ref="A54:Q54"/>
    <mergeCell ref="A55:Q55"/>
    <mergeCell ref="A56:Q56"/>
    <mergeCell ref="A48:Q48"/>
    <mergeCell ref="A49:Q49"/>
    <mergeCell ref="A50:Q50"/>
    <mergeCell ref="A51:Q51"/>
    <mergeCell ref="A52:Q52"/>
    <mergeCell ref="A53:Q53"/>
  </mergeCells>
  <printOptions horizontalCentered="1"/>
  <pageMargins left="0.7" right="0.7" top="0.75" bottom="0.75" header="0.3" footer="0.3"/>
  <pageSetup scale="61" orientation="landscape" r:id="rId1"/>
  <headerFooter scaleWithDoc="0">
    <oddHeader>&amp;C&amp;"-,Bold"&amp;14CAPM Implied Equity Risk Premium Estimate&amp;R&amp;10Docket No. 20220067-GU
FPUC Petition
Exhibit DJG-9
Page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2:R35"/>
  <sheetViews>
    <sheetView zoomScale="90" zoomScaleNormal="90" workbookViewId="0"/>
  </sheetViews>
  <sheetFormatPr defaultRowHeight="15"/>
  <cols>
    <col min="1" max="1" width="29.7109375" style="81" customWidth="1"/>
    <col min="2" max="2" width="2.7109375" style="81" customWidth="1"/>
    <col min="3" max="3" width="10.7109375" style="81" customWidth="1"/>
    <col min="4" max="4" width="2.7109375" style="81" customWidth="1"/>
    <col min="5" max="5" width="3.28515625" style="81" customWidth="1"/>
    <col min="6" max="7" width="9.140625" style="81"/>
    <col min="8" max="8" width="17.85546875" style="81" customWidth="1"/>
    <col min="9" max="16384" width="9.140625" style="81"/>
  </cols>
  <sheetData>
    <row r="2" spans="1:10">
      <c r="A2" s="275"/>
      <c r="B2" s="80"/>
      <c r="C2" s="80"/>
      <c r="D2" s="80"/>
      <c r="E2" s="80"/>
    </row>
    <row r="4" spans="1:10">
      <c r="A4" s="82"/>
      <c r="C4" s="83"/>
      <c r="D4" s="83"/>
      <c r="E4" s="84"/>
      <c r="H4" s="81" t="s">
        <v>75</v>
      </c>
      <c r="I4" s="117">
        <v>0.1023</v>
      </c>
    </row>
    <row r="5" spans="1:10">
      <c r="A5" s="168" t="s">
        <v>83</v>
      </c>
      <c r="C5" s="140">
        <v>5.6000000000000001E-2</v>
      </c>
      <c r="D5" s="87"/>
      <c r="E5" s="84" t="s">
        <v>3</v>
      </c>
      <c r="I5" s="85"/>
      <c r="J5" s="85"/>
    </row>
    <row r="6" spans="1:10">
      <c r="A6" s="169"/>
      <c r="C6" s="86"/>
      <c r="D6" s="87"/>
      <c r="E6" s="84"/>
      <c r="I6" s="85"/>
      <c r="J6" s="85"/>
    </row>
    <row r="7" spans="1:10">
      <c r="A7" s="288" t="s">
        <v>280</v>
      </c>
      <c r="C7" s="140">
        <v>5.5E-2</v>
      </c>
      <c r="E7" s="141" t="s">
        <v>4</v>
      </c>
      <c r="I7" s="88"/>
    </row>
    <row r="8" spans="1:10">
      <c r="A8" s="170"/>
      <c r="C8" s="86"/>
      <c r="E8" s="84"/>
      <c r="I8" s="85"/>
    </row>
    <row r="9" spans="1:10">
      <c r="A9" s="171" t="s">
        <v>174</v>
      </c>
      <c r="C9" s="230">
        <f>AVERAGE(0.0569,0.0601,0.059,0.0566,0.0427)</f>
        <v>5.5059999999999998E-2</v>
      </c>
      <c r="D9" s="87"/>
      <c r="E9" s="141" t="s">
        <v>5</v>
      </c>
      <c r="I9" s="85"/>
    </row>
    <row r="10" spans="1:10">
      <c r="A10" s="171"/>
      <c r="C10" s="230"/>
      <c r="D10" s="87"/>
      <c r="E10" s="141"/>
      <c r="I10" s="85"/>
    </row>
    <row r="11" spans="1:10">
      <c r="A11" s="168" t="s">
        <v>82</v>
      </c>
      <c r="C11" s="89">
        <f>'9 Implied ERP'!C38</f>
        <v>5.7818586596033145E-2</v>
      </c>
      <c r="D11" s="87"/>
      <c r="E11" s="141" t="s">
        <v>6</v>
      </c>
      <c r="I11" s="85"/>
    </row>
    <row r="12" spans="1:10">
      <c r="C12" s="90"/>
      <c r="D12" s="83"/>
      <c r="E12" s="84"/>
      <c r="I12" s="85"/>
    </row>
    <row r="13" spans="1:10">
      <c r="A13" s="13" t="s">
        <v>60</v>
      </c>
      <c r="C13" s="91">
        <f>AVERAGE(C5:C11)</f>
        <v>5.5969646649008283E-2</v>
      </c>
      <c r="D13" s="83"/>
      <c r="E13" s="84"/>
      <c r="I13" s="85"/>
    </row>
    <row r="14" spans="1:10">
      <c r="A14" s="92"/>
      <c r="B14" s="80"/>
      <c r="C14" s="93"/>
      <c r="D14" s="93"/>
      <c r="E14" s="94"/>
      <c r="I14" s="85"/>
    </row>
    <row r="15" spans="1:10">
      <c r="I15" s="85"/>
    </row>
    <row r="17" spans="1:18">
      <c r="A17" s="297" t="s">
        <v>278</v>
      </c>
      <c r="B17" s="297"/>
      <c r="C17" s="297"/>
      <c r="D17" s="297"/>
      <c r="E17" s="297"/>
    </row>
    <row r="18" spans="1:18">
      <c r="A18" s="297" t="s">
        <v>279</v>
      </c>
      <c r="B18" s="297"/>
      <c r="C18" s="297"/>
      <c r="D18" s="297"/>
      <c r="E18" s="297"/>
      <c r="I18" s="88"/>
    </row>
    <row r="19" spans="1:18">
      <c r="A19" s="297" t="s">
        <v>268</v>
      </c>
      <c r="B19" s="297"/>
      <c r="C19" s="297"/>
      <c r="D19" s="297"/>
      <c r="E19" s="297"/>
    </row>
    <row r="20" spans="1:18">
      <c r="A20" s="298" t="s">
        <v>181</v>
      </c>
      <c r="B20" s="298"/>
      <c r="C20" s="298"/>
      <c r="D20" s="298"/>
      <c r="E20" s="298"/>
    </row>
    <row r="21" spans="1:18" s="96" customFormat="1" ht="14.25" customHeight="1">
      <c r="A21" s="81"/>
      <c r="B21" s="81"/>
      <c r="C21" s="81"/>
      <c r="D21" s="81"/>
      <c r="E21" s="81"/>
      <c r="H21" s="81"/>
      <c r="I21" s="81"/>
      <c r="J21" s="81"/>
      <c r="K21" s="81"/>
      <c r="L21" s="81"/>
      <c r="M21" s="81"/>
      <c r="N21" s="81"/>
    </row>
    <row r="22" spans="1:18" s="96" customFormat="1" ht="14.25" customHeight="1">
      <c r="A22" s="81"/>
      <c r="B22" s="81"/>
      <c r="C22" s="81"/>
      <c r="D22" s="81"/>
      <c r="E22" s="81"/>
      <c r="H22" s="95"/>
      <c r="I22" s="95"/>
      <c r="J22" s="81"/>
      <c r="K22" s="81"/>
      <c r="L22" s="81"/>
      <c r="M22" s="81"/>
      <c r="N22" s="81"/>
    </row>
    <row r="23" spans="1:18" s="96" customFormat="1" ht="14.45" customHeight="1">
      <c r="A23" s="81"/>
      <c r="B23" s="81"/>
      <c r="C23" s="81"/>
      <c r="D23" s="81"/>
      <c r="E23" s="81"/>
      <c r="H23" s="95"/>
      <c r="I23" s="95"/>
      <c r="J23" s="95"/>
      <c r="K23" s="95"/>
      <c r="L23" s="95"/>
      <c r="M23" s="95"/>
      <c r="N23" s="95"/>
      <c r="R23" s="143"/>
    </row>
    <row r="24" spans="1:18" s="96" customFormat="1" ht="14.45" customHeight="1">
      <c r="A24" s="81"/>
      <c r="B24" s="81"/>
      <c r="C24" s="81"/>
      <c r="D24" s="81"/>
      <c r="E24" s="81"/>
      <c r="H24" s="95"/>
      <c r="I24" s="95"/>
      <c r="J24" s="95"/>
      <c r="K24" s="95"/>
      <c r="L24" s="95"/>
      <c r="M24" s="95"/>
      <c r="N24" s="95"/>
      <c r="R24" s="143"/>
    </row>
    <row r="25" spans="1:18" s="96" customFormat="1" ht="14.45" customHeight="1">
      <c r="A25" s="81"/>
      <c r="B25" s="81"/>
      <c r="C25" s="81"/>
      <c r="D25" s="81"/>
      <c r="E25" s="81"/>
      <c r="I25" s="95"/>
      <c r="J25" s="95"/>
      <c r="K25" s="95"/>
      <c r="L25" s="95"/>
      <c r="M25" s="95"/>
      <c r="N25" s="95"/>
    </row>
    <row r="26" spans="1:18" s="96" customFormat="1" ht="14.45" customHeight="1">
      <c r="A26" s="81"/>
      <c r="B26" s="81"/>
      <c r="C26" s="81"/>
      <c r="D26" s="81"/>
      <c r="E26" s="81"/>
      <c r="J26" s="95"/>
      <c r="K26" s="95"/>
      <c r="L26" s="95"/>
      <c r="M26" s="95"/>
      <c r="N26" s="95"/>
    </row>
    <row r="27" spans="1:18">
      <c r="H27" s="96"/>
      <c r="I27" s="96"/>
      <c r="J27" s="96"/>
      <c r="K27" s="96"/>
      <c r="L27" s="96"/>
      <c r="M27" s="96"/>
      <c r="N27" s="96"/>
    </row>
    <row r="28" spans="1:18">
      <c r="H28" s="96"/>
      <c r="I28" s="96"/>
      <c r="J28" s="96"/>
      <c r="K28" s="96"/>
      <c r="L28" s="96"/>
      <c r="M28" s="96"/>
      <c r="N28" s="96"/>
    </row>
    <row r="29" spans="1:18">
      <c r="H29" s="96"/>
      <c r="I29" s="96"/>
      <c r="J29" s="96"/>
      <c r="K29" s="96"/>
      <c r="L29" s="96"/>
      <c r="M29" s="96"/>
      <c r="N29" s="96"/>
    </row>
    <row r="30" spans="1:18">
      <c r="H30" s="96"/>
      <c r="I30" s="96"/>
      <c r="J30" s="96"/>
      <c r="K30" s="96"/>
      <c r="L30" s="96"/>
      <c r="M30" s="96"/>
      <c r="N30" s="96"/>
    </row>
    <row r="31" spans="1:18">
      <c r="H31" s="96"/>
      <c r="I31" s="96"/>
      <c r="J31" s="96"/>
      <c r="K31" s="96"/>
      <c r="L31" s="96"/>
      <c r="M31" s="96"/>
      <c r="N31" s="96"/>
    </row>
    <row r="32" spans="1:18">
      <c r="H32" s="96"/>
      <c r="I32" s="96"/>
      <c r="J32" s="96"/>
      <c r="K32" s="96"/>
      <c r="L32" s="96"/>
      <c r="M32" s="96"/>
      <c r="N32" s="96"/>
    </row>
    <row r="33" spans="8:14">
      <c r="H33" s="96"/>
      <c r="I33" s="96"/>
      <c r="J33" s="96"/>
      <c r="K33" s="96"/>
      <c r="L33" s="96"/>
      <c r="M33" s="96"/>
      <c r="N33" s="96"/>
    </row>
    <row r="34" spans="8:14">
      <c r="I34" s="96"/>
      <c r="J34" s="96"/>
      <c r="K34" s="96"/>
      <c r="L34" s="96"/>
      <c r="M34" s="96"/>
      <c r="N34" s="96"/>
    </row>
    <row r="35" spans="8:14">
      <c r="J35" s="96"/>
      <c r="K35" s="96"/>
      <c r="L35" s="96"/>
      <c r="M35" s="96"/>
      <c r="N35" s="96"/>
    </row>
  </sheetData>
  <mergeCells count="4">
    <mergeCell ref="A17:E17"/>
    <mergeCell ref="A18:E18"/>
    <mergeCell ref="A19:E19"/>
    <mergeCell ref="A20:E20"/>
  </mergeCells>
  <printOptions horizontalCentered="1"/>
  <pageMargins left="0.7" right="0.7" top="0.75" bottom="0.75" header="0.3" footer="0.3"/>
  <pageSetup orientation="portrait" r:id="rId1"/>
  <headerFooter scaleWithDoc="0">
    <oddHeader>&amp;C&amp;"-,Bold"&amp;14CAPM Equity Risk Premium Results&amp;R&amp;10Docket No. 20220067-GU
FPUC Petition
Exhibit DJG-10
Page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2 Proxy Sum</vt:lpstr>
      <vt:lpstr>3 Stock Price</vt:lpstr>
      <vt:lpstr>4 Div Yields</vt:lpstr>
      <vt:lpstr>5 Growth Determinants</vt:lpstr>
      <vt:lpstr>6 DCF Result</vt:lpstr>
      <vt:lpstr>7 Risk Free Rate</vt:lpstr>
      <vt:lpstr>8 Beta</vt:lpstr>
      <vt:lpstr>9 Implied ERP</vt:lpstr>
      <vt:lpstr>10 ERP Result</vt:lpstr>
      <vt:lpstr>11 CAPM Result</vt:lpstr>
      <vt:lpstr>12 COE Summary</vt:lpstr>
      <vt:lpstr>13 Historic Trends</vt:lpstr>
      <vt:lpstr>14 Proxy Debt Ratios</vt:lpstr>
      <vt:lpstr>15 Competitive Debt Ratios</vt:lpstr>
      <vt:lpstr>16 Hamada Model</vt:lpstr>
      <vt:lpstr>17 Final WACC</vt:lpstr>
      <vt:lpstr>Fig Industry Betas</vt:lpstr>
      <vt:lpstr>Fig CAPM Graph</vt:lpstr>
      <vt:lpstr>Fig Bus Cycle</vt:lpstr>
      <vt:lpstr>Fig Diversify</vt:lpstr>
      <vt:lpstr>'10 ERP Result'!Print_Area</vt:lpstr>
      <vt:lpstr>'13 Historic Trends'!Print_Area</vt:lpstr>
      <vt:lpstr>'15 Competitive Debt Ratios'!Print_Area</vt:lpstr>
      <vt:lpstr>'Fig Bus Cycle'!Print_Area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2017-11-01T15:11:40Z</dcterms:created>
  <dcterms:modified xsi:type="dcterms:W3CDTF">2022-09-13T20:29:05Z</dcterms:modified>
</cp:coreProperties>
</file>