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keabet\AppData\Roaming\iManage\Work\Recent\00033016-00025 Florida Public Utilities Co. - 2022 Rate Relief _ Consolidation Filing\"/>
    </mc:Choice>
  </mc:AlternateContent>
  <bookViews>
    <workbookView xWindow="-27720" yWindow="1080" windowWidth="21600" windowHeight="11325" activeTab="3"/>
  </bookViews>
  <sheets>
    <sheet name="FPUC" sheetId="1" r:id="rId2"/>
    <sheet name="CFG" sheetId="2" r:id="rId3"/>
    <sheet name="FI" sheetId="5" r:id="rId4"/>
    <sheet name="FT" sheetId="6" r:id="rId5"/>
  </sheets>
  <definedNames/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</calcChain>
</file>

<file path=xl/sharedStrings.xml><?xml version="1.0" encoding="utf-8"?>
<sst xmlns="http://schemas.openxmlformats.org/spreadsheetml/2006/main" count="296" uniqueCount="31">
  <si>
    <t>Total Rate base</t>
  </si>
  <si>
    <t>Less: Customer Deposits</t>
  </si>
  <si>
    <t xml:space="preserve">      Deferred Income Tax</t>
  </si>
  <si>
    <t>13-MONTH AVERAGE</t>
  </si>
  <si>
    <t>COMMON EQUITY</t>
  </si>
  <si>
    <t>LONG TERM DEBT</t>
  </si>
  <si>
    <t>SHORT TERM DEBT</t>
  </si>
  <si>
    <t>CONSOLIDATED CAPITALIZATION</t>
  </si>
  <si>
    <t>Allocation</t>
  </si>
  <si>
    <t>Total</t>
  </si>
  <si>
    <t>Amount per books</t>
  </si>
  <si>
    <t>Specific</t>
  </si>
  <si>
    <t>Prorata</t>
  </si>
  <si>
    <t>Net</t>
  </si>
  <si>
    <t>FPUC</t>
  </si>
  <si>
    <t>Historic Base Year Ended 12/31/2021</t>
  </si>
  <si>
    <t>PARENT EQUITY</t>
  </si>
  <si>
    <t>PARENT LONG-TERM DEBT</t>
  </si>
  <si>
    <t>PARENT SHORT-TERM DEBT</t>
  </si>
  <si>
    <t>Historic Base Yr + 2:     12/31/2023</t>
  </si>
  <si>
    <t xml:space="preserve">Rate Base Allocated </t>
  </si>
  <si>
    <t>BU CAPITALIZATION</t>
  </si>
  <si>
    <t>Historic Base Yr + 1:   12/31/2022</t>
  </si>
  <si>
    <t>Per Books</t>
  </si>
  <si>
    <t>BU specific adj.</t>
  </si>
  <si>
    <t>Prorata Adj.</t>
  </si>
  <si>
    <t>ROG 160b</t>
  </si>
  <si>
    <t>CFG</t>
  </si>
  <si>
    <t>FI</t>
  </si>
  <si>
    <t>FT</t>
  </si>
  <si>
    <t>Regulatory Tax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</si>
</sst>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u val="single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</border>
    <border>
      <left/>
      <right/>
      <top style="thin">
        <color auto="1"/>
      </top>
      <bottom style="double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8" applyFont="1"/>
    <xf numFmtId="165" fontId="0" fillId="0" borderId="0" xfId="18" applyNumberFormat="1" applyFont="1"/>
    <xf numFmtId="165" fontId="0" fillId="0" borderId="0" xfId="0" applyNumberFormat="1"/>
    <xf numFmtId="10" fontId="0" fillId="0" borderId="0" xfId="15" applyNumberFormat="1" applyFont="1"/>
    <xf numFmtId="10" fontId="0" fillId="0" borderId="1" xfId="15" applyNumberFormat="1" applyFont="1" applyBorder="1"/>
    <xf numFmtId="14" fontId="0" fillId="0" borderId="0" xfId="0" applyNumberFormat="1"/>
    <xf numFmtId="43" fontId="0" fillId="0" borderId="0" xfId="18" applyNumberFormat="1" applyFont="1"/>
    <xf numFmtId="0" fontId="2" fillId="0" borderId="0" xfId="0" applyFont="1"/>
    <xf numFmtId="165" fontId="0" fillId="0" borderId="2" xfId="18" applyNumberFormat="1" applyFont="1" applyBorder="1"/>
    <xf numFmtId="0" fontId="3" fillId="0" borderId="0" xfId="0" applyFont="1"/>
    <xf numFmtId="0" fontId="0" fillId="0" borderId="0" xfId="0" applyAlignment="1">
      <alignment horizontal="left" indent="1"/>
    </xf>
    <xf numFmtId="164" fontId="2" fillId="0" borderId="0" xfId="0" applyNumberFormat="1" applyFont="1"/>
    <xf numFmtId="43" fontId="2" fillId="0" borderId="0" xfId="18" applyFont="1"/>
    <xf numFmtId="165" fontId="0" fillId="0" borderId="1" xfId="18" applyNumberFormat="1" applyFont="1" applyBorder="1"/>
    <xf numFmtId="43" fontId="0" fillId="0" borderId="0" xfId="0" applyNumberFormat="1"/>
    <xf numFmtId="0" fontId="0" fillId="0" borderId="0" xfId="0" applyFont="1"/>
    <xf numFmtId="10" fontId="0" fillId="0" borderId="0" xfId="15" applyNumberFormat="1" applyFont="1"/>
    <xf numFmtId="165" fontId="0" fillId="0" borderId="0" xfId="18" applyNumberFormat="1" applyFont="1"/>
    <xf numFmtId="0" fontId="0" fillId="0" borderId="0" xfId="0" applyAlignment="1">
      <alignment horizontal="left" indent="3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calcChain" Target="calcChain.xml" /><Relationship Id="rId1" Type="http://schemas.openxmlformats.org/officeDocument/2006/relationships/theme" Target="theme/theme1.xml" /><Relationship Id="rId8" Type="http://schemas.openxmlformats.org/officeDocument/2006/relationships/customXml" Target="../customXml/item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81"/>
  <sheetViews>
    <sheetView zoomScale="85" zoomScaleNormal="85" workbookViewId="0" topLeftCell="A55">
      <selection pane="topLeft" activeCell="G7" sqref="G7:G9"/>
    </sheetView>
  </sheetViews>
  <sheetFormatPr defaultRowHeight="15"/>
  <cols>
    <col min="2" max="2" width="30.4285714285714" bestFit="1" customWidth="1"/>
    <col min="3" max="3" width="19.2857142857143" customWidth="1"/>
    <col min="4" max="4" width="18.2857142857143" bestFit="1" customWidth="1"/>
    <col min="5" max="6" width="15.4285714285714" bestFit="1" customWidth="1"/>
    <col min="7" max="7" width="15.2857142857143" bestFit="1" customWidth="1"/>
    <col min="8" max="8" width="15.4285714285714" bestFit="1" customWidth="1"/>
    <col min="9" max="9" width="6.71428571428571" customWidth="1"/>
    <col min="10" max="10" width="16.8571428571429" bestFit="1" customWidth="1"/>
    <col min="11" max="11" width="23.4285714285714" bestFit="1" customWidth="1"/>
    <col min="12" max="12" width="15.2857142857143" bestFit="1" customWidth="1"/>
    <col min="13" max="13" width="14.2857142857143" bestFit="1" customWidth="1"/>
    <col min="14" max="14" width="12.2857142857143" bestFit="1" customWidth="1"/>
    <col min="15" max="15" width="14.2857142857143" bestFit="1" customWidth="1"/>
    <col min="17" max="17" width="10.7142857142857" bestFit="1" customWidth="1"/>
    <col min="21" max="21" width="10.7142857142857" bestFit="1" customWidth="1"/>
  </cols>
  <sheetData>
    <row r="1" spans="2:2" ht="15">
      <c r="B1" s="8" t="s">
        <v>26</v>
      </c>
    </row>
    <row r="3" spans="2:21" ht="15">
      <c r="B3" s="8" t="s">
        <v>14</v>
      </c>
      <c r="C3" s="8" t="s">
        <v>15</v>
      </c>
      <c r="D3" s="8"/>
      <c r="Q3" s="6"/>
      <c r="U3" s="6">
        <v>45291</v>
      </c>
    </row>
    <row r="4" spans="8:21" ht="15">
      <c r="H4" s="8"/>
      <c r="I4" s="8"/>
      <c r="J4" s="8"/>
      <c r="Q4" s="6"/>
      <c r="U4" s="6"/>
    </row>
    <row r="5" spans="4:21" ht="15">
      <c r="D5" s="10" t="s">
        <v>23</v>
      </c>
      <c r="E5" s="10" t="s">
        <v>24</v>
      </c>
      <c r="F5" s="10" t="s">
        <v>25</v>
      </c>
      <c r="G5" s="10" t="s">
        <v>9</v>
      </c>
      <c r="H5" s="8"/>
      <c r="I5" s="8"/>
      <c r="J5" s="8"/>
      <c r="Q5" s="6"/>
      <c r="U5" s="6"/>
    </row>
    <row r="6" spans="2:21" ht="15">
      <c r="B6" s="8" t="s">
        <v>0</v>
      </c>
      <c r="D6" s="2">
        <v>211302897.19802827</v>
      </c>
      <c r="E6" s="2">
        <v>-2469682</v>
      </c>
      <c r="F6" s="2">
        <v>93602147</v>
      </c>
      <c r="G6" s="2">
        <f>SUM(D6:F6)</f>
        <v>302435362.19802827</v>
      </c>
      <c r="H6" s="8"/>
      <c r="I6" s="8"/>
      <c r="J6" s="8"/>
      <c r="Q6" s="6"/>
      <c r="U6" s="6"/>
    </row>
    <row r="7" spans="2:21" ht="15">
      <c r="B7" t="s">
        <v>1</v>
      </c>
      <c r="D7" s="2">
        <v>-8766028</v>
      </c>
      <c r="E7" s="2"/>
      <c r="F7" s="2"/>
      <c r="G7" s="2">
        <f>D7</f>
        <v>-8766028</v>
      </c>
      <c r="H7" s="8"/>
      <c r="I7" s="8"/>
      <c r="J7" s="8"/>
      <c r="K7" s="3"/>
      <c r="Q7" s="6"/>
      <c r="U7" s="6"/>
    </row>
    <row r="8" spans="2:21" ht="15">
      <c r="B8" s="11" t="s">
        <v>2</v>
      </c>
      <c r="D8" s="2">
        <f>-44744796.53767+19148859-7542</f>
        <v>-25603479.537670001</v>
      </c>
      <c r="E8" s="2"/>
      <c r="F8" s="2"/>
      <c r="G8" s="2">
        <f t="shared" si="0" ref="G8:G9">D8</f>
        <v>-25603479.537670001</v>
      </c>
      <c r="H8" s="8"/>
      <c r="I8" s="8"/>
      <c r="J8" s="8"/>
      <c r="Q8" s="6"/>
      <c r="U8" s="6"/>
    </row>
    <row r="9" spans="2:21" ht="15">
      <c r="B9" s="19" t="s">
        <v>30</v>
      </c>
      <c r="D9" s="2">
        <f>-19148859+7542</f>
        <v>-19141317</v>
      </c>
      <c r="E9" s="2"/>
      <c r="F9" s="2"/>
      <c r="G9" s="2">
        <f t="shared" si="0"/>
        <v>-19141317</v>
      </c>
      <c r="H9" s="8"/>
      <c r="I9" s="8"/>
      <c r="J9" s="8"/>
      <c r="M9" s="1"/>
      <c r="N9" s="1"/>
      <c r="O9" s="1"/>
      <c r="Q9" s="6"/>
      <c r="U9" s="6"/>
    </row>
    <row r="10" spans="2:21" ht="15.75" thickBot="1">
      <c r="B10" t="s">
        <v>20</v>
      </c>
      <c r="D10" s="9">
        <f>SUM(D6:D9)</f>
        <v>157792072.66035825</v>
      </c>
      <c r="E10" s="9">
        <f t="shared" si="1" ref="E10:G10">SUM(E6:E9)</f>
        <v>-2469682</v>
      </c>
      <c r="F10" s="9">
        <f t="shared" si="1"/>
        <v>93602147</v>
      </c>
      <c r="G10" s="9">
        <f t="shared" si="1"/>
        <v>248924537.66035825</v>
      </c>
      <c r="H10" s="8"/>
      <c r="I10" s="8"/>
      <c r="J10" s="8"/>
      <c r="M10" s="1"/>
      <c r="N10" s="1"/>
      <c r="O10" s="1"/>
      <c r="Q10" s="6"/>
      <c r="U10" s="6"/>
    </row>
    <row r="11" spans="8:21" ht="15.75" thickTop="1">
      <c r="H11" s="8"/>
      <c r="I11" s="8"/>
      <c r="J11" s="8"/>
      <c r="M11" s="1"/>
      <c r="N11" s="1"/>
      <c r="O11" s="1"/>
      <c r="Q11" s="6"/>
      <c r="U11" s="6"/>
    </row>
    <row r="12" spans="8:21" ht="15">
      <c r="H12" s="8"/>
      <c r="I12" s="8"/>
      <c r="J12" s="8"/>
      <c r="Q12" s="6"/>
      <c r="U12" s="6"/>
    </row>
    <row r="13" spans="2:21" ht="15">
      <c r="B13" s="8" t="s">
        <v>21</v>
      </c>
      <c r="C13" s="10" t="s">
        <v>8</v>
      </c>
      <c r="D13" s="10" t="s">
        <v>10</v>
      </c>
      <c r="E13" s="10" t="s">
        <v>11</v>
      </c>
      <c r="F13" s="10" t="s">
        <v>12</v>
      </c>
      <c r="G13" s="10" t="s">
        <v>13</v>
      </c>
      <c r="H13" s="8"/>
      <c r="I13" s="8"/>
      <c r="O13" s="15"/>
      <c r="Q13" s="6"/>
      <c r="U13" s="6"/>
    </row>
    <row r="14" spans="2:21" ht="15">
      <c r="B14" s="16" t="s">
        <v>4</v>
      </c>
      <c r="C14" s="17">
        <f>+D22</f>
        <v>0.51270198315234539</v>
      </c>
      <c r="D14" s="18">
        <f>+$C$14*D10</f>
        <v>80900308.578684658</v>
      </c>
      <c r="E14" s="18">
        <f>+E10</f>
        <v>-2469682</v>
      </c>
      <c r="F14" s="18">
        <f>+$C$14*F10</f>
        <v>47990006.394217357</v>
      </c>
      <c r="G14" s="18">
        <f>+SUM(D14:F14)</f>
        <v>126420632.97290201</v>
      </c>
      <c r="H14" s="16"/>
      <c r="I14" s="12"/>
      <c r="J14" s="8"/>
      <c r="Q14" s="6"/>
      <c r="U14" s="6"/>
    </row>
    <row r="15" spans="2:21" ht="15">
      <c r="B15" s="16" t="s">
        <v>5</v>
      </c>
      <c r="C15" s="17">
        <f>+D23</f>
        <v>0.35984628006147934</v>
      </c>
      <c r="D15" s="18">
        <f>+$C$15*D10</f>
        <v>56780890.370020576</v>
      </c>
      <c r="E15" s="18"/>
      <c r="F15" s="18">
        <f>+$C$15*F10</f>
        <v>33682384.403717756</v>
      </c>
      <c r="G15" s="18">
        <f>+SUM(D15:F15)</f>
        <v>90463274.773738325</v>
      </c>
      <c r="H15" s="16"/>
      <c r="I15" s="12"/>
      <c r="J15" s="8"/>
      <c r="Q15" s="6"/>
      <c r="U15" s="6"/>
    </row>
    <row r="16" spans="2:21" ht="15">
      <c r="B16" s="16" t="s">
        <v>6</v>
      </c>
      <c r="C16" s="17">
        <f>+D24</f>
        <v>0.12745173678617525</v>
      </c>
      <c r="D16" s="18">
        <f>+$C$16*D10</f>
        <v>20110873.71165302</v>
      </c>
      <c r="E16" s="18"/>
      <c r="F16" s="18">
        <f>+$C$16*F10</f>
        <v>11929756.202064883</v>
      </c>
      <c r="G16" s="18">
        <f>+SUM(D16:F16)</f>
        <v>32040629.913717903</v>
      </c>
      <c r="H16" s="16"/>
      <c r="I16" s="12"/>
      <c r="J16" s="8"/>
      <c r="Q16" s="6"/>
      <c r="U16" s="6"/>
    </row>
    <row r="17" spans="4:21" ht="15.75" thickBot="1">
      <c r="D17" s="9">
        <f>SUM(D14:D16)</f>
        <v>157792072.66035825</v>
      </c>
      <c r="E17" s="9">
        <f>SUM(E14:E16)</f>
        <v>-2469682</v>
      </c>
      <c r="F17" s="9">
        <f>SUM(F14:F16)</f>
        <v>93602147</v>
      </c>
      <c r="G17" s="9">
        <f>+SUM(D17:F17)</f>
        <v>248924537.66035825</v>
      </c>
      <c r="H17" s="13"/>
      <c r="I17" s="12"/>
      <c r="J17" s="8"/>
      <c r="Q17" s="6"/>
      <c r="U17" s="6"/>
    </row>
    <row r="18" spans="8:21" ht="15.75" thickTop="1">
      <c r="H18" s="8"/>
      <c r="I18" s="8"/>
      <c r="J18" s="8"/>
      <c r="Q18" s="6"/>
      <c r="U18" s="6"/>
    </row>
    <row r="19" spans="8:21" ht="15">
      <c r="H19" s="8"/>
      <c r="I19" s="8"/>
      <c r="J19" s="8"/>
      <c r="Q19" s="6"/>
      <c r="U19" s="6"/>
    </row>
    <row r="20" spans="2:21" ht="15">
      <c r="B20" s="8" t="s">
        <v>7</v>
      </c>
      <c r="H20" s="8"/>
      <c r="I20" s="8"/>
      <c r="J20" s="8"/>
      <c r="Q20" s="6"/>
      <c r="U20" s="6"/>
    </row>
    <row r="21" spans="2:2" ht="15">
      <c r="B21" t="s">
        <v>3</v>
      </c>
    </row>
    <row r="22" spans="2:4" ht="15">
      <c r="B22" t="s">
        <v>16</v>
      </c>
      <c r="C22" s="2">
        <v>738921142.84615386</v>
      </c>
      <c r="D22" s="4">
        <f>C22/$C$25</f>
        <v>0.51270198315234539</v>
      </c>
    </row>
    <row r="23" spans="2:4" ht="15">
      <c r="B23" t="s">
        <v>17</v>
      </c>
      <c r="C23" s="2">
        <v>518621018.15384614</v>
      </c>
      <c r="D23" s="4">
        <f>C23/$C$25</f>
        <v>0.35984628006147934</v>
      </c>
    </row>
    <row r="24" spans="2:4" ht="15">
      <c r="B24" t="s">
        <v>18</v>
      </c>
      <c r="C24" s="2">
        <v>183687183</v>
      </c>
      <c r="D24" s="4">
        <f>C24/$C$25</f>
        <v>0.12745173678617525</v>
      </c>
    </row>
    <row r="25" spans="3:4" ht="15">
      <c r="C25" s="14">
        <f>SUM(C22:C24)</f>
        <v>1441229344</v>
      </c>
      <c r="D25" s="5">
        <f>SUM(D22:D24)</f>
        <v>1</v>
      </c>
    </row>
    <row r="29" spans="2:4" ht="15">
      <c r="B29" s="8" t="str">
        <f>B3</f>
        <v>FPUC</v>
      </c>
      <c r="C29" s="8" t="s">
        <v>22</v>
      </c>
      <c r="D29" s="8"/>
    </row>
    <row r="31" spans="4:7" ht="15">
      <c r="D31" s="10" t="s">
        <v>23</v>
      </c>
      <c r="E31" s="10" t="s">
        <v>24</v>
      </c>
      <c r="F31" s="10" t="s">
        <v>25</v>
      </c>
      <c r="G31" s="10" t="s">
        <v>9</v>
      </c>
    </row>
    <row r="32" spans="2:7" ht="15">
      <c r="B32" s="8" t="s">
        <v>0</v>
      </c>
      <c r="D32" s="2">
        <v>229983898</v>
      </c>
      <c r="E32" s="2">
        <v>-2469682</v>
      </c>
      <c r="F32" s="2">
        <v>104375104</v>
      </c>
      <c r="G32" s="2">
        <f>SUM(D32:F32)</f>
        <v>331889320</v>
      </c>
    </row>
    <row r="33" spans="2:7" ht="15">
      <c r="B33" t="s">
        <v>1</v>
      </c>
      <c r="D33" s="2">
        <v>-9101152</v>
      </c>
      <c r="E33" s="2"/>
      <c r="F33" s="2"/>
      <c r="G33" s="2">
        <f>D33</f>
        <v>-9101152</v>
      </c>
    </row>
    <row r="34" spans="2:7" ht="15">
      <c r="B34" s="11" t="s">
        <v>2</v>
      </c>
      <c r="D34" s="2">
        <f>-28049327-442</f>
        <v>-28049769</v>
      </c>
      <c r="E34" s="2"/>
      <c r="F34" s="2"/>
      <c r="G34" s="2">
        <f t="shared" si="2" ref="G34:G35">D34</f>
        <v>-28049769</v>
      </c>
    </row>
    <row r="35" spans="2:7" ht="15">
      <c r="B35" s="19" t="s">
        <v>30</v>
      </c>
      <c r="D35" s="2">
        <f>-19105795-4890</f>
        <v>-19110685</v>
      </c>
      <c r="E35" s="2"/>
      <c r="F35" s="2"/>
      <c r="G35" s="2">
        <f t="shared" si="2"/>
        <v>-19110685</v>
      </c>
    </row>
    <row r="36" spans="2:7" ht="15.75" thickBot="1">
      <c r="B36" t="s">
        <v>20</v>
      </c>
      <c r="D36" s="9">
        <f>SUM(D32:D35)</f>
        <v>173722292</v>
      </c>
      <c r="E36" s="9">
        <f t="shared" si="3" ref="E36">SUM(E32:E35)</f>
        <v>-2469682</v>
      </c>
      <c r="F36" s="9">
        <f t="shared" si="4" ref="F36">SUM(F32:F35)</f>
        <v>104375104</v>
      </c>
      <c r="G36" s="9">
        <f t="shared" si="5" ref="G36">SUM(G32:G35)</f>
        <v>275627714</v>
      </c>
    </row>
    <row r="37" spans="3:6" ht="15.75" thickTop="1">
      <c r="C37" s="1"/>
      <c r="D37" s="1"/>
      <c r="E37" s="1"/>
      <c r="F37" s="1"/>
    </row>
    <row r="38" spans="8:11" ht="15">
      <c r="H38" s="1"/>
      <c r="I38" s="1"/>
      <c r="J38" s="1"/>
      <c r="K38" s="1"/>
    </row>
    <row r="39" spans="2:11" ht="15">
      <c r="B39" s="8" t="s">
        <v>21</v>
      </c>
      <c r="C39" t="s">
        <v>8</v>
      </c>
      <c r="D39" t="s">
        <v>10</v>
      </c>
      <c r="E39" t="s">
        <v>11</v>
      </c>
      <c r="F39" t="s">
        <v>12</v>
      </c>
      <c r="G39" t="s">
        <v>13</v>
      </c>
      <c r="H39" s="1"/>
      <c r="I39" s="1"/>
      <c r="J39" s="1"/>
      <c r="K39" s="1"/>
    </row>
    <row r="40" spans="2:11" ht="15">
      <c r="B40" s="16" t="s">
        <v>4</v>
      </c>
      <c r="C40" s="4">
        <f>+D48</f>
        <v>0.52063518919648366</v>
      </c>
      <c r="D40" s="2">
        <f>+$C$40*D36</f>
        <v>90445938.363066778</v>
      </c>
      <c r="E40" s="2">
        <v>-2469682</v>
      </c>
      <c r="F40" s="2">
        <f>+$C$40*F36</f>
        <v>54341352.018442661</v>
      </c>
      <c r="G40" s="2">
        <f>+SUM(D40:F40)</f>
        <v>142317608.38150942</v>
      </c>
      <c r="H40" s="2"/>
      <c r="I40" s="2"/>
      <c r="J40" s="1"/>
      <c r="K40" s="1"/>
    </row>
    <row r="41" spans="2:11" ht="15">
      <c r="B41" s="16" t="s">
        <v>5</v>
      </c>
      <c r="C41" s="4">
        <f>+D49</f>
        <v>0.37496374229711582</v>
      </c>
      <c r="D41" s="2">
        <f>+$C$41*D36</f>
        <v>65139560.728752308</v>
      </c>
      <c r="E41" s="2"/>
      <c r="F41" s="2">
        <f>+$C$41*F36</f>
        <v>39136879.598490663</v>
      </c>
      <c r="G41" s="2">
        <f>+SUM(D41:F41)</f>
        <v>104276440.32724297</v>
      </c>
      <c r="H41" s="2"/>
      <c r="I41" s="2"/>
      <c r="J41" s="1"/>
      <c r="K41" s="1"/>
    </row>
    <row r="42" spans="2:9" ht="15">
      <c r="B42" s="16" t="s">
        <v>6</v>
      </c>
      <c r="C42" s="4">
        <f>+D50</f>
        <v>0.10440106850640049</v>
      </c>
      <c r="D42" s="2">
        <f>+$C$42*D36</f>
        <v>18136792.908180911</v>
      </c>
      <c r="E42" s="2"/>
      <c r="F42" s="2">
        <f>+$C$42*F36</f>
        <v>10896872.383066677</v>
      </c>
      <c r="G42" s="2">
        <f t="shared" si="6" ref="G42">+SUM(D42:F42)</f>
        <v>29033665.291247588</v>
      </c>
      <c r="H42" s="3"/>
      <c r="I42" s="3"/>
    </row>
    <row r="43" spans="4:9" ht="15.75" thickBot="1">
      <c r="D43" s="9">
        <f>SUM(D40:D42)</f>
        <v>173722292</v>
      </c>
      <c r="E43" s="9">
        <f>SUM(E40:E42)</f>
        <v>-2469682</v>
      </c>
      <c r="F43" s="9">
        <f>SUM(F40:F42)</f>
        <v>104375104</v>
      </c>
      <c r="G43" s="9">
        <f>+SUM(D43:F43)</f>
        <v>275627714</v>
      </c>
      <c r="H43" s="2"/>
      <c r="I43" s="2"/>
    </row>
    <row r="44" ht="15.75" thickTop="1"/>
    <row r="46" spans="2:2" ht="15">
      <c r="B46" s="8" t="s">
        <v>7</v>
      </c>
    </row>
    <row r="47" spans="2:2" ht="15">
      <c r="B47" t="s">
        <v>3</v>
      </c>
    </row>
    <row r="48" spans="2:4" ht="15">
      <c r="B48" t="s">
        <v>16</v>
      </c>
      <c r="C48" s="2">
        <v>825587884</v>
      </c>
      <c r="D48" s="4">
        <f>C48/$C$51</f>
        <v>0.52063518919648366</v>
      </c>
    </row>
    <row r="49" spans="2:4" ht="15">
      <c r="B49" t="s">
        <v>17</v>
      </c>
      <c r="C49" s="2">
        <v>594592008</v>
      </c>
      <c r="D49" s="4">
        <f>C49/$C$51</f>
        <v>0.37496374229711582</v>
      </c>
    </row>
    <row r="50" spans="2:4" ht="15">
      <c r="B50" t="s">
        <v>18</v>
      </c>
      <c r="C50" s="2">
        <v>165552116</v>
      </c>
      <c r="D50" s="4">
        <f>C50/$C$51</f>
        <v>0.10440106850640049</v>
      </c>
    </row>
    <row r="51" spans="3:4" ht="15">
      <c r="C51" s="14">
        <f>SUM(C48:C50)</f>
        <v>1585732008</v>
      </c>
      <c r="D51" s="5">
        <f>SUM(D48:D50)</f>
        <v>1</v>
      </c>
    </row>
    <row r="53" spans="2:5" ht="15">
      <c r="B53" s="8"/>
      <c r="C53" s="8"/>
      <c r="E53" s="8"/>
    </row>
    <row r="54" spans="2:4" ht="15">
      <c r="B54" s="8" t="str">
        <f>B29</f>
        <v>FPUC</v>
      </c>
      <c r="C54" s="8" t="s">
        <v>19</v>
      </c>
      <c r="D54" s="8"/>
    </row>
    <row r="56" spans="3:6" ht="15">
      <c r="C56" s="10"/>
      <c r="D56" s="10"/>
      <c r="E56" s="10"/>
      <c r="F56" s="10"/>
    </row>
    <row r="57" spans="2:12" ht="15">
      <c r="B57" s="8"/>
      <c r="D57" s="2" t="s">
        <v>23</v>
      </c>
      <c r="E57" s="2" t="s">
        <v>24</v>
      </c>
      <c r="F57" s="2" t="s">
        <v>25</v>
      </c>
      <c r="G57" s="2" t="s">
        <v>9</v>
      </c>
      <c r="L57" s="3"/>
    </row>
    <row r="58" spans="2:7" ht="15">
      <c r="B58" s="8" t="s">
        <v>0</v>
      </c>
      <c r="D58" s="2">
        <v>241974567</v>
      </c>
      <c r="E58" s="2">
        <v>-2469682</v>
      </c>
      <c r="F58" s="2">
        <v>99589594.212303326</v>
      </c>
      <c r="G58" s="2">
        <f>SUM(D58:F58)</f>
        <v>339094479.21230334</v>
      </c>
    </row>
    <row r="59" spans="2:7" ht="15">
      <c r="B59" t="s">
        <v>1</v>
      </c>
      <c r="D59" s="2">
        <v>-9293107</v>
      </c>
      <c r="E59" s="2"/>
      <c r="F59" s="2"/>
      <c r="G59" s="2">
        <f>D59</f>
        <v>-9293107</v>
      </c>
    </row>
    <row r="60" spans="2:7" ht="15">
      <c r="B60" s="11" t="s">
        <v>2</v>
      </c>
      <c r="D60" s="2">
        <f>-29508686-53723</f>
        <v>-29562409</v>
      </c>
      <c r="E60" s="2"/>
      <c r="F60" s="2"/>
      <c r="G60" s="2">
        <f t="shared" si="7" ref="G60:G61">D60</f>
        <v>-29562409</v>
      </c>
    </row>
    <row r="61" spans="2:7" ht="15">
      <c r="B61" s="19" t="s">
        <v>30</v>
      </c>
      <c r="D61" s="2">
        <f>-19104276-17323</f>
        <v>-19121599</v>
      </c>
      <c r="E61" s="2"/>
      <c r="F61" s="2"/>
      <c r="G61" s="2">
        <f t="shared" si="7"/>
        <v>-19121599</v>
      </c>
    </row>
    <row r="62" spans="2:7" ht="15.75" thickBot="1">
      <c r="B62" t="s">
        <v>20</v>
      </c>
      <c r="D62" s="9">
        <f>SUM(D58:D61)</f>
        <v>183997452</v>
      </c>
      <c r="E62" s="9">
        <f t="shared" si="8" ref="E62">SUM(E58:E61)</f>
        <v>-2469682</v>
      </c>
      <c r="F62" s="9">
        <f t="shared" si="9" ref="F62">SUM(F58:F61)</f>
        <v>99589594.212303326</v>
      </c>
      <c r="G62" s="9">
        <f t="shared" si="10" ref="G62">SUM(G58:G61)</f>
        <v>281117364.21230334</v>
      </c>
    </row>
    <row r="63" ht="15.75" thickTop="1"/>
    <row r="64" spans="2:7" ht="15">
      <c r="B64" s="8"/>
      <c r="C64" s="10"/>
      <c r="D64" s="10"/>
      <c r="E64" s="10"/>
      <c r="F64" s="10"/>
      <c r="G64" s="10"/>
    </row>
    <row r="65" spans="2:7" ht="15">
      <c r="B65" s="8" t="s">
        <v>21</v>
      </c>
      <c r="C65" s="10" t="s">
        <v>8</v>
      </c>
      <c r="D65" s="2" t="s">
        <v>23</v>
      </c>
      <c r="E65" s="2" t="s">
        <v>24</v>
      </c>
      <c r="F65" s="2" t="s">
        <v>25</v>
      </c>
      <c r="G65" s="2" t="s">
        <v>9</v>
      </c>
    </row>
    <row r="66" spans="2:7" ht="15">
      <c r="B66" s="11" t="s">
        <v>4</v>
      </c>
      <c r="C66" s="4">
        <f>+D74</f>
        <v>0.55101805872641563</v>
      </c>
      <c r="D66" s="7">
        <f>+$C$66*D62</f>
        <v>101385918.81164683</v>
      </c>
      <c r="E66" s="2">
        <v>-2469682</v>
      </c>
      <c r="F66" s="7">
        <f>+$C$66*F62</f>
        <v>54875664.872214854</v>
      </c>
      <c r="G66" s="2">
        <f>+SUM(D66:F66)</f>
        <v>153791901.68386167</v>
      </c>
    </row>
    <row r="67" spans="2:7" ht="15">
      <c r="B67" s="11" t="s">
        <v>5</v>
      </c>
      <c r="C67" s="4">
        <f>+D75</f>
        <v>0.39385899622187581</v>
      </c>
      <c r="D67" s="2">
        <f>+$C$67*D62</f>
        <v>72469051.752102777</v>
      </c>
      <c r="E67" s="2"/>
      <c r="F67" s="2">
        <f>+$C$67*F62</f>
        <v>39224257.610601723</v>
      </c>
      <c r="G67" s="2">
        <f>+SUM(D67:F67)</f>
        <v>111693309.3627045</v>
      </c>
    </row>
    <row r="68" spans="2:7" ht="15">
      <c r="B68" s="11" t="s">
        <v>6</v>
      </c>
      <c r="C68" s="4">
        <f>+D76</f>
        <v>0.055122945051708526</v>
      </c>
      <c r="D68" s="2">
        <f>+$C$68*D62</f>
        <v>10142481.436250377</v>
      </c>
      <c r="E68" s="2"/>
      <c r="F68" s="2">
        <f>+$C$68*F62</f>
        <v>5489671.7294867458</v>
      </c>
      <c r="G68" s="2">
        <f t="shared" si="11" ref="G68">+SUM(D68:F68)</f>
        <v>15632153.165737122</v>
      </c>
    </row>
    <row r="69" spans="4:9" ht="15.75" thickBot="1">
      <c r="D69" s="9">
        <f>SUM(D66:D68)</f>
        <v>183997452</v>
      </c>
      <c r="E69" s="9">
        <f>SUM(E66:E68)</f>
        <v>-2469682</v>
      </c>
      <c r="F69" s="9">
        <f>SUM(F66:F68)</f>
        <v>99589594.212303326</v>
      </c>
      <c r="G69" s="9">
        <f>+SUM(D69:F69)</f>
        <v>281117364.21230334</v>
      </c>
      <c r="H69" s="2"/>
      <c r="I69" s="2"/>
    </row>
    <row r="70" ht="15.75" thickTop="1"/>
    <row r="71" spans="2:2" ht="15">
      <c r="B71" s="8"/>
    </row>
    <row r="72" spans="2:2" ht="15">
      <c r="B72" t="s">
        <v>7</v>
      </c>
    </row>
    <row r="73" spans="2:4" ht="15">
      <c r="B73" s="11" t="s">
        <v>3</v>
      </c>
      <c r="C73" s="2"/>
      <c r="D73" s="4"/>
    </row>
    <row r="74" spans="2:4" ht="15">
      <c r="B74" s="11" t="s">
        <v>16</v>
      </c>
      <c r="C74" s="2">
        <v>923457676</v>
      </c>
      <c r="D74" s="4">
        <f>C74/$C$77</f>
        <v>0.55101805872641563</v>
      </c>
    </row>
    <row r="75" spans="2:4" ht="15">
      <c r="B75" s="11" t="s">
        <v>17</v>
      </c>
      <c r="C75" s="2">
        <v>660072946</v>
      </c>
      <c r="D75" s="4">
        <f>C75/$C$77</f>
        <v>0.39385899622187581</v>
      </c>
    </row>
    <row r="76" spans="2:4" ht="15">
      <c r="B76" s="11" t="s">
        <v>18</v>
      </c>
      <c r="C76" s="2">
        <v>92381195</v>
      </c>
      <c r="D76" s="4">
        <f>C76/$C$77</f>
        <v>0.055122945051708526</v>
      </c>
    </row>
    <row r="77" spans="3:4" ht="15">
      <c r="C77" s="14">
        <f>SUM(C74:C76)</f>
        <v>1675911817</v>
      </c>
      <c r="D77" s="5">
        <f>SUM(D74:D76)</f>
        <v>1</v>
      </c>
    </row>
    <row r="81" spans="12:12" ht="15">
      <c r="L81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81"/>
  <sheetViews>
    <sheetView zoomScale="85" zoomScaleNormal="85" workbookViewId="0" topLeftCell="A55">
      <selection pane="topLeft" activeCell="J59" sqref="J59"/>
    </sheetView>
  </sheetViews>
  <sheetFormatPr defaultRowHeight="15"/>
  <cols>
    <col min="2" max="2" width="30.4285714285714" bestFit="1" customWidth="1"/>
    <col min="3" max="3" width="19.2857142857143" customWidth="1"/>
    <col min="4" max="4" width="18.2857142857143" bestFit="1" customWidth="1"/>
    <col min="5" max="6" width="15.4285714285714" bestFit="1" customWidth="1"/>
    <col min="7" max="7" width="15.2857142857143" bestFit="1" customWidth="1"/>
    <col min="8" max="8" width="15.4285714285714" bestFit="1" customWidth="1"/>
    <col min="9" max="9" width="6.71428571428571" bestFit="1" customWidth="1"/>
    <col min="10" max="10" width="16.8571428571429" bestFit="1" customWidth="1"/>
    <col min="11" max="11" width="23.4285714285714" bestFit="1" customWidth="1"/>
    <col min="12" max="12" width="15.2857142857143" bestFit="1" customWidth="1"/>
    <col min="17" max="17" width="10.7142857142857" bestFit="1" customWidth="1"/>
    <col min="21" max="21" width="10.7142857142857" bestFit="1" customWidth="1"/>
  </cols>
  <sheetData>
    <row r="1" spans="2:2" ht="15">
      <c r="B1" s="8" t="s">
        <v>26</v>
      </c>
    </row>
    <row r="3" spans="2:21" ht="15">
      <c r="B3" s="8" t="s">
        <v>27</v>
      </c>
      <c r="C3" s="8" t="s">
        <v>15</v>
      </c>
      <c r="D3" s="8"/>
      <c r="Q3" s="6"/>
      <c r="U3" s="6">
        <v>45291</v>
      </c>
    </row>
    <row r="4" spans="8:21" ht="15">
      <c r="H4" s="8"/>
      <c r="I4" s="8"/>
      <c r="J4" s="8"/>
      <c r="Q4" s="6"/>
      <c r="U4" s="6"/>
    </row>
    <row r="5" spans="4:21" ht="15">
      <c r="D5" s="10" t="s">
        <v>23</v>
      </c>
      <c r="E5" s="10" t="s">
        <v>24</v>
      </c>
      <c r="F5" s="10" t="s">
        <v>25</v>
      </c>
      <c r="G5" s="10" t="s">
        <v>9</v>
      </c>
      <c r="H5" s="8"/>
      <c r="I5" s="8"/>
      <c r="J5" s="8"/>
      <c r="Q5" s="6"/>
      <c r="U5" s="6"/>
    </row>
    <row r="6" spans="2:21" ht="15">
      <c r="B6" s="8" t="s">
        <v>0</v>
      </c>
      <c r="D6" s="2">
        <v>81369984</v>
      </c>
      <c r="E6" s="2">
        <v>0</v>
      </c>
      <c r="F6" s="2">
        <v>32972367</v>
      </c>
      <c r="G6" s="2">
        <f>SUM(D6:F6)</f>
        <v>114342351</v>
      </c>
      <c r="H6" s="8"/>
      <c r="I6" s="8"/>
      <c r="J6" s="8"/>
      <c r="Q6" s="6"/>
      <c r="U6" s="6"/>
    </row>
    <row r="7" spans="2:21" ht="15">
      <c r="B7" t="s">
        <v>1</v>
      </c>
      <c r="D7" s="2">
        <v>-1510544</v>
      </c>
      <c r="E7" s="2"/>
      <c r="F7" s="2"/>
      <c r="G7" s="2">
        <f>D7</f>
        <v>-1510544</v>
      </c>
      <c r="H7" s="8"/>
      <c r="I7" s="8"/>
      <c r="J7" s="8"/>
      <c r="Q7" s="6"/>
      <c r="U7" s="6"/>
    </row>
    <row r="8" spans="2:21" ht="15">
      <c r="B8" s="11" t="s">
        <v>2</v>
      </c>
      <c r="D8" s="2">
        <f>-19239644+8108263-3540</f>
        <v>-11134921</v>
      </c>
      <c r="E8" s="2"/>
      <c r="F8" s="2"/>
      <c r="G8" s="2">
        <f t="shared" si="0" ref="G8:G9">D8</f>
        <v>-11134921</v>
      </c>
      <c r="H8" s="8"/>
      <c r="I8" s="8"/>
      <c r="J8" s="8"/>
      <c r="Q8" s="6"/>
      <c r="U8" s="6"/>
    </row>
    <row r="9" spans="2:21" ht="15">
      <c r="B9" s="19" t="s">
        <v>30</v>
      </c>
      <c r="D9" s="2">
        <f>-8108263+3540</f>
        <v>-8104723</v>
      </c>
      <c r="E9" s="2"/>
      <c r="F9" s="2"/>
      <c r="G9" s="2">
        <f t="shared" si="0"/>
        <v>-8104723</v>
      </c>
      <c r="H9" s="8"/>
      <c r="I9" s="8"/>
      <c r="J9" s="8"/>
      <c r="Q9" s="6"/>
      <c r="U9" s="6"/>
    </row>
    <row r="10" spans="2:21" ht="15.75" thickBot="1">
      <c r="B10" t="s">
        <v>20</v>
      </c>
      <c r="D10" s="9">
        <f>SUM(D6:D9)</f>
        <v>60619796</v>
      </c>
      <c r="E10" s="9">
        <f t="shared" si="1" ref="E10">SUM(E6:E9)</f>
        <v>0</v>
      </c>
      <c r="F10" s="9">
        <f t="shared" si="2" ref="F10">SUM(F6:F9)</f>
        <v>32972367</v>
      </c>
      <c r="G10" s="9">
        <f t="shared" si="3" ref="G10">SUM(G6:G9)</f>
        <v>93592163</v>
      </c>
      <c r="H10" s="8"/>
      <c r="I10" s="8"/>
      <c r="J10" s="8"/>
      <c r="Q10" s="6"/>
      <c r="U10" s="6"/>
    </row>
    <row r="11" spans="8:21" ht="15.75" thickTop="1">
      <c r="H11" s="8"/>
      <c r="I11" s="8"/>
      <c r="J11" s="8"/>
      <c r="Q11" s="6"/>
      <c r="U11" s="6"/>
    </row>
    <row r="12" spans="8:21" ht="15">
      <c r="H12" s="8"/>
      <c r="I12" s="8"/>
      <c r="J12" s="8"/>
      <c r="Q12" s="6"/>
      <c r="U12" s="6"/>
    </row>
    <row r="13" spans="2:21" ht="15">
      <c r="B13" s="16" t="s">
        <v>21</v>
      </c>
      <c r="C13" s="10" t="s">
        <v>8</v>
      </c>
      <c r="D13" s="10" t="s">
        <v>10</v>
      </c>
      <c r="E13" s="10" t="s">
        <v>11</v>
      </c>
      <c r="F13" s="10" t="s">
        <v>12</v>
      </c>
      <c r="G13" s="10" t="s">
        <v>13</v>
      </c>
      <c r="H13" s="8"/>
      <c r="I13" s="8"/>
      <c r="J13" s="8"/>
      <c r="Q13" s="6"/>
      <c r="U13" s="6"/>
    </row>
    <row r="14" spans="2:21" ht="15">
      <c r="B14" s="16" t="s">
        <v>4</v>
      </c>
      <c r="C14" s="17">
        <f>+D22</f>
        <v>0.51270198315234539</v>
      </c>
      <c r="D14" s="18">
        <f>+$C$14*D10</f>
        <v>31079889.627490614</v>
      </c>
      <c r="E14" s="18">
        <v>0</v>
      </c>
      <c r="F14" s="18">
        <f>+$C$14*F10</f>
        <v>16904997.95012695</v>
      </c>
      <c r="G14" s="18">
        <f>+SUM(D14:F14)</f>
        <v>47984887.577617563</v>
      </c>
      <c r="H14" s="16"/>
      <c r="I14" s="12"/>
      <c r="J14" s="8"/>
      <c r="Q14" s="6"/>
      <c r="U14" s="6"/>
    </row>
    <row r="15" spans="2:21" ht="15">
      <c r="B15" s="16" t="s">
        <v>5</v>
      </c>
      <c r="C15" s="17">
        <f>+D23</f>
        <v>0.35984628006147934</v>
      </c>
      <c r="D15" s="18">
        <f>+$C$15*D10</f>
        <v>21813808.088685744</v>
      </c>
      <c r="E15" s="18"/>
      <c r="F15" s="18">
        <f>+$C$15*F10</f>
        <v>11864983.609771879</v>
      </c>
      <c r="G15" s="18">
        <f>+SUM(D15:F15)</f>
        <v>33678791.698457621</v>
      </c>
      <c r="H15" s="16"/>
      <c r="I15" s="12"/>
      <c r="J15" s="8"/>
      <c r="Q15" s="6"/>
      <c r="U15" s="6"/>
    </row>
    <row r="16" spans="2:21" ht="15">
      <c r="B16" s="16" t="s">
        <v>6</v>
      </c>
      <c r="C16" s="17">
        <f>+D24</f>
        <v>0.12745173678617525</v>
      </c>
      <c r="D16" s="18">
        <f>+$C$16*D10</f>
        <v>7726098.2838236392</v>
      </c>
      <c r="E16" s="18"/>
      <c r="F16" s="18">
        <f>+$C$16*F10</f>
        <v>4202385.4401011709</v>
      </c>
      <c r="G16" s="18">
        <f>+SUM(D16:F16)</f>
        <v>11928483.72392481</v>
      </c>
      <c r="H16" s="16"/>
      <c r="I16" s="12"/>
      <c r="J16" s="8"/>
      <c r="Q16" s="6"/>
      <c r="U16" s="6"/>
    </row>
    <row r="17" spans="4:21" ht="15.75" thickBot="1">
      <c r="D17" s="9">
        <f>SUM(D14:D16)</f>
        <v>60619796</v>
      </c>
      <c r="E17" s="9">
        <f>SUM(E14:E16)</f>
        <v>0</v>
      </c>
      <c r="F17" s="9">
        <f>SUM(F14:F16)</f>
        <v>32972367</v>
      </c>
      <c r="G17" s="9">
        <f>+SUM(D17:F17)</f>
        <v>93592163</v>
      </c>
      <c r="H17" s="13"/>
      <c r="I17" s="12"/>
      <c r="J17" s="8"/>
      <c r="Q17" s="6"/>
      <c r="U17" s="6"/>
    </row>
    <row r="18" spans="8:21" ht="15.75" thickTop="1">
      <c r="H18" s="8"/>
      <c r="I18" s="8"/>
      <c r="J18" s="8"/>
      <c r="Q18" s="6"/>
      <c r="U18" s="6"/>
    </row>
    <row r="19" spans="8:21" ht="15">
      <c r="H19" s="8"/>
      <c r="I19" s="8"/>
      <c r="J19" s="8"/>
      <c r="Q19" s="6"/>
      <c r="U19" s="6"/>
    </row>
    <row r="20" spans="2:21" ht="15">
      <c r="B20" s="8" t="s">
        <v>7</v>
      </c>
      <c r="H20" s="8"/>
      <c r="I20" s="8"/>
      <c r="J20" s="8"/>
      <c r="Q20" s="6"/>
      <c r="U20" s="6"/>
    </row>
    <row r="21" spans="2:2" ht="15">
      <c r="B21" t="s">
        <v>3</v>
      </c>
    </row>
    <row r="22" spans="2:4" ht="15">
      <c r="B22" t="s">
        <v>16</v>
      </c>
      <c r="C22" s="2">
        <v>738921142.84615386</v>
      </c>
      <c r="D22" s="4">
        <f>C22/$C$25</f>
        <v>0.51270198315234539</v>
      </c>
    </row>
    <row r="23" spans="2:4" ht="15">
      <c r="B23" t="s">
        <v>17</v>
      </c>
      <c r="C23" s="2">
        <v>518621018.15384614</v>
      </c>
      <c r="D23" s="4">
        <f>C23/$C$25</f>
        <v>0.35984628006147934</v>
      </c>
    </row>
    <row r="24" spans="2:4" ht="15">
      <c r="B24" t="s">
        <v>18</v>
      </c>
      <c r="C24" s="2">
        <v>183687183</v>
      </c>
      <c r="D24" s="4">
        <f>C24/$C$25</f>
        <v>0.12745173678617525</v>
      </c>
    </row>
    <row r="25" spans="3:4" ht="15">
      <c r="C25" s="14">
        <f>SUM(C22:C24)</f>
        <v>1441229344</v>
      </c>
      <c r="D25" s="5">
        <f>SUM(D22:D24)</f>
        <v>1</v>
      </c>
    </row>
    <row r="29" spans="2:4" ht="15">
      <c r="B29" s="8" t="str">
        <f>+B3</f>
        <v>CFG</v>
      </c>
      <c r="C29" s="8" t="s">
        <v>22</v>
      </c>
      <c r="D29" s="8"/>
    </row>
    <row r="31" spans="4:7" ht="15">
      <c r="D31" s="10" t="s">
        <v>23</v>
      </c>
      <c r="E31" s="10" t="s">
        <v>24</v>
      </c>
      <c r="F31" s="10" t="s">
        <v>25</v>
      </c>
      <c r="G31" s="10" t="s">
        <v>9</v>
      </c>
    </row>
    <row r="32" spans="2:7" ht="15">
      <c r="B32" s="8" t="s">
        <v>0</v>
      </c>
      <c r="D32" s="2">
        <v>86265032</v>
      </c>
      <c r="E32" s="2">
        <v>0</v>
      </c>
      <c r="F32" s="2">
        <v>30955208</v>
      </c>
      <c r="G32" s="2">
        <f>SUM(D32:F32)</f>
        <v>117220240</v>
      </c>
    </row>
    <row r="33" spans="2:7" ht="15">
      <c r="B33" t="s">
        <v>1</v>
      </c>
      <c r="D33" s="2">
        <v>-1517255</v>
      </c>
      <c r="E33" s="2"/>
      <c r="F33" s="2"/>
      <c r="G33" s="2">
        <f>D33</f>
        <v>-1517255</v>
      </c>
    </row>
    <row r="34" spans="2:7" ht="15">
      <c r="B34" s="11" t="s">
        <v>2</v>
      </c>
      <c r="D34" s="2">
        <f>-11880171-207</f>
        <v>-11880378</v>
      </c>
      <c r="E34" s="2"/>
      <c r="F34" s="2"/>
      <c r="G34" s="2">
        <f t="shared" si="4" ref="G34:G35">D34</f>
        <v>-11880378</v>
      </c>
    </row>
    <row r="35" spans="2:7" ht="15">
      <c r="B35" s="19" t="s">
        <v>30</v>
      </c>
      <c r="D35" s="2">
        <f>-7953479-2296</f>
        <v>-7955775</v>
      </c>
      <c r="E35" s="2"/>
      <c r="F35" s="2"/>
      <c r="G35" s="2">
        <f t="shared" si="4"/>
        <v>-7955775</v>
      </c>
    </row>
    <row r="36" spans="2:7" ht="15.75" thickBot="1">
      <c r="B36" t="s">
        <v>20</v>
      </c>
      <c r="D36" s="9">
        <f>SUM(D32:D35)</f>
        <v>64911624</v>
      </c>
      <c r="E36" s="9">
        <f t="shared" si="5" ref="E36">SUM(E32:E35)</f>
        <v>0</v>
      </c>
      <c r="F36" s="9">
        <f t="shared" si="6" ref="F36">SUM(F32:F35)</f>
        <v>30955208</v>
      </c>
      <c r="G36" s="9">
        <f t="shared" si="7" ref="G36">SUM(G32:G35)</f>
        <v>95866832</v>
      </c>
    </row>
    <row r="37" spans="3:6" ht="15.75" thickTop="1">
      <c r="C37" s="1"/>
      <c r="D37" s="1"/>
      <c r="E37" s="1"/>
      <c r="F37" s="1"/>
    </row>
    <row r="38" spans="8:11" ht="15">
      <c r="H38" s="1"/>
      <c r="I38" s="1"/>
      <c r="J38" s="1"/>
      <c r="K38" s="1"/>
    </row>
    <row r="39" spans="2:11" ht="15">
      <c r="B39" s="8" t="s">
        <v>21</v>
      </c>
      <c r="C39" t="s">
        <v>8</v>
      </c>
      <c r="D39" t="s">
        <v>10</v>
      </c>
      <c r="E39" t="s">
        <v>11</v>
      </c>
      <c r="F39" t="s">
        <v>12</v>
      </c>
      <c r="G39" t="s">
        <v>13</v>
      </c>
      <c r="H39" s="1"/>
      <c r="I39" s="1"/>
      <c r="J39" s="1"/>
      <c r="K39" s="1"/>
    </row>
    <row r="40" spans="2:11" ht="15">
      <c r="B40" t="s">
        <v>4</v>
      </c>
      <c r="C40" s="4">
        <f>+D48</f>
        <v>0.52063518919648366</v>
      </c>
      <c r="D40" s="2">
        <f>+$C$40*D36</f>
        <v>33795275.642291009</v>
      </c>
      <c r="E40" s="2">
        <v>0</v>
      </c>
      <c r="F40" s="2">
        <f>+$C$40*F36</f>
        <v>16116370.573696505</v>
      </c>
      <c r="G40" s="2">
        <f>+SUM(D40:F40)</f>
        <v>49911646.215987518</v>
      </c>
      <c r="H40" s="2"/>
      <c r="I40" s="2"/>
      <c r="J40" s="1"/>
      <c r="K40" s="1"/>
    </row>
    <row r="41" spans="2:11" ht="15">
      <c r="B41" t="s">
        <v>5</v>
      </c>
      <c r="C41" s="4">
        <f>+D49</f>
        <v>0.37496374229711582</v>
      </c>
      <c r="D41" s="2">
        <f>+$C$41*D36</f>
        <v>24339505.45362328</v>
      </c>
      <c r="E41" s="2"/>
      <c r="F41" s="2">
        <f>+$C$41*F36</f>
        <v>11607080.635265619</v>
      </c>
      <c r="G41" s="2">
        <f>+SUM(D41:F41)</f>
        <v>35946586.088888898</v>
      </c>
      <c r="H41" s="2"/>
      <c r="I41" s="2"/>
      <c r="J41" s="1"/>
      <c r="K41" s="1"/>
    </row>
    <row r="42" spans="2:9" ht="15">
      <c r="B42" t="s">
        <v>6</v>
      </c>
      <c r="C42" s="4">
        <f>+D50</f>
        <v>0.10440106850640049</v>
      </c>
      <c r="D42" s="2">
        <f>+$C$42*D36</f>
        <v>6776842.9040857106</v>
      </c>
      <c r="E42" s="2"/>
      <c r="F42" s="2">
        <f>+$C$42*F36</f>
        <v>3231756.7910378766</v>
      </c>
      <c r="G42" s="2">
        <f t="shared" si="8" ref="G42">+SUM(D42:F42)</f>
        <v>10008599.695123587</v>
      </c>
      <c r="H42" s="3"/>
      <c r="I42" s="3"/>
    </row>
    <row r="43" spans="4:9" ht="15.75" thickBot="1">
      <c r="D43" s="9">
        <f>SUM(D40:D42)</f>
        <v>64911624</v>
      </c>
      <c r="E43" s="9">
        <f>SUM(E40:E42)</f>
        <v>0</v>
      </c>
      <c r="F43" s="9">
        <f>SUM(F40:F42)</f>
        <v>30955208</v>
      </c>
      <c r="G43" s="9">
        <f>+SUM(D43:F43)</f>
        <v>95866832</v>
      </c>
      <c r="H43" s="2"/>
      <c r="I43" s="2"/>
    </row>
    <row r="44" ht="15.75" thickTop="1"/>
    <row r="46" spans="2:2" ht="15">
      <c r="B46" s="8" t="s">
        <v>7</v>
      </c>
    </row>
    <row r="47" spans="2:2" ht="15">
      <c r="B47" t="s">
        <v>3</v>
      </c>
    </row>
    <row r="48" spans="2:4" ht="15">
      <c r="B48" t="s">
        <v>16</v>
      </c>
      <c r="C48" s="2">
        <v>825587884</v>
      </c>
      <c r="D48" s="4">
        <f>C48/$C$51</f>
        <v>0.52063518919648366</v>
      </c>
    </row>
    <row r="49" spans="2:4" ht="15">
      <c r="B49" t="s">
        <v>17</v>
      </c>
      <c r="C49" s="2">
        <v>594592008</v>
      </c>
      <c r="D49" s="4">
        <f>C49/$C$51</f>
        <v>0.37496374229711582</v>
      </c>
    </row>
    <row r="50" spans="2:4" ht="15">
      <c r="B50" t="s">
        <v>18</v>
      </c>
      <c r="C50" s="2">
        <v>165552116</v>
      </c>
      <c r="D50" s="4">
        <f>C50/$C$51</f>
        <v>0.10440106850640049</v>
      </c>
    </row>
    <row r="51" spans="3:4" ht="15">
      <c r="C51" s="14">
        <f>SUM(C48:C50)</f>
        <v>1585732008</v>
      </c>
      <c r="D51" s="5">
        <f>SUM(D48:D50)</f>
        <v>1</v>
      </c>
    </row>
    <row r="53" spans="2:5" ht="15">
      <c r="B53" s="8" t="str">
        <f>+B29</f>
        <v>CFG</v>
      </c>
      <c r="C53" s="8"/>
      <c r="D53" t="s">
        <v>19</v>
      </c>
      <c r="E53" s="8"/>
    </row>
    <row r="56" spans="4:7" ht="15">
      <c r="D56" s="10" t="s">
        <v>23</v>
      </c>
      <c r="E56" s="10" t="s">
        <v>24</v>
      </c>
      <c r="F56" s="10" t="s">
        <v>25</v>
      </c>
      <c r="G56" s="10" t="s">
        <v>9</v>
      </c>
    </row>
    <row r="57" spans="2:12" ht="15">
      <c r="B57" s="8" t="s">
        <v>0</v>
      </c>
      <c r="D57" s="2">
        <v>89144787</v>
      </c>
      <c r="E57" s="2">
        <v>0</v>
      </c>
      <c r="F57" s="2">
        <v>23382652</v>
      </c>
      <c r="G57" s="2">
        <f>SUM(D57:F57)</f>
        <v>112527439</v>
      </c>
      <c r="L57" s="3"/>
    </row>
    <row r="58" spans="2:7" ht="15">
      <c r="B58" t="s">
        <v>1</v>
      </c>
      <c r="D58" s="2">
        <v>-1453706</v>
      </c>
      <c r="E58" s="2"/>
      <c r="F58" s="2"/>
      <c r="G58" s="2">
        <f>D58</f>
        <v>-1453706</v>
      </c>
    </row>
    <row r="59" spans="2:7" ht="15">
      <c r="B59" s="11" t="s">
        <v>2</v>
      </c>
      <c r="D59" s="2">
        <f>-12120582-25223</f>
        <v>-12145805</v>
      </c>
      <c r="E59" s="2"/>
      <c r="F59" s="2"/>
      <c r="G59" s="2">
        <f t="shared" si="9" ref="G59:G60">D59</f>
        <v>-12145805</v>
      </c>
    </row>
    <row r="60" spans="2:7" ht="15">
      <c r="B60" s="19" t="s">
        <v>30</v>
      </c>
      <c r="D60" s="2">
        <f>-7801118-8133</f>
        <v>-7809251</v>
      </c>
      <c r="E60" s="2"/>
      <c r="F60" s="2"/>
      <c r="G60" s="2">
        <f t="shared" si="9"/>
        <v>-7809251</v>
      </c>
    </row>
    <row r="61" spans="2:7" ht="15.75" thickBot="1">
      <c r="B61" t="s">
        <v>20</v>
      </c>
      <c r="D61" s="9">
        <f>SUM(D57:D60)</f>
        <v>67736025</v>
      </c>
      <c r="E61" s="9">
        <f t="shared" si="10" ref="E61:G61">SUM(E57:E60)</f>
        <v>0</v>
      </c>
      <c r="F61" s="9">
        <f t="shared" si="10"/>
        <v>23382652</v>
      </c>
      <c r="G61" s="9">
        <f t="shared" si="10"/>
        <v>91118677</v>
      </c>
    </row>
    <row r="62" ht="15.75" thickTop="1"/>
    <row r="64" spans="2:7" ht="15">
      <c r="B64" s="8" t="s">
        <v>21</v>
      </c>
      <c r="C64" s="10" t="s">
        <v>8</v>
      </c>
      <c r="D64" s="10" t="s">
        <v>10</v>
      </c>
      <c r="E64" s="10" t="s">
        <v>11</v>
      </c>
      <c r="F64" s="10" t="s">
        <v>12</v>
      </c>
      <c r="G64" s="10" t="s">
        <v>13</v>
      </c>
    </row>
    <row r="65" spans="2:7" ht="15">
      <c r="B65" t="s">
        <v>4</v>
      </c>
      <c r="C65" s="4">
        <f>+D73</f>
        <v>0.55101805872641563</v>
      </c>
      <c r="D65" s="2">
        <f>+$C$65*D61</f>
        <v>37323773.001343958</v>
      </c>
      <c r="E65" s="2">
        <v>0</v>
      </c>
      <c r="F65" s="2">
        <f>+$C$65*F61</f>
        <v>12884263.512915339</v>
      </c>
      <c r="G65" s="2">
        <f>+SUM(D65:F65)</f>
        <v>50208036.514259294</v>
      </c>
    </row>
    <row r="66" spans="2:7" ht="15">
      <c r="B66" t="s">
        <v>5</v>
      </c>
      <c r="C66" s="4">
        <f>+D74</f>
        <v>0.39385899622187581</v>
      </c>
      <c r="D66" s="2">
        <f>+$C$66*D61</f>
        <v>26678442.814559884</v>
      </c>
      <c r="E66" s="2"/>
      <c r="F66" s="2">
        <f>+$C$66*F61</f>
        <v>9209467.8457254376</v>
      </c>
      <c r="G66" s="2">
        <f>+SUM(D66:F66)</f>
        <v>35887910.660285324</v>
      </c>
    </row>
    <row r="67" spans="2:7" ht="15">
      <c r="B67" t="s">
        <v>6</v>
      </c>
      <c r="C67" s="4">
        <f>+D75</f>
        <v>0.055122945051708526</v>
      </c>
      <c r="D67" s="2">
        <f>+$C$67*D61</f>
        <v>3733809.1840961552</v>
      </c>
      <c r="E67" s="2"/>
      <c r="F67" s="2">
        <f>+$C$67*F61</f>
        <v>1288920.6413592224</v>
      </c>
      <c r="G67" s="2">
        <f t="shared" si="11" ref="G67">+SUM(D67:F67)</f>
        <v>5022729.8254553778</v>
      </c>
    </row>
    <row r="68" spans="4:9" ht="15.75" thickBot="1">
      <c r="D68" s="9">
        <f>SUM(D65:D67)</f>
        <v>67736025</v>
      </c>
      <c r="E68" s="9">
        <f>SUM(E65:E67)</f>
        <v>0</v>
      </c>
      <c r="F68" s="9">
        <f>SUM(F65:F67)</f>
        <v>23382651.999999996</v>
      </c>
      <c r="G68" s="9">
        <f>+SUM(D68:F68)</f>
        <v>91118677</v>
      </c>
      <c r="H68" s="1"/>
      <c r="I68" s="1"/>
    </row>
    <row r="69" ht="15.75" thickTop="1"/>
    <row r="71" spans="2:2" ht="15">
      <c r="B71" s="8" t="s">
        <v>7</v>
      </c>
    </row>
    <row r="72" spans="2:2" ht="15">
      <c r="B72" t="s">
        <v>3</v>
      </c>
    </row>
    <row r="73" spans="2:4" ht="15">
      <c r="B73" s="11" t="s">
        <v>16</v>
      </c>
      <c r="C73" s="2">
        <v>923457676</v>
      </c>
      <c r="D73" s="4">
        <f>C73/$C$76</f>
        <v>0.55101805872641563</v>
      </c>
    </row>
    <row r="74" spans="2:4" ht="15">
      <c r="B74" s="11" t="s">
        <v>17</v>
      </c>
      <c r="C74" s="2">
        <v>660072946</v>
      </c>
      <c r="D74" s="4">
        <f>C74/$C$76</f>
        <v>0.39385899622187581</v>
      </c>
    </row>
    <row r="75" spans="2:4" ht="15">
      <c r="B75" s="11" t="s">
        <v>18</v>
      </c>
      <c r="C75" s="2">
        <v>92381195</v>
      </c>
      <c r="D75" s="4">
        <f>C75/$C$76</f>
        <v>0.055122945051708526</v>
      </c>
    </row>
    <row r="76" spans="3:4" ht="15">
      <c r="C76" s="14">
        <f>SUM(C73:C75)</f>
        <v>1675911817</v>
      </c>
      <c r="D76" s="5">
        <f>SUM(D73:D75)</f>
        <v>1</v>
      </c>
    </row>
    <row r="81" spans="12:12" ht="15">
      <c r="L81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81"/>
  <sheetViews>
    <sheetView zoomScale="85" zoomScaleNormal="85" workbookViewId="0" topLeftCell="A55">
      <selection pane="topLeft" activeCell="G58" sqref="G58:G60"/>
    </sheetView>
  </sheetViews>
  <sheetFormatPr defaultRowHeight="15"/>
  <cols>
    <col min="2" max="2" width="30.4285714285714" bestFit="1" customWidth="1"/>
    <col min="3" max="3" width="19.2857142857143" customWidth="1"/>
    <col min="4" max="4" width="18.2857142857143" bestFit="1" customWidth="1"/>
    <col min="5" max="6" width="15.4285714285714" bestFit="1" customWidth="1"/>
    <col min="7" max="7" width="15.2857142857143" bestFit="1" customWidth="1"/>
    <col min="8" max="8" width="13.2857142857143" bestFit="1" customWidth="1"/>
    <col min="9" max="9" width="5.14285714285714" bestFit="1" customWidth="1"/>
    <col min="10" max="10" width="16.8571428571429" bestFit="1" customWidth="1"/>
    <col min="11" max="11" width="23.4285714285714" bestFit="1" customWidth="1"/>
    <col min="12" max="12" width="15.2857142857143" bestFit="1" customWidth="1"/>
    <col min="17" max="17" width="10.7142857142857" bestFit="1" customWidth="1"/>
    <col min="21" max="21" width="10.7142857142857" bestFit="1" customWidth="1"/>
  </cols>
  <sheetData>
    <row r="1" spans="2:2" ht="15">
      <c r="B1" s="8" t="s">
        <v>26</v>
      </c>
    </row>
    <row r="3" spans="2:21" ht="15">
      <c r="B3" s="8" t="s">
        <v>28</v>
      </c>
      <c r="C3" s="8" t="s">
        <v>15</v>
      </c>
      <c r="D3" s="8"/>
      <c r="Q3" s="6"/>
      <c r="U3" s="6">
        <v>45291</v>
      </c>
    </row>
    <row r="4" spans="8:21" ht="15">
      <c r="H4" s="8"/>
      <c r="I4" s="8"/>
      <c r="J4" s="8"/>
      <c r="Q4" s="6"/>
      <c r="U4" s="6"/>
    </row>
    <row r="5" spans="4:21" ht="15">
      <c r="D5" s="10" t="s">
        <v>23</v>
      </c>
      <c r="E5" s="10" t="s">
        <v>24</v>
      </c>
      <c r="F5" s="10" t="s">
        <v>25</v>
      </c>
      <c r="G5" s="10" t="s">
        <v>9</v>
      </c>
      <c r="H5" s="8"/>
      <c r="I5" s="8"/>
      <c r="J5" s="8"/>
      <c r="Q5" s="6"/>
      <c r="U5" s="6"/>
    </row>
    <row r="6" spans="2:21" ht="15">
      <c r="B6" s="8" t="s">
        <v>0</v>
      </c>
      <c r="D6" s="2">
        <v>92921</v>
      </c>
      <c r="E6" s="2">
        <v>0</v>
      </c>
      <c r="F6" s="2">
        <v>1927171</v>
      </c>
      <c r="G6" s="2">
        <f>SUM(D6:F6)</f>
        <v>2020092</v>
      </c>
      <c r="H6" s="8"/>
      <c r="I6" s="8"/>
      <c r="J6" s="8"/>
      <c r="Q6" s="6"/>
      <c r="U6" s="6"/>
    </row>
    <row r="7" spans="2:21" ht="15">
      <c r="B7" t="s">
        <v>1</v>
      </c>
      <c r="D7" s="2">
        <v>-7344</v>
      </c>
      <c r="E7" s="2"/>
      <c r="F7" s="2"/>
      <c r="G7" s="2">
        <f>D7</f>
        <v>-7344</v>
      </c>
      <c r="H7" s="8"/>
      <c r="I7" s="8"/>
      <c r="J7" s="8"/>
      <c r="Q7" s="6"/>
      <c r="U7" s="6"/>
    </row>
    <row r="8" spans="2:21" ht="15">
      <c r="B8" s="11" t="s">
        <v>2</v>
      </c>
      <c r="D8" s="2">
        <f>-441873+207576-68</f>
        <v>-234365</v>
      </c>
      <c r="E8" s="2"/>
      <c r="F8" s="2"/>
      <c r="G8" s="2">
        <f t="shared" si="0" ref="G8:G9">D8</f>
        <v>-234365</v>
      </c>
      <c r="H8" s="8"/>
      <c r="I8" s="8"/>
      <c r="J8" s="8"/>
      <c r="Q8" s="6"/>
      <c r="U8" s="6"/>
    </row>
    <row r="9" spans="2:21" ht="15">
      <c r="B9" s="19" t="s">
        <v>30</v>
      </c>
      <c r="D9" s="2">
        <f>-207576+68</f>
        <v>-207508</v>
      </c>
      <c r="E9" s="2"/>
      <c r="F9" s="2"/>
      <c r="G9" s="2">
        <f t="shared" si="0"/>
        <v>-207508</v>
      </c>
      <c r="H9" s="8"/>
      <c r="I9" s="8"/>
      <c r="J9" s="8"/>
      <c r="Q9" s="6"/>
      <c r="U9" s="6"/>
    </row>
    <row r="10" spans="2:21" ht="15.75" thickBot="1">
      <c r="B10" t="s">
        <v>20</v>
      </c>
      <c r="D10" s="9">
        <f>SUM(D6:D9)</f>
        <v>-356296</v>
      </c>
      <c r="E10" s="9">
        <f t="shared" si="1" ref="E10:G10">SUM(E6:E9)</f>
        <v>0</v>
      </c>
      <c r="F10" s="9">
        <f t="shared" si="1"/>
        <v>1927171</v>
      </c>
      <c r="G10" s="9">
        <f t="shared" si="1"/>
        <v>1570875</v>
      </c>
      <c r="H10" s="8"/>
      <c r="I10" s="8"/>
      <c r="J10" s="8"/>
      <c r="Q10" s="6"/>
      <c r="U10" s="6"/>
    </row>
    <row r="11" spans="8:21" ht="15.75" thickTop="1">
      <c r="H11" s="8"/>
      <c r="I11" s="8"/>
      <c r="J11" s="8"/>
      <c r="Q11" s="6"/>
      <c r="U11" s="6"/>
    </row>
    <row r="12" spans="8:21" ht="15">
      <c r="H12" s="8"/>
      <c r="I12" s="8"/>
      <c r="J12" s="8"/>
      <c r="Q12" s="6"/>
      <c r="U12" s="6"/>
    </row>
    <row r="13" spans="2:21" ht="15">
      <c r="B13" s="16" t="s">
        <v>21</v>
      </c>
      <c r="C13" s="10" t="s">
        <v>8</v>
      </c>
      <c r="D13" s="10" t="s">
        <v>10</v>
      </c>
      <c r="E13" s="10" t="s">
        <v>11</v>
      </c>
      <c r="F13" s="10" t="s">
        <v>12</v>
      </c>
      <c r="G13" s="10" t="s">
        <v>13</v>
      </c>
      <c r="H13" s="8"/>
      <c r="I13" s="8"/>
      <c r="J13" s="8"/>
      <c r="Q13" s="6"/>
      <c r="U13" s="6"/>
    </row>
    <row r="14" spans="2:21" ht="15">
      <c r="B14" s="16" t="s">
        <v>4</v>
      </c>
      <c r="C14" s="17">
        <f>+D22</f>
        <v>0.51270198315234539</v>
      </c>
      <c r="D14" s="18">
        <f>+$C$14*D10</f>
        <v>-182673.66578924804</v>
      </c>
      <c r="E14" s="18">
        <v>0</v>
      </c>
      <c r="F14" s="18">
        <f>+$C$14*F10</f>
        <v>988064.39357368858</v>
      </c>
      <c r="G14" s="18">
        <f>+SUM(D14:F14)</f>
        <v>805390.7277844405</v>
      </c>
      <c r="H14" s="16"/>
      <c r="I14" s="12"/>
      <c r="J14" s="8"/>
      <c r="Q14" s="6"/>
      <c r="U14" s="6"/>
    </row>
    <row r="15" spans="2:21" ht="15">
      <c r="B15" s="16" t="s">
        <v>5</v>
      </c>
      <c r="C15" s="17">
        <f>+D23</f>
        <v>0.35984628006147934</v>
      </c>
      <c r="D15" s="18">
        <f>+$C$15*D10</f>
        <v>-128211.79020078485</v>
      </c>
      <c r="E15" s="18"/>
      <c r="F15" s="18">
        <f>+$C$15*F10</f>
        <v>693485.31539236126</v>
      </c>
      <c r="G15" s="18">
        <f>+SUM(D15:F15)</f>
        <v>565273.52519157645</v>
      </c>
      <c r="H15" s="16"/>
      <c r="I15" s="12"/>
      <c r="J15" s="8"/>
      <c r="Q15" s="6"/>
      <c r="U15" s="6"/>
    </row>
    <row r="16" spans="2:21" ht="15">
      <c r="B16" s="16" t="s">
        <v>6</v>
      </c>
      <c r="C16" s="17">
        <f>+D24</f>
        <v>0.12745173678617525</v>
      </c>
      <c r="D16" s="18">
        <f>+$C$16*D10</f>
        <v>-45410.544009967096</v>
      </c>
      <c r="E16" s="18"/>
      <c r="F16" s="18">
        <f>+$C$16*F10</f>
        <v>245621.29103395014</v>
      </c>
      <c r="G16" s="18">
        <f>+SUM(D16:F16)</f>
        <v>200210.74702398304</v>
      </c>
      <c r="H16" s="16"/>
      <c r="I16" s="12"/>
      <c r="J16" s="8"/>
      <c r="Q16" s="6"/>
      <c r="U16" s="6"/>
    </row>
    <row r="17" spans="4:21" ht="15.75" thickBot="1">
      <c r="D17" s="9">
        <f>SUM(D14:D16)</f>
        <v>-356296</v>
      </c>
      <c r="E17" s="9">
        <f>SUM(E14:E16)</f>
        <v>0</v>
      </c>
      <c r="F17" s="9">
        <f>SUM(F14:F16)</f>
        <v>1927171</v>
      </c>
      <c r="G17" s="9">
        <f>+SUM(D17:F17)</f>
        <v>1570875</v>
      </c>
      <c r="H17" s="13"/>
      <c r="I17" s="12"/>
      <c r="J17" s="8"/>
      <c r="Q17" s="6"/>
      <c r="U17" s="6"/>
    </row>
    <row r="18" spans="8:21" ht="15.75" thickTop="1">
      <c r="H18" s="8"/>
      <c r="I18" s="8"/>
      <c r="J18" s="8"/>
      <c r="Q18" s="6"/>
      <c r="U18" s="6"/>
    </row>
    <row r="19" spans="8:21" ht="15">
      <c r="H19" s="8"/>
      <c r="I19" s="8"/>
      <c r="J19" s="8"/>
      <c r="Q19" s="6"/>
      <c r="U19" s="6"/>
    </row>
    <row r="20" spans="2:21" ht="15">
      <c r="B20" s="8" t="s">
        <v>7</v>
      </c>
      <c r="H20" s="8"/>
      <c r="I20" s="8"/>
      <c r="J20" s="8"/>
      <c r="Q20" s="6"/>
      <c r="U20" s="6"/>
    </row>
    <row r="21" spans="2:2" ht="15">
      <c r="B21" t="s">
        <v>3</v>
      </c>
    </row>
    <row r="22" spans="2:4" ht="15">
      <c r="B22" t="s">
        <v>16</v>
      </c>
      <c r="C22" s="2">
        <v>738921142.84615386</v>
      </c>
      <c r="D22" s="4">
        <f>C22/$C$25</f>
        <v>0.51270198315234539</v>
      </c>
    </row>
    <row r="23" spans="2:4" ht="15">
      <c r="B23" t="s">
        <v>17</v>
      </c>
      <c r="C23" s="2">
        <v>518621018.15384614</v>
      </c>
      <c r="D23" s="4">
        <f>C23/$C$25</f>
        <v>0.35984628006147934</v>
      </c>
    </row>
    <row r="24" spans="2:4" ht="15">
      <c r="B24" t="s">
        <v>18</v>
      </c>
      <c r="C24" s="2">
        <v>183687183</v>
      </c>
      <c r="D24" s="4">
        <f>C24/$C$25</f>
        <v>0.12745173678617525</v>
      </c>
    </row>
    <row r="25" spans="3:4" ht="15">
      <c r="C25" s="14">
        <f>SUM(C22:C24)</f>
        <v>1441229344</v>
      </c>
      <c r="D25" s="5">
        <f>SUM(D22:D24)</f>
        <v>1</v>
      </c>
    </row>
    <row r="29" spans="2:4" ht="15">
      <c r="B29" s="8" t="str">
        <f>+B3</f>
        <v>FI</v>
      </c>
      <c r="C29" s="8" t="s">
        <v>22</v>
      </c>
      <c r="D29" s="8"/>
    </row>
    <row r="31" spans="4:7" ht="15">
      <c r="D31" s="10" t="s">
        <v>23</v>
      </c>
      <c r="E31" s="10" t="s">
        <v>24</v>
      </c>
      <c r="F31" s="10" t="s">
        <v>25</v>
      </c>
      <c r="G31" s="10" t="s">
        <v>9</v>
      </c>
    </row>
    <row r="32" spans="2:7" ht="15">
      <c r="B32" s="8" t="s">
        <v>0</v>
      </c>
      <c r="D32" s="2">
        <v>-59292</v>
      </c>
      <c r="E32" s="2">
        <v>0</v>
      </c>
      <c r="F32" s="2">
        <v>2009200</v>
      </c>
      <c r="G32" s="2">
        <f>SUM(D32:F32)</f>
        <v>1949908</v>
      </c>
    </row>
    <row r="33" spans="2:7" ht="15">
      <c r="B33" t="s">
        <v>1</v>
      </c>
      <c r="D33" s="2">
        <v>-6833</v>
      </c>
      <c r="E33" s="2"/>
      <c r="F33" s="2"/>
      <c r="G33" s="2">
        <f>D33</f>
        <v>-6833</v>
      </c>
    </row>
    <row r="34" spans="2:7" ht="15">
      <c r="B34" s="11" t="s">
        <v>2</v>
      </c>
      <c r="D34" s="2">
        <f>-236208-4</f>
        <v>-236212</v>
      </c>
      <c r="E34" s="2"/>
      <c r="F34" s="2"/>
      <c r="G34" s="2">
        <f t="shared" si="2" ref="G34:G35">D34</f>
        <v>-236212</v>
      </c>
    </row>
    <row r="35" spans="2:7" ht="15">
      <c r="B35" s="19" t="s">
        <v>30</v>
      </c>
      <c r="D35" s="2">
        <f>-195301-45</f>
        <v>-195346</v>
      </c>
      <c r="E35" s="2"/>
      <c r="F35" s="2"/>
      <c r="G35" s="2">
        <f t="shared" si="2"/>
        <v>-195346</v>
      </c>
    </row>
    <row r="36" spans="2:7" ht="15.75" thickBot="1">
      <c r="B36" t="s">
        <v>20</v>
      </c>
      <c r="D36" s="9">
        <f>SUM(D32:D35)</f>
        <v>-497683</v>
      </c>
      <c r="E36" s="9">
        <f t="shared" si="3" ref="E36">SUM(E32:E35)</f>
        <v>0</v>
      </c>
      <c r="F36" s="9">
        <f t="shared" si="4" ref="F36">SUM(F32:F35)</f>
        <v>2009200</v>
      </c>
      <c r="G36" s="9">
        <f t="shared" si="5" ref="G36">SUM(G32:G35)</f>
        <v>1511517</v>
      </c>
    </row>
    <row r="37" spans="4:7" ht="15.75" thickTop="1">
      <c r="D37" s="1"/>
      <c r="E37" s="1"/>
      <c r="F37" s="1"/>
      <c r="G37" s="1"/>
    </row>
    <row r="38" spans="8:11" ht="15">
      <c r="H38" s="1"/>
      <c r="I38" s="1"/>
      <c r="J38" s="1"/>
      <c r="K38" s="1"/>
    </row>
    <row r="39" spans="2:11" ht="15">
      <c r="B39" s="8" t="s">
        <v>21</v>
      </c>
      <c r="C39" t="s">
        <v>8</v>
      </c>
      <c r="D39" t="s">
        <v>10</v>
      </c>
      <c r="E39" t="s">
        <v>11</v>
      </c>
      <c r="F39" t="s">
        <v>12</v>
      </c>
      <c r="G39" t="s">
        <v>13</v>
      </c>
      <c r="H39" s="1"/>
      <c r="I39" s="1"/>
      <c r="J39" s="1"/>
      <c r="K39" s="1"/>
    </row>
    <row r="40" spans="2:11" ht="15">
      <c r="B40" t="s">
        <v>4</v>
      </c>
      <c r="C40" s="4">
        <f>+D48</f>
        <v>0.52063518919648366</v>
      </c>
      <c r="D40" s="2">
        <f>+$C$40*D36</f>
        <v>-259111.28286487359</v>
      </c>
      <c r="E40" s="2">
        <v>0</v>
      </c>
      <c r="F40" s="2">
        <f>+$C$40*F36</f>
        <v>1046060.222133575</v>
      </c>
      <c r="G40" s="2">
        <f>+SUM(D40:F40)</f>
        <v>786948.93926870148</v>
      </c>
      <c r="H40" s="2"/>
      <c r="I40" s="2"/>
      <c r="J40" s="1"/>
      <c r="K40" s="1"/>
    </row>
    <row r="41" spans="2:11" ht="15">
      <c r="B41" t="s">
        <v>5</v>
      </c>
      <c r="C41" s="4">
        <f>+D49</f>
        <v>0.37496374229711582</v>
      </c>
      <c r="D41" s="2">
        <f>+$C$41*D36</f>
        <v>-186613.08015765549</v>
      </c>
      <c r="E41" s="2"/>
      <c r="F41" s="2">
        <f>+$C$41*F36</f>
        <v>753377.15102336509</v>
      </c>
      <c r="G41" s="2">
        <f>+SUM(D41:F41)</f>
        <v>566764.07086570957</v>
      </c>
      <c r="H41" s="2"/>
      <c r="I41" s="2"/>
      <c r="J41" s="1"/>
      <c r="K41" s="1"/>
    </row>
    <row r="42" spans="2:9" ht="15">
      <c r="B42" t="s">
        <v>6</v>
      </c>
      <c r="C42" s="4">
        <f>+D50</f>
        <v>0.10440106850640049</v>
      </c>
      <c r="D42" s="2">
        <f>+$C$42*D36</f>
        <v>-51958.636977470916</v>
      </c>
      <c r="E42" s="2"/>
      <c r="F42" s="2">
        <f>+$C$42*F36</f>
        <v>209762.62684305987</v>
      </c>
      <c r="G42" s="2">
        <f t="shared" si="6" ref="G42">+SUM(D42:F42)</f>
        <v>157803.98986558896</v>
      </c>
      <c r="H42" s="3"/>
      <c r="I42" s="3"/>
    </row>
    <row r="43" spans="4:9" ht="15.75" thickBot="1">
      <c r="D43" s="9">
        <f>SUM(D40:D42)</f>
        <v>-497683</v>
      </c>
      <c r="E43" s="9">
        <f>SUM(E40:E42)</f>
        <v>0</v>
      </c>
      <c r="F43" s="9">
        <f>SUM(F40:F42)</f>
        <v>2009200</v>
      </c>
      <c r="G43" s="9">
        <f>+SUM(D43:F43)</f>
        <v>1511517</v>
      </c>
      <c r="H43" s="2"/>
      <c r="I43" s="2"/>
    </row>
    <row r="44" ht="15.75" thickTop="1"/>
    <row r="46" spans="2:2" ht="15">
      <c r="B46" s="8" t="s">
        <v>7</v>
      </c>
    </row>
    <row r="47" spans="2:2" ht="15">
      <c r="B47" t="s">
        <v>3</v>
      </c>
    </row>
    <row r="48" spans="2:4" ht="15">
      <c r="B48" t="s">
        <v>16</v>
      </c>
      <c r="C48" s="2">
        <v>825587884</v>
      </c>
      <c r="D48" s="4">
        <f>C48/$C$51</f>
        <v>0.52063518919648366</v>
      </c>
    </row>
    <row r="49" spans="2:4" ht="15">
      <c r="B49" t="s">
        <v>17</v>
      </c>
      <c r="C49" s="2">
        <v>594592008</v>
      </c>
      <c r="D49" s="4">
        <f>C49/$C$51</f>
        <v>0.37496374229711582</v>
      </c>
    </row>
    <row r="50" spans="2:4" ht="15">
      <c r="B50" t="s">
        <v>18</v>
      </c>
      <c r="C50" s="2">
        <v>165552116</v>
      </c>
      <c r="D50" s="4">
        <f>C50/$C$51</f>
        <v>0.10440106850640049</v>
      </c>
    </row>
    <row r="51" spans="3:4" ht="15">
      <c r="C51" s="14">
        <f>SUM(C48:C50)</f>
        <v>1585732008</v>
      </c>
      <c r="D51" s="5">
        <f>SUM(D48:D50)</f>
        <v>1</v>
      </c>
    </row>
    <row r="53" spans="2:5" ht="15">
      <c r="B53" s="8" t="str">
        <f>+B29</f>
        <v>FI</v>
      </c>
      <c r="C53" s="8" t="s">
        <v>19</v>
      </c>
      <c r="E53" s="8"/>
    </row>
    <row r="56" spans="4:7" ht="15">
      <c r="D56" s="10" t="s">
        <v>23</v>
      </c>
      <c r="E56" s="10" t="s">
        <v>24</v>
      </c>
      <c r="F56" s="10" t="s">
        <v>25</v>
      </c>
      <c r="G56" s="10" t="s">
        <v>9</v>
      </c>
    </row>
    <row r="57" spans="2:12" ht="15">
      <c r="B57" s="8" t="s">
        <v>0</v>
      </c>
      <c r="D57" s="2">
        <v>-187860</v>
      </c>
      <c r="E57" s="2">
        <v>0</v>
      </c>
      <c r="F57" s="2">
        <v>2128599</v>
      </c>
      <c r="G57" s="2">
        <f>SUM(D57:F57)</f>
        <v>1940739</v>
      </c>
      <c r="L57" s="3"/>
    </row>
    <row r="58" spans="2:7" ht="15">
      <c r="B58" t="s">
        <v>1</v>
      </c>
      <c r="D58" s="2">
        <v>-6847</v>
      </c>
      <c r="E58" s="2"/>
      <c r="F58" s="2"/>
      <c r="G58" s="2">
        <f>D58</f>
        <v>-6847</v>
      </c>
    </row>
    <row r="59" spans="2:7" ht="15">
      <c r="B59" s="11" t="s">
        <v>2</v>
      </c>
      <c r="D59" s="2">
        <f>-237192-494</f>
        <v>-237686</v>
      </c>
      <c r="E59" s="2"/>
      <c r="F59" s="2"/>
      <c r="G59" s="2">
        <f t="shared" si="7" ref="G59:G60">D59</f>
        <v>-237686</v>
      </c>
    </row>
    <row r="60" spans="2:7" ht="15">
      <c r="B60" s="19" t="s">
        <v>30</v>
      </c>
      <c r="D60" s="2">
        <f>-190699-159</f>
        <v>-190858</v>
      </c>
      <c r="E60" s="2"/>
      <c r="F60" s="2"/>
      <c r="G60" s="2">
        <f t="shared" si="7"/>
        <v>-190858</v>
      </c>
    </row>
    <row r="61" spans="2:7" ht="15.75" thickBot="1">
      <c r="B61" t="s">
        <v>20</v>
      </c>
      <c r="D61" s="9">
        <f>SUM(D57:D60)</f>
        <v>-623251</v>
      </c>
      <c r="E61" s="9">
        <f t="shared" si="8" ref="E61">SUM(E57:E60)</f>
        <v>0</v>
      </c>
      <c r="F61" s="9">
        <f t="shared" si="9" ref="F61">SUM(F57:F60)</f>
        <v>2128599</v>
      </c>
      <c r="G61" s="9">
        <f t="shared" si="10" ref="G61">SUM(G57:G60)</f>
        <v>1505348</v>
      </c>
    </row>
    <row r="62" ht="15.75" thickTop="1"/>
    <row r="64" spans="2:7" ht="15">
      <c r="B64" s="8" t="s">
        <v>21</v>
      </c>
      <c r="C64" s="10" t="s">
        <v>8</v>
      </c>
      <c r="D64" s="10" t="s">
        <v>10</v>
      </c>
      <c r="E64" s="10" t="s">
        <v>11</v>
      </c>
      <c r="F64" s="10" t="s">
        <v>12</v>
      </c>
      <c r="G64" s="10" t="s">
        <v>13</v>
      </c>
    </row>
    <row r="65" spans="2:7" ht="15">
      <c r="B65" t="s">
        <v>4</v>
      </c>
      <c r="C65" s="4">
        <f>+D73</f>
        <v>0.55101805872641563</v>
      </c>
      <c r="D65" s="2">
        <f>+$C$65*D61</f>
        <v>-343422.55611929728</v>
      </c>
      <c r="E65" s="2">
        <v>0</v>
      </c>
      <c r="F65" s="2">
        <f>+$C$65*F61</f>
        <v>1172896.4887869896</v>
      </c>
      <c r="G65" s="2">
        <f>+SUM(D65:F65)</f>
        <v>829473.93266769231</v>
      </c>
    </row>
    <row r="66" spans="2:7" ht="15">
      <c r="B66" t="s">
        <v>5</v>
      </c>
      <c r="C66" s="4">
        <f>+D74</f>
        <v>0.39385899622187581</v>
      </c>
      <c r="D66" s="2">
        <f>+$C$66*D61</f>
        <v>-245473.01325428032</v>
      </c>
      <c r="E66" s="2"/>
      <c r="F66" s="2">
        <f>+$C$66*F61</f>
        <v>838367.86549888866</v>
      </c>
      <c r="G66" s="2">
        <f>+SUM(D66:F66)</f>
        <v>592894.85224460834</v>
      </c>
    </row>
    <row r="67" spans="2:7" ht="15">
      <c r="B67" t="s">
        <v>6</v>
      </c>
      <c r="C67" s="4">
        <f>+D75</f>
        <v>0.055122945051708526</v>
      </c>
      <c r="D67" s="2">
        <f>+$C$67*D61</f>
        <v>-34355.430626422392</v>
      </c>
      <c r="E67" s="2"/>
      <c r="F67" s="2">
        <f>+$C$67*F61</f>
        <v>117334.64571412171</v>
      </c>
      <c r="G67" s="2">
        <f t="shared" si="11" ref="G67">+SUM(D67:F67)</f>
        <v>82979.215087699326</v>
      </c>
    </row>
    <row r="68" spans="4:9" ht="15.75" thickBot="1">
      <c r="D68" s="9">
        <f>SUM(D65:D67)</f>
        <v>-623251</v>
      </c>
      <c r="E68" s="9">
        <f>SUM(E65:E67)</f>
        <v>0</v>
      </c>
      <c r="F68" s="9">
        <f>SUM(F65:F67)</f>
        <v>2128599</v>
      </c>
      <c r="G68" s="9">
        <f>+SUM(D68:F68)</f>
        <v>1505348</v>
      </c>
      <c r="I68" s="3"/>
    </row>
    <row r="69" ht="15.75" thickTop="1"/>
    <row r="71" spans="2:2" ht="15">
      <c r="B71" s="8" t="s">
        <v>7</v>
      </c>
    </row>
    <row r="72" spans="2:2" ht="15">
      <c r="B72" t="s">
        <v>3</v>
      </c>
    </row>
    <row r="73" spans="2:4" ht="15">
      <c r="B73" s="11" t="s">
        <v>16</v>
      </c>
      <c r="C73" s="2">
        <v>923457676</v>
      </c>
      <c r="D73" s="4">
        <f>C73/$C$76</f>
        <v>0.55101805872641563</v>
      </c>
    </row>
    <row r="74" spans="2:4" ht="15">
      <c r="B74" s="11" t="s">
        <v>17</v>
      </c>
      <c r="C74" s="2">
        <v>660072946</v>
      </c>
      <c r="D74" s="4">
        <f>C74/$C$76</f>
        <v>0.39385899622187581</v>
      </c>
    </row>
    <row r="75" spans="2:4" ht="15">
      <c r="B75" s="11" t="s">
        <v>18</v>
      </c>
      <c r="C75" s="2">
        <v>92381195</v>
      </c>
      <c r="D75" s="4">
        <f>C75/$C$76</f>
        <v>0.055122945051708526</v>
      </c>
    </row>
    <row r="76" spans="3:4" ht="15">
      <c r="C76" s="14">
        <f>SUM(C73:C75)</f>
        <v>1675911817</v>
      </c>
      <c r="D76" s="5">
        <f>SUM(D73:D75)</f>
        <v>1</v>
      </c>
    </row>
    <row r="81" spans="12:12" ht="15">
      <c r="L81" s="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U81"/>
  <sheetViews>
    <sheetView tabSelected="1" zoomScale="85" zoomScaleNormal="85" workbookViewId="0" topLeftCell="A46">
      <selection pane="topLeft" activeCell="G58" sqref="G58"/>
    </sheetView>
  </sheetViews>
  <sheetFormatPr defaultRowHeight="15"/>
  <cols>
    <col min="2" max="2" width="30.4285714285714" bestFit="1" customWidth="1"/>
    <col min="3" max="3" width="19.2857142857143" customWidth="1"/>
    <col min="4" max="4" width="18.2857142857143" bestFit="1" customWidth="1"/>
    <col min="5" max="6" width="15.4285714285714" bestFit="1" customWidth="1"/>
    <col min="7" max="7" width="15.2857142857143" bestFit="1" customWidth="1"/>
    <col min="8" max="8" width="10.5714285714286" bestFit="1" customWidth="1"/>
    <col min="9" max="9" width="4.14285714285714" bestFit="1" customWidth="1"/>
    <col min="10" max="10" width="16.8571428571429" bestFit="1" customWidth="1"/>
    <col min="11" max="11" width="23.4285714285714" bestFit="1" customWidth="1"/>
    <col min="12" max="12" width="15.2857142857143" bestFit="1" customWidth="1"/>
    <col min="17" max="17" width="10.7142857142857" bestFit="1" customWidth="1"/>
    <col min="21" max="21" width="10.7142857142857" bestFit="1" customWidth="1"/>
  </cols>
  <sheetData>
    <row r="1" spans="2:2" ht="15">
      <c r="B1" s="8" t="s">
        <v>26</v>
      </c>
    </row>
    <row r="3" spans="2:21" ht="15">
      <c r="B3" s="8" t="s">
        <v>29</v>
      </c>
      <c r="C3" s="8" t="s">
        <v>15</v>
      </c>
      <c r="D3" s="8"/>
      <c r="Q3" s="6"/>
      <c r="U3" s="6">
        <v>45291</v>
      </c>
    </row>
    <row r="4" spans="8:21" ht="15">
      <c r="H4" s="8"/>
      <c r="I4" s="8"/>
      <c r="J4" s="8"/>
      <c r="Q4" s="6"/>
      <c r="U4" s="6"/>
    </row>
    <row r="5" spans="4:21" ht="15">
      <c r="D5" s="10" t="s">
        <v>23</v>
      </c>
      <c r="E5" s="10" t="s">
        <v>24</v>
      </c>
      <c r="F5" s="10" t="s">
        <v>25</v>
      </c>
      <c r="G5" s="10" t="s">
        <v>9</v>
      </c>
      <c r="H5" s="8"/>
      <c r="I5" s="8"/>
      <c r="J5" s="8"/>
      <c r="Q5" s="6"/>
      <c r="U5" s="6"/>
    </row>
    <row r="6" spans="2:21" ht="15">
      <c r="B6" s="8" t="s">
        <v>0</v>
      </c>
      <c r="D6" s="2">
        <v>-39036</v>
      </c>
      <c r="E6" s="2">
        <v>0</v>
      </c>
      <c r="F6" s="2">
        <v>1279284</v>
      </c>
      <c r="G6" s="2">
        <f>SUM(D6:F6)</f>
        <v>1240248</v>
      </c>
      <c r="H6" s="8"/>
      <c r="I6" s="8"/>
      <c r="J6" s="8"/>
      <c r="Q6" s="6"/>
      <c r="U6" s="6"/>
    </row>
    <row r="7" spans="2:21" ht="15">
      <c r="B7" t="s">
        <v>1</v>
      </c>
      <c r="D7" s="2">
        <v>-23656</v>
      </c>
      <c r="E7" s="2"/>
      <c r="F7" s="2"/>
      <c r="G7" s="2">
        <f>D7</f>
        <v>-23656</v>
      </c>
      <c r="H7" s="8"/>
      <c r="I7" s="8"/>
      <c r="J7" s="8"/>
      <c r="Q7" s="6"/>
      <c r="U7" s="6"/>
    </row>
    <row r="8" spans="2:21" ht="15">
      <c r="B8" s="11" t="s">
        <v>2</v>
      </c>
      <c r="D8" s="2">
        <f>-328693+87459-21</f>
        <v>-241255</v>
      </c>
      <c r="E8" s="2"/>
      <c r="F8" s="2"/>
      <c r="G8" s="2">
        <f t="shared" si="0" ref="G8:G9">D8</f>
        <v>-241255</v>
      </c>
      <c r="H8" s="8"/>
      <c r="I8" s="8"/>
      <c r="J8" s="8"/>
      <c r="Q8" s="6"/>
      <c r="U8" s="6"/>
    </row>
    <row r="9" spans="2:21" ht="15">
      <c r="B9" s="19" t="s">
        <v>30</v>
      </c>
      <c r="D9" s="2">
        <f>-87459+21</f>
        <v>-87438</v>
      </c>
      <c r="E9" s="2"/>
      <c r="F9" s="2"/>
      <c r="G9" s="2">
        <f t="shared" si="0"/>
        <v>-87438</v>
      </c>
      <c r="H9" s="8"/>
      <c r="I9" s="8"/>
      <c r="J9" s="8"/>
      <c r="Q9" s="6"/>
      <c r="U9" s="6"/>
    </row>
    <row r="10" spans="2:21" ht="15.75" thickBot="1">
      <c r="B10" t="s">
        <v>20</v>
      </c>
      <c r="D10" s="9">
        <f>SUM(D6:D9)</f>
        <v>-391385</v>
      </c>
      <c r="E10" s="9">
        <f t="shared" si="1" ref="E10">SUM(E6:E9)</f>
        <v>0</v>
      </c>
      <c r="F10" s="9">
        <f t="shared" si="2" ref="F10">SUM(F6:F9)</f>
        <v>1279284</v>
      </c>
      <c r="G10" s="9">
        <f t="shared" si="3" ref="G10">SUM(G6:G9)</f>
        <v>887899</v>
      </c>
      <c r="H10" s="8"/>
      <c r="I10" s="8"/>
      <c r="J10" s="8"/>
      <c r="Q10" s="6"/>
      <c r="U10" s="6"/>
    </row>
    <row r="11" spans="8:21" ht="15.75" thickTop="1">
      <c r="H11" s="8"/>
      <c r="I11" s="8"/>
      <c r="J11" s="8"/>
      <c r="Q11" s="6"/>
      <c r="U11" s="6"/>
    </row>
    <row r="12" spans="8:21" ht="15">
      <c r="H12" s="8"/>
      <c r="I12" s="8"/>
      <c r="J12" s="8"/>
      <c r="Q12" s="6"/>
      <c r="U12" s="6"/>
    </row>
    <row r="13" spans="2:21" ht="15">
      <c r="B13" s="8" t="s">
        <v>21</v>
      </c>
      <c r="C13" s="10" t="s">
        <v>8</v>
      </c>
      <c r="D13" s="10" t="s">
        <v>10</v>
      </c>
      <c r="E13" s="10" t="s">
        <v>11</v>
      </c>
      <c r="F13" s="10" t="s">
        <v>12</v>
      </c>
      <c r="G13" s="10" t="s">
        <v>13</v>
      </c>
      <c r="H13" s="8"/>
      <c r="I13" s="8"/>
      <c r="J13" s="8"/>
      <c r="Q13" s="6"/>
      <c r="U13" s="6"/>
    </row>
    <row r="14" spans="2:21" ht="15">
      <c r="B14" s="16" t="s">
        <v>4</v>
      </c>
      <c r="C14" s="17">
        <f>+D22</f>
        <v>0.51270198315234539</v>
      </c>
      <c r="D14" s="18">
        <f>+$C$14*D10</f>
        <v>-200663.86567608069</v>
      </c>
      <c r="E14" s="18">
        <v>0</v>
      </c>
      <c r="F14" s="18">
        <f>+$C$14*F10</f>
        <v>655891.44381506497</v>
      </c>
      <c r="G14" s="18">
        <f>+SUM(D14:F14)</f>
        <v>455227.57813898427</v>
      </c>
      <c r="H14" s="16"/>
      <c r="I14" s="12"/>
      <c r="J14" s="8"/>
      <c r="Q14" s="6"/>
      <c r="U14" s="6"/>
    </row>
    <row r="15" spans="2:21" ht="15">
      <c r="B15" s="16" t="s">
        <v>5</v>
      </c>
      <c r="C15" s="17">
        <f>+D23</f>
        <v>0.35984628006147934</v>
      </c>
      <c r="D15" s="18">
        <f>+$C$15*D10</f>
        <v>-140838.4363218621</v>
      </c>
      <c r="E15" s="18"/>
      <c r="F15" s="18">
        <f>+$C$15*F10</f>
        <v>460345.58854216954</v>
      </c>
      <c r="G15" s="18">
        <f>+SUM(D15:F15)</f>
        <v>319507.15222030744</v>
      </c>
      <c r="H15" s="16"/>
      <c r="I15" s="12"/>
      <c r="J15" s="8"/>
      <c r="Q15" s="6"/>
      <c r="U15" s="6"/>
    </row>
    <row r="16" spans="2:21" ht="15">
      <c r="B16" s="16" t="s">
        <v>6</v>
      </c>
      <c r="C16" s="17">
        <f>+D24</f>
        <v>0.12745173678617525</v>
      </c>
      <c r="D16" s="18">
        <f>+$C$16*D10</f>
        <v>-49882.698002057201</v>
      </c>
      <c r="E16" s="18"/>
      <c r="F16" s="18">
        <f>+$C$16*F10</f>
        <v>163046.9676427654</v>
      </c>
      <c r="G16" s="18">
        <f>+SUM(D16:F16)</f>
        <v>113164.2696407082</v>
      </c>
      <c r="H16" s="16"/>
      <c r="I16" s="12"/>
      <c r="J16" s="8"/>
      <c r="Q16" s="6"/>
      <c r="U16" s="6"/>
    </row>
    <row r="17" spans="4:21" ht="15.75" thickBot="1">
      <c r="D17" s="9">
        <f>SUM(D14:D16)</f>
        <v>-391385</v>
      </c>
      <c r="E17" s="9">
        <f>SUM(E14:E16)</f>
        <v>0</v>
      </c>
      <c r="F17" s="9">
        <f>SUM(F14:F16)</f>
        <v>1279284</v>
      </c>
      <c r="G17" s="9">
        <f>+SUM(D17:F17)</f>
        <v>887899</v>
      </c>
      <c r="H17" s="13"/>
      <c r="I17" s="12"/>
      <c r="J17" s="8"/>
      <c r="Q17" s="6"/>
      <c r="U17" s="6"/>
    </row>
    <row r="18" spans="8:21" ht="15.75" thickTop="1">
      <c r="H18" s="8"/>
      <c r="I18" s="8"/>
      <c r="J18" s="8"/>
      <c r="Q18" s="6"/>
      <c r="U18" s="6"/>
    </row>
    <row r="19" spans="8:21" ht="15">
      <c r="H19" s="8"/>
      <c r="I19" s="8"/>
      <c r="J19" s="8"/>
      <c r="Q19" s="6"/>
      <c r="U19" s="6"/>
    </row>
    <row r="20" spans="2:21" ht="15">
      <c r="B20" s="8" t="s">
        <v>7</v>
      </c>
      <c r="H20" s="8"/>
      <c r="I20" s="8"/>
      <c r="J20" s="8"/>
      <c r="Q20" s="6"/>
      <c r="U20" s="6"/>
    </row>
    <row r="21" spans="2:2" ht="15">
      <c r="B21" t="s">
        <v>3</v>
      </c>
    </row>
    <row r="22" spans="2:4" ht="15">
      <c r="B22" t="s">
        <v>16</v>
      </c>
      <c r="C22" s="2">
        <v>738921142.84615386</v>
      </c>
      <c r="D22" s="4">
        <f>C22/$C$25</f>
        <v>0.51270198315234539</v>
      </c>
    </row>
    <row r="23" spans="2:4" ht="15">
      <c r="B23" t="s">
        <v>17</v>
      </c>
      <c r="C23" s="2">
        <v>518621018.15384614</v>
      </c>
      <c r="D23" s="4">
        <f>C23/$C$25</f>
        <v>0.35984628006147934</v>
      </c>
    </row>
    <row r="24" spans="2:4" ht="15">
      <c r="B24" t="s">
        <v>18</v>
      </c>
      <c r="C24" s="2">
        <v>183687183</v>
      </c>
      <c r="D24" s="4">
        <f>C24/$C$25</f>
        <v>0.12745173678617525</v>
      </c>
    </row>
    <row r="25" spans="3:4" ht="15">
      <c r="C25" s="14">
        <f>SUM(C22:C24)</f>
        <v>1441229344</v>
      </c>
      <c r="D25" s="5">
        <f>SUM(D22:D24)</f>
        <v>1</v>
      </c>
    </row>
    <row r="29" spans="2:4" ht="15">
      <c r="B29" s="8" t="str">
        <f>+B3</f>
        <v>FT</v>
      </c>
      <c r="C29" s="8" t="s">
        <v>22</v>
      </c>
      <c r="D29" s="8"/>
    </row>
    <row r="31" spans="4:7" ht="15">
      <c r="D31" s="10" t="s">
        <v>23</v>
      </c>
      <c r="E31" s="10" t="s">
        <v>24</v>
      </c>
      <c r="F31" s="10" t="s">
        <v>25</v>
      </c>
      <c r="G31" s="10" t="s">
        <v>9</v>
      </c>
    </row>
    <row r="32" spans="2:7" ht="15">
      <c r="B32" s="8" t="s">
        <v>0</v>
      </c>
      <c r="D32" s="2">
        <v>-38748</v>
      </c>
      <c r="E32" s="2">
        <v>0</v>
      </c>
      <c r="F32" s="2">
        <v>1324104</v>
      </c>
      <c r="G32" s="2">
        <f>SUM(D32:F32)</f>
        <v>1285356</v>
      </c>
    </row>
    <row r="33" spans="2:7" ht="15">
      <c r="B33" t="s">
        <v>1</v>
      </c>
      <c r="D33" s="2">
        <v>-31948</v>
      </c>
      <c r="E33" s="2"/>
      <c r="F33" s="2"/>
      <c r="G33" s="2">
        <f>D33</f>
        <v>-31948</v>
      </c>
    </row>
    <row r="34" spans="2:7" ht="15">
      <c r="B34" s="11" t="s">
        <v>2</v>
      </c>
      <c r="D34" s="2">
        <f>-271381-1</f>
        <v>-271382</v>
      </c>
      <c r="E34" s="2"/>
      <c r="F34" s="2"/>
      <c r="G34" s="2">
        <f t="shared" si="4" ref="G34:G35">D34</f>
        <v>-271382</v>
      </c>
    </row>
    <row r="35" spans="2:7" ht="15">
      <c r="B35" s="19" t="s">
        <v>30</v>
      </c>
      <c r="D35" s="2">
        <f>-69932-14</f>
        <v>-69946</v>
      </c>
      <c r="E35" s="2"/>
      <c r="F35" s="2"/>
      <c r="G35" s="2">
        <f t="shared" si="4"/>
        <v>-69946</v>
      </c>
    </row>
    <row r="36" spans="2:7" ht="15.75" thickBot="1">
      <c r="B36" t="s">
        <v>20</v>
      </c>
      <c r="D36" s="9">
        <f>SUM(D32:D35)</f>
        <v>-412024</v>
      </c>
      <c r="E36" s="9">
        <f t="shared" si="5" ref="E36">SUM(E32:E35)</f>
        <v>0</v>
      </c>
      <c r="F36" s="9">
        <f t="shared" si="6" ref="F36">SUM(F32:F35)</f>
        <v>1324104</v>
      </c>
      <c r="G36" s="9">
        <f t="shared" si="7" ref="G36">SUM(G32:G35)</f>
        <v>912080</v>
      </c>
    </row>
    <row r="37" spans="3:6" ht="15.75" thickTop="1">
      <c r="C37" s="1"/>
      <c r="D37" s="1"/>
      <c r="E37" s="1"/>
      <c r="F37" s="1"/>
    </row>
    <row r="38" spans="8:11" ht="15">
      <c r="H38" s="1"/>
      <c r="I38" s="1"/>
      <c r="J38" s="1"/>
      <c r="K38" s="1"/>
    </row>
    <row r="39" spans="10:11" ht="15">
      <c r="J39" s="1"/>
      <c r="K39" s="1"/>
    </row>
    <row r="40" spans="2:11" ht="15">
      <c r="B40" s="8" t="s">
        <v>21</v>
      </c>
      <c r="C40" t="s">
        <v>8</v>
      </c>
      <c r="D40" t="s">
        <v>10</v>
      </c>
      <c r="E40" t="s">
        <v>11</v>
      </c>
      <c r="F40" t="s">
        <v>12</v>
      </c>
      <c r="G40" t="s">
        <v>13</v>
      </c>
      <c r="H40" s="1"/>
      <c r="I40" s="1"/>
      <c r="J40" s="1"/>
      <c r="K40" s="1"/>
    </row>
    <row r="41" spans="2:11" ht="15">
      <c r="B41" t="s">
        <v>4</v>
      </c>
      <c r="C41" s="4">
        <f>+D48</f>
        <v>0.52063518919648366</v>
      </c>
      <c r="D41" s="2">
        <f>+$C$41*D36</f>
        <v>-214514.19319349198</v>
      </c>
      <c r="E41" s="2">
        <v>0</v>
      </c>
      <c r="F41" s="2">
        <f>+$C$41*F36</f>
        <v>689375.13655582082</v>
      </c>
      <c r="G41" s="2">
        <f>+SUM(D41:F41)</f>
        <v>474860.94336232881</v>
      </c>
      <c r="H41" s="2"/>
      <c r="I41" s="2"/>
      <c r="J41" s="1"/>
      <c r="K41" s="1"/>
    </row>
    <row r="42" spans="2:9" ht="15">
      <c r="B42" t="s">
        <v>5</v>
      </c>
      <c r="C42" s="4">
        <f>+D49</f>
        <v>0.37496374229711582</v>
      </c>
      <c r="D42" s="2">
        <f>+$C$42*D36</f>
        <v>-154494.06095622684</v>
      </c>
      <c r="E42" s="2"/>
      <c r="F42" s="2">
        <f>+$C$42*F36</f>
        <v>496490.99103058025</v>
      </c>
      <c r="G42" s="2">
        <f>+SUM(D42:F42)</f>
        <v>341996.93007435341</v>
      </c>
      <c r="H42" s="2"/>
      <c r="I42" s="2"/>
    </row>
    <row r="43" spans="2:9" ht="15">
      <c r="B43" t="s">
        <v>6</v>
      </c>
      <c r="C43" s="4">
        <f>+D50</f>
        <v>0.10440106850640049</v>
      </c>
      <c r="D43" s="2">
        <f>+$C$43*D36</f>
        <v>-43015.745850281157</v>
      </c>
      <c r="E43" s="2"/>
      <c r="F43" s="2">
        <f>+$C$43*F36</f>
        <v>138237.8724135989</v>
      </c>
      <c r="G43" s="2">
        <f t="shared" si="8" ref="G43">+SUM(D43:F43)</f>
        <v>95222.126563317754</v>
      </c>
      <c r="H43" s="3"/>
      <c r="I43" s="3"/>
    </row>
    <row r="44" spans="4:9" ht="15.75" thickBot="1">
      <c r="D44" s="9">
        <f>SUM(D41:D43)</f>
        <v>-412023.99999999994</v>
      </c>
      <c r="E44" s="9">
        <f>SUM(E41:E43)</f>
        <v>0</v>
      </c>
      <c r="F44" s="9">
        <f>SUM(F41:F43)</f>
        <v>1324104</v>
      </c>
      <c r="G44" s="9">
        <f>+SUM(D44:F44)</f>
        <v>912080</v>
      </c>
      <c r="H44" s="2"/>
      <c r="I44" s="2"/>
    </row>
    <row r="45" ht="15.75" thickTop="1"/>
    <row r="46" spans="2:2" ht="15">
      <c r="B46" s="8" t="s">
        <v>7</v>
      </c>
    </row>
    <row r="47" spans="2:2" ht="15">
      <c r="B47" t="s">
        <v>3</v>
      </c>
    </row>
    <row r="48" spans="2:4" ht="15">
      <c r="B48" t="s">
        <v>16</v>
      </c>
      <c r="C48" s="2">
        <v>825587884</v>
      </c>
      <c r="D48" s="4">
        <f>C48/$C$51</f>
        <v>0.52063518919648366</v>
      </c>
    </row>
    <row r="49" spans="2:4" ht="15">
      <c r="B49" t="s">
        <v>17</v>
      </c>
      <c r="C49" s="2">
        <v>594592008</v>
      </c>
      <c r="D49" s="4">
        <f>C49/$C$51</f>
        <v>0.37496374229711582</v>
      </c>
    </row>
    <row r="50" spans="2:4" ht="15">
      <c r="B50" t="s">
        <v>18</v>
      </c>
      <c r="C50" s="2">
        <v>165552116</v>
      </c>
      <c r="D50" s="4">
        <f>C50/$C$51</f>
        <v>0.10440106850640049</v>
      </c>
    </row>
    <row r="51" spans="3:4" ht="15">
      <c r="C51" s="14">
        <f>SUM(C48:C50)</f>
        <v>1585732008</v>
      </c>
      <c r="D51" s="5">
        <f>SUM(D48:D50)</f>
        <v>1</v>
      </c>
    </row>
    <row r="53" spans="2:5" ht="15">
      <c r="B53" s="8" t="str">
        <f>+B29</f>
        <v>FT</v>
      </c>
      <c r="C53" s="8" t="s">
        <v>19</v>
      </c>
      <c r="E53" s="8"/>
    </row>
    <row r="56" spans="4:7" ht="15">
      <c r="D56" s="10" t="s">
        <v>23</v>
      </c>
      <c r="E56" s="10" t="s">
        <v>24</v>
      </c>
      <c r="F56" s="10" t="s">
        <v>25</v>
      </c>
      <c r="G56" s="10" t="s">
        <v>9</v>
      </c>
    </row>
    <row r="57" spans="2:12" ht="15">
      <c r="B57" s="8" t="s">
        <v>0</v>
      </c>
      <c r="D57" s="2">
        <v>-78718</v>
      </c>
      <c r="E57" s="2">
        <v>0</v>
      </c>
      <c r="F57" s="2">
        <v>1403214</v>
      </c>
      <c r="G57" s="2">
        <f>SUM(D57:F57)</f>
        <v>1324496</v>
      </c>
      <c r="L57" s="3"/>
    </row>
    <row r="58" spans="2:7" ht="15">
      <c r="B58" t="s">
        <v>1</v>
      </c>
      <c r="D58" s="2">
        <v>-28816</v>
      </c>
      <c r="E58" s="2"/>
      <c r="F58" s="2"/>
      <c r="G58" s="2">
        <f>D58</f>
        <v>-28816</v>
      </c>
    </row>
    <row r="59" spans="2:7" ht="15">
      <c r="B59" s="11" t="s">
        <v>2</v>
      </c>
      <c r="D59" s="2">
        <f>-286153-151</f>
        <v>-286304</v>
      </c>
      <c r="E59" s="2"/>
      <c r="F59" s="2"/>
      <c r="G59" s="2">
        <f t="shared" si="9" ref="G59:G60">D59</f>
        <v>-286304</v>
      </c>
    </row>
    <row r="60" spans="2:7" ht="15">
      <c r="B60" s="19" t="s">
        <v>30</v>
      </c>
      <c r="D60" s="2">
        <f>-63734-159</f>
        <v>-63893</v>
      </c>
      <c r="E60" s="2"/>
      <c r="F60" s="2"/>
      <c r="G60" s="2">
        <f t="shared" si="9"/>
        <v>-63893</v>
      </c>
    </row>
    <row r="61" spans="2:7" ht="15.75" thickBot="1">
      <c r="B61" t="s">
        <v>20</v>
      </c>
      <c r="D61" s="9">
        <f>SUM(D57:D60)</f>
        <v>-457731</v>
      </c>
      <c r="E61" s="9">
        <f t="shared" si="10" ref="E61:G61">SUM(E57:E60)</f>
        <v>0</v>
      </c>
      <c r="F61" s="9">
        <f t="shared" si="10"/>
        <v>1403214</v>
      </c>
      <c r="G61" s="9">
        <f t="shared" si="10"/>
        <v>945483</v>
      </c>
    </row>
    <row r="62" ht="15.75" thickTop="1"/>
    <row r="64" spans="2:7" ht="15">
      <c r="B64" s="8" t="s">
        <v>21</v>
      </c>
      <c r="C64" s="10" t="s">
        <v>8</v>
      </c>
      <c r="D64" s="10" t="s">
        <v>10</v>
      </c>
      <c r="E64" s="10" t="s">
        <v>11</v>
      </c>
      <c r="F64" s="10" t="s">
        <v>12</v>
      </c>
      <c r="G64" s="10" t="s">
        <v>13</v>
      </c>
    </row>
    <row r="65" spans="2:7" ht="15">
      <c r="B65" t="s">
        <v>4</v>
      </c>
      <c r="C65" s="4">
        <f>+D73</f>
        <v>0.55101805872641563</v>
      </c>
      <c r="D65" s="2">
        <f>+$C$65*D61</f>
        <v>-252218.04703890096</v>
      </c>
      <c r="E65" s="2">
        <v>0</v>
      </c>
      <c r="F65" s="2">
        <f>+$C$65*F61</f>
        <v>773196.25425772858</v>
      </c>
      <c r="G65" s="2">
        <f>+SUM(D65:F65)</f>
        <v>520978.20721882762</v>
      </c>
    </row>
    <row r="66" spans="2:7" ht="15">
      <c r="B66" t="s">
        <v>5</v>
      </c>
      <c r="C66" s="4">
        <f>+D74</f>
        <v>0.39385899622187581</v>
      </c>
      <c r="D66" s="2">
        <f>+$C$66*D61</f>
        <v>-180281.47219963543</v>
      </c>
      <c r="E66" s="2"/>
      <c r="F66" s="2">
        <f>+$C$66*F61</f>
        <v>552668.45752448321</v>
      </c>
      <c r="G66" s="2">
        <f>+SUM(D66:F66)</f>
        <v>372386.98532484774</v>
      </c>
    </row>
    <row r="67" spans="2:7" ht="15">
      <c r="B67" t="s">
        <v>6</v>
      </c>
      <c r="C67" s="4">
        <f>+D75</f>
        <v>0.055122945051708526</v>
      </c>
      <c r="D67" s="2">
        <f>+$C$67*D61</f>
        <v>-25231.480761463594</v>
      </c>
      <c r="E67" s="2"/>
      <c r="F67" s="2">
        <f>+$C$67*F61</f>
        <v>77349.288217788126</v>
      </c>
      <c r="G67" s="2">
        <f t="shared" si="11" ref="G67">+SUM(D67:F67)</f>
        <v>52117.807456324532</v>
      </c>
    </row>
    <row r="68" spans="4:9" ht="15.75" thickBot="1">
      <c r="D68" s="9">
        <f>SUM(D65:D67)</f>
        <v>-457730.99999999994</v>
      </c>
      <c r="E68" s="9">
        <f>SUM(E65:E67)</f>
        <v>0</v>
      </c>
      <c r="F68" s="9">
        <f>SUM(F65:F67)</f>
        <v>1403214</v>
      </c>
      <c r="G68" s="9">
        <f>+SUM(D68:F68)</f>
        <v>945483</v>
      </c>
      <c r="I68" s="3"/>
    </row>
    <row r="69" ht="15.75" thickTop="1"/>
    <row r="71" spans="2:2" ht="15">
      <c r="B71" s="8" t="s">
        <v>7</v>
      </c>
    </row>
    <row r="72" spans="2:2" ht="15">
      <c r="B72" t="s">
        <v>3</v>
      </c>
    </row>
    <row r="73" spans="2:4" ht="15">
      <c r="B73" s="11" t="s">
        <v>16</v>
      </c>
      <c r="C73" s="2">
        <v>923457676</v>
      </c>
      <c r="D73" s="4">
        <f>C73/$C$76</f>
        <v>0.55101805872641563</v>
      </c>
    </row>
    <row r="74" spans="2:4" ht="15">
      <c r="B74" s="11" t="s">
        <v>17</v>
      </c>
      <c r="C74" s="2">
        <v>660072946</v>
      </c>
      <c r="D74" s="4">
        <f>C74/$C$76</f>
        <v>0.39385899622187581</v>
      </c>
    </row>
    <row r="75" spans="2:4" ht="15">
      <c r="B75" s="11" t="s">
        <v>18</v>
      </c>
      <c r="C75" s="2">
        <v>92381195</v>
      </c>
      <c r="D75" s="4">
        <f>C75/$C$76</f>
        <v>0.055122945051708526</v>
      </c>
    </row>
    <row r="76" spans="3:4" ht="15">
      <c r="C76" s="14">
        <f>SUM(C73:C75)</f>
        <v>1675911817</v>
      </c>
      <c r="D76" s="5">
        <f>SUM(D73:D75)</f>
        <v>1</v>
      </c>
    </row>
    <row r="81" spans="12:12" ht="15">
      <c r="L81" s="3"/>
    </row>
  </sheetData>
  <pageMargins left="0.7" right="0.7" top="0.75" bottom="0.75" header="0.3" footer="0.3"/>
  <pageSetup orientation="portrait" r:id="rId1"/>
</worksheet>
</file>

<file path=customXml/item1.xml>��< ? x m l   v e r s i o n = " 1 . 0 "   e n c o d i n g = " u t f - 1 6 " ? >  
 < p r o p e r t i e s   x m l n s = " h t t p : / / w w w . i m a n a g e . c o m / w o r k / x m l s c h e m a " >  
     < d o c u m e n t i d > A C T I V E ! 1 6 2 0 3 1 7 5 . 1 < / d o c u m e n t i d >  
     < s e n d e r i d > K E A B E T < / s e n d e r i d >  
     < s e n d e r e m a i l > B K E A T I N G @ G U N S T E R . C O M < / s e n d e r e m a i l >  
     < l a s t m o d i f i e d > 2 0 2 2 - 1 0 - 1 0 T 1 3 : 2 8 : 2 1 . 0 0 0 0 0 0 0 - 0 4 : 0 0 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FPUC</vt:lpstr>
      <vt:lpstr>CFG</vt:lpstr>
      <vt:lpstr>FI</vt:lpstr>
      <vt:lpstr>FT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