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6" rupBuild="24326"/>
  <fileSharing readOnlyRecommended="1" userName="Aspose"/>
  <workbookPr defaultThemeVersion="166925"/>
  <mc:AlternateContent xmlns:mc="http://schemas.openxmlformats.org/markup-compatibility/2006">
    <mc:Choice Requires="x15">
      <x15ac:absPath xmlns:x15ac="http://schemas.microsoft.com/office/spreadsheetml/2010/11/ac" url="C:\Users\keabet\AppData\Roaming\iManage\Work\Recent\00033016-00025 Florida Public Utilities Co. - 2022 Rate Relief _ Consolidation Filing\"/>
    </mc:Choice>
  </mc:AlternateContent>
  <bookViews>
    <workbookView xWindow="-120" yWindow="-120" windowWidth="29040" windowHeight="15840" firstSheet="1" activeTab="1"/>
  </bookViews>
  <sheets>
    <sheet name="Input" sheetId="1" state="hidden" r:id="rId2"/>
    <sheet name="Index" sheetId="2" r:id="rId3"/>
    <sheet name="Sch. A" sheetId="3" r:id="rId4"/>
    <sheet name="Sch. B" sheetId="4" r:id="rId5"/>
    <sheet name="Sch. C" sheetId="5" r:id="rId6"/>
    <sheet name="Sch. D" sheetId="6" r:id="rId7"/>
    <sheet name="Sch. E" sheetId="44" r:id="rId8"/>
    <sheet name="Sch. F 2018" sheetId="21" r:id="rId9"/>
    <sheet name="Sch. F 2019" sheetId="22" r:id="rId10"/>
    <sheet name="Sch. F 2020" sheetId="23" r:id="rId11"/>
    <sheet name="Sch. F 2021" sheetId="24" r:id="rId12"/>
    <sheet name="Sch. F 2022" sheetId="25" r:id="rId13"/>
    <sheet name="Sch. F 2022 p2" sheetId="30" r:id="rId14"/>
    <sheet name="Sch. G 2018" sheetId="9" r:id="rId15"/>
    <sheet name="Sch. G 2018 - Notes" sheetId="32" r:id="rId16"/>
    <sheet name="Sch. G 2019" sheetId="10" r:id="rId17"/>
    <sheet name="Sch. G 2019 - Notes" sheetId="33" r:id="rId18"/>
    <sheet name="Sch. G 2020" sheetId="11" r:id="rId19"/>
    <sheet name="Sch. G 2020 - Notes" sheetId="34" r:id="rId20"/>
    <sheet name="Sch. G 2021" sheetId="12" r:id="rId21"/>
    <sheet name="Sch. G 2021 - Notes" sheetId="47" r:id="rId22"/>
    <sheet name="Sch. G 2022" sheetId="13" r:id="rId23"/>
    <sheet name="Sch. H" sheetId="15" r:id="rId24"/>
    <sheet name="Sch. I" sheetId="17" r:id="rId25"/>
    <sheet name="Sch. J" sheetId="19" r:id="rId26"/>
    <sheet name="Sch. K" sheetId="27" r:id="rId27"/>
    <sheet name="Sch. L" sheetId="35" r:id="rId28"/>
    <sheet name="Sch. M" sheetId="37" r:id="rId29"/>
    <sheet name="Sch. N" sheetId="46" r:id="rId30"/>
  </sheets>
  <externalReferences>
    <externalReference r:id="rId34"/>
    <externalReference r:id="rId35"/>
  </externalReferences>
  <definedNames>
    <definedName name="_101" localSheetId="6">#REF!</definedName>
    <definedName name="_101" localSheetId="20">#REF!</definedName>
    <definedName name="_101" localSheetId="28">#REF!</definedName>
    <definedName name="_101">#REF!</definedName>
    <definedName name="_108" localSheetId="6">#REF!</definedName>
    <definedName name="_108" localSheetId="20">#REF!</definedName>
    <definedName name="_108" localSheetId="28">#REF!</definedName>
    <definedName name="_108">#REF!</definedName>
    <definedName name="_xlnm._FilterDatabase" localSheetId="14" hidden="1">'Sch. G 2018 - Notes'!$A$6:$I$56</definedName>
    <definedName name="_xlnm._FilterDatabase" localSheetId="16" hidden="1">'Sch. G 2019 - Notes'!$A$6:$J$48</definedName>
    <definedName name="_xlnm._FilterDatabase" localSheetId="27" hidden="1">'Sch. M'!$A$6:$F$1040</definedName>
    <definedName name="_Order1" hidden="1">255</definedName>
    <definedName name="AD_BAL" localSheetId="6">#REF!</definedName>
    <definedName name="AD_BAL" localSheetId="20">#REF!</definedName>
    <definedName name="AD_BAL" localSheetId="28">#REF!</definedName>
    <definedName name="AD_BAL">#REF!</definedName>
    <definedName name="AD_BAL_dup" localSheetId="6">#REF!</definedName>
    <definedName name="AD_BAL_dup" localSheetId="20">#REF!</definedName>
    <definedName name="AD_BAL_dup" localSheetId="28">#REF!</definedName>
    <definedName name="AD_BAL_dup">#REF!</definedName>
    <definedName name="AD_BAL2" localSheetId="6">#REF!</definedName>
    <definedName name="AD_BAL2" localSheetId="20">#REF!</definedName>
    <definedName name="AD_BAL2" localSheetId="28">#REF!</definedName>
    <definedName name="AD_BAL2">#REF!</definedName>
    <definedName name="asdf" localSheetId="6">#REF!</definedName>
    <definedName name="asdf" localSheetId="20">#REF!</definedName>
    <definedName name="asdf" localSheetId="28">#REF!</definedName>
    <definedName name="asdf">#REF!</definedName>
    <definedName name="Assets" localSheetId="6">#REF!</definedName>
    <definedName name="Assets" localSheetId="20">#REF!</definedName>
    <definedName name="Assets" localSheetId="28">#REF!</definedName>
    <definedName name="Assets">#REF!</definedName>
    <definedName name="Department_Costs" localSheetId="6">#REF!</definedName>
    <definedName name="Department_Costs" localSheetId="20">#REF!</definedName>
    <definedName name="Department_Costs" localSheetId="28">#REF!</definedName>
    <definedName name="Department_Costs">#REF!</definedName>
    <definedName name="June">'[1]GL Balances'!$H$1:$I$46</definedName>
    <definedName name="monthly" localSheetId="6">#REF!</definedName>
    <definedName name="monthly" localSheetId="20">#REF!</definedName>
    <definedName name="monthly" localSheetId="28">#REF!</definedName>
    <definedName name="monthly">#REF!</definedName>
    <definedName name="Monthly_Dep" localSheetId="6">#REF!</definedName>
    <definedName name="Monthly_Dep" localSheetId="20">#REF!</definedName>
    <definedName name="Monthly_Dep" localSheetId="28">#REF!</definedName>
    <definedName name="Monthly_Dep">#REF!</definedName>
    <definedName name="MONTHLY_DEPR" localSheetId="6">#REF!</definedName>
    <definedName name="MONTHLY_DEPR" localSheetId="20">#REF!</definedName>
    <definedName name="MONTHLY_DEPR" localSheetId="28">#REF!</definedName>
    <definedName name="MONTHLY_DEPR">#REF!</definedName>
    <definedName name="O88o196">'Sch. M'!$O$88:$O$97</definedName>
    <definedName name="PLANT_BAL" localSheetId="6">#REF!</definedName>
    <definedName name="PLANT_BAL" localSheetId="20">#REF!</definedName>
    <definedName name="PLANT_BAL" localSheetId="28">#REF!</definedName>
    <definedName name="PLANT_BAL">#REF!</definedName>
    <definedName name="_xlnm.Print_Area" localSheetId="1">Index!$A$1:$B$35</definedName>
    <definedName name="_xlnm.Print_Area" localSheetId="6">'Sch. E'!$A$1:$I$44</definedName>
    <definedName name="_xlnm.Print_Area" localSheetId="7">'Sch. F 2018'!$1:$76</definedName>
    <definedName name="_xlnm.Print_Area" localSheetId="9">'Sch. F 2020'!$A$1:$BU$89</definedName>
    <definedName name="_xlnm.Print_Area" localSheetId="10">'Sch. F 2021'!$A$1:$BY$75</definedName>
    <definedName name="_xlnm.Print_Area" localSheetId="12">'Sch. F 2022 p2'!$A$1:$N$48</definedName>
    <definedName name="_xlnm.Print_Area" localSheetId="14">'Sch. G 2018 - Notes'!$A$1:$I$56</definedName>
    <definedName name="_xlnm.Print_Area" localSheetId="16">'Sch. G 2019 - Notes'!$A$1:$I$55</definedName>
    <definedName name="_xlnm.Print_Area" localSheetId="19">'Sch. G 2021'!$A$1:$S$48</definedName>
    <definedName name="_xlnm.Print_Area" localSheetId="21">'Sch. G 2022'!$A$1:$S$48</definedName>
    <definedName name="_xlnm.Print_Area" localSheetId="22">'Sch. H'!$A$1:$N$48</definedName>
    <definedName name="_xlnm.Print_Area" localSheetId="23">'Sch. I'!$A$1:$Q$48</definedName>
    <definedName name="_xlnm.Print_Area" localSheetId="24">'Sch. J'!$A$1:$P$48</definedName>
    <definedName name="_xlnm.Print_Area" localSheetId="25">'Sch. K'!$A$1:$Y$49</definedName>
    <definedName name="_xlnm.Print_Area" localSheetId="26">'Sch. L'!$A$2:$H$236</definedName>
    <definedName name="_xlnm.Print_Area" localSheetId="27">'Sch. M'!$A:$Q</definedName>
    <definedName name="_xlnm.Print_Area" localSheetId="28">'Sch. N'!$1:$46</definedName>
    <definedName name="_xlnm.Print_Titles" localSheetId="7">'Sch. F 2018'!$A:$B</definedName>
    <definedName name="_xlnm.Print_Titles" localSheetId="8">'Sch. F 2019'!$A:$B</definedName>
    <definedName name="_xlnm.Print_Titles" localSheetId="9">'Sch. F 2020'!$A:$B</definedName>
    <definedName name="_xlnm.Print_Titles" localSheetId="10">'Sch. F 2021'!$A:$B</definedName>
    <definedName name="_xlnm.Print_Titles" localSheetId="11">'Sch. F 2022'!$A:$B</definedName>
    <definedName name="_xlnm.Print_Titles" localSheetId="14">'Sch. G 2018 - Notes'!$1:$6</definedName>
    <definedName name="_xlnm.Print_Titles" localSheetId="16">'Sch. G 2019 - Notes'!$2:$6</definedName>
    <definedName name="_xlnm.Print_Titles" localSheetId="18">'Sch. G 2020 - Notes'!$1:$6</definedName>
    <definedName name="_xlnm.Print_Titles" localSheetId="20">'Sch. G 2021 - Notes'!$1:$6</definedName>
    <definedName name="_xlnm.Print_Titles" localSheetId="25">'Sch. K'!$A:$B,'Sch. K'!$1:$5</definedName>
    <definedName name="_xlnm.Print_Titles" localSheetId="26">'Sch. L'!$2:$6</definedName>
    <definedName name="_xlnm.Print_Titles" localSheetId="27">'Sch. M'!$2:$6</definedName>
    <definedName name="_xlnm.Print_Titles" localSheetId="28">'Sch. N'!$A:$B</definedName>
    <definedName name="RETIEMENTS" localSheetId="6">#REF!</definedName>
    <definedName name="RETIEMENTS" localSheetId="16">#REF!</definedName>
    <definedName name="RETIEMENTS" localSheetId="18">#REF!</definedName>
    <definedName name="RETIEMENTS" localSheetId="20">#REF!</definedName>
    <definedName name="RETIEMENTS" localSheetId="25">#REF!</definedName>
    <definedName name="RETIEMENTS" localSheetId="26">#REF!</definedName>
    <definedName name="RETIEMENTS" localSheetId="27">#REF!</definedName>
    <definedName name="RETIEMENTS" localSheetId="28">#REF!</definedName>
    <definedName name="RETIEMENTS">#REF!</definedName>
    <definedName name="Retire" localSheetId="6">#REF!</definedName>
    <definedName name="Retire" localSheetId="20">#REF!</definedName>
    <definedName name="Retire" localSheetId="28">#REF!</definedName>
    <definedName name="Retire">#REF!</definedName>
    <definedName name="Retirement" localSheetId="6">#REF!</definedName>
    <definedName name="Retirement" localSheetId="20">#REF!</definedName>
    <definedName name="Retirement" localSheetId="28">#REF!</definedName>
    <definedName name="Retirement">#REF!</definedName>
    <definedName name="RETIREMENTS" localSheetId="6">#REF!</definedName>
    <definedName name="RETIREMENTS" localSheetId="20">#REF!</definedName>
    <definedName name="RETIREMENTS" localSheetId="27">#REF!</definedName>
    <definedName name="RETIREMENTS" localSheetId="28">#REF!</definedName>
    <definedName name="RETIREMENTS">#REF!</definedName>
    <definedName name="tbl_wkday">[2]WEEKDAY!$A$1:$B$7</definedName>
    <definedName name="TRUEUP_BAL" localSheetId="6">#REF!</definedName>
    <definedName name="TRUEUP_BAL" localSheetId="20">#REF!</definedName>
    <definedName name="TRUEUP_BAL" localSheetId="28">#REF!</definedName>
    <definedName name="TRUEUP_BAL">#REF!</definedName>
    <definedName name="Trueup_Bal2" localSheetId="6">#REF!</definedName>
    <definedName name="Trueup_Bal2" localSheetId="20">#REF!</definedName>
    <definedName name="Trueup_Bal2" localSheetId="28">#REF!</definedName>
    <definedName name="Trueup_Bal2">#REF!</definedName>
    <definedName name="trupe" localSheetId="6">#REF!</definedName>
    <definedName name="trupe" localSheetId="20">#REF!</definedName>
    <definedName name="trupe" localSheetId="28">#REF!</definedName>
    <definedName name="trupe">#REF!</definedName>
    <definedName name="Z_E55A100F_8C50_470E_BA30_B84525F8DBF7_.wvu.Cols" localSheetId="25" hidden="1">'Sch. K'!#REF!</definedName>
    <definedName name="Z_E55A100F_8C50_470E_BA30_B84525F8DBF7_.wvu.PrintArea" localSheetId="25" hidden="1">'Sch. K'!$A$1:$N$49</definedName>
    <definedName name="Z_E55A100F_8C50_470E_BA30_B84525F8DBF7_.wvu.PrintArea" localSheetId="26" hidden="1">'Sch. L'!$A$7:$G$231</definedName>
    <definedName name="Z_E55A100F_8C50_470E_BA30_B84525F8DBF7_.wvu.PrintTitles" localSheetId="26" hidden="1">'Sch. L'!$2:$6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alcChain>
</file>

<file path=xl/sharedStrings.xml><?xml version="1.0" encoding="utf-8"?>
<sst xmlns="http://schemas.openxmlformats.org/spreadsheetml/2006/main" count="3864" uniqueCount="703">
  <si>
    <t xml:space="preserve">Depreciation Study Start Year: </t>
  </si>
  <si>
    <t>All Companies:</t>
  </si>
  <si>
    <t>Companies:</t>
  </si>
  <si>
    <t>FPUC</t>
  </si>
  <si>
    <t>FPUC - Common</t>
  </si>
  <si>
    <t>FPUC - Com</t>
  </si>
  <si>
    <t>FPUC - Indiantown</t>
  </si>
  <si>
    <t>FPUC - FI</t>
  </si>
  <si>
    <t>Florida Division of Chesapeake Utilities Corporation</t>
  </si>
  <si>
    <t>CFG</t>
  </si>
  <si>
    <t>FPUC - Ft Meade</t>
  </si>
  <si>
    <t>FPUC -FT</t>
  </si>
  <si>
    <t xml:space="preserve">2021 Pull Date As of </t>
  </si>
  <si>
    <t>Number of Months</t>
  </si>
  <si>
    <t xml:space="preserve">Actual through: </t>
  </si>
  <si>
    <t xml:space="preserve">Projected through: </t>
  </si>
  <si>
    <t>Revolutionary New E-GMP Platform</t>
  </si>
  <si>
    <t>The EV6 is our first vehicle to utilize our E-GMP architecture. Developed exclusively for our electric vehicles, it utilizes significant amounts of ultra-high-strength steel to provide a</t>
  </si>
  <si>
    <t xml:space="preserve"> </t>
  </si>
  <si>
    <t>Docket No.</t>
  </si>
  <si>
    <t>Description</t>
  </si>
  <si>
    <t>Comparison of Current and Proposed Depreciation 2018 - 2022</t>
  </si>
  <si>
    <t>A</t>
  </si>
  <si>
    <t>Comparison of Current and Proposed Depreciation Components</t>
  </si>
  <si>
    <t>B</t>
  </si>
  <si>
    <t>Comparison of Current and Proposed Depreciation Rate and Components</t>
  </si>
  <si>
    <t>C</t>
  </si>
  <si>
    <t>Comparison of Annual Depreciation Expenses</t>
  </si>
  <si>
    <t>D</t>
  </si>
  <si>
    <t>Comparison of Accumulated Book Reserve and Theoretical Reserve</t>
  </si>
  <si>
    <t>E</t>
  </si>
  <si>
    <t>Proposed Amortization of General Plant</t>
  </si>
  <si>
    <t>Aged Retirements 2018 - 2022</t>
  </si>
  <si>
    <t>F</t>
  </si>
  <si>
    <t>Aged Retirements</t>
  </si>
  <si>
    <t>Plant In Service and Reserve Summaries 2018 - 2022</t>
  </si>
  <si>
    <t>G</t>
  </si>
  <si>
    <t>Plant In Service and Reserve Summaries</t>
  </si>
  <si>
    <t>Projected Monthly Plant and Reserve 2022-2022</t>
  </si>
  <si>
    <t>H</t>
  </si>
  <si>
    <t>Projected Monthly Plant Additions</t>
  </si>
  <si>
    <t>I</t>
  </si>
  <si>
    <t>Projected Monthly Plant Balances</t>
  </si>
  <si>
    <t>J</t>
  </si>
  <si>
    <t>Projected Monthly Accruals</t>
  </si>
  <si>
    <t>Net Salvage Calculation</t>
  </si>
  <si>
    <t>K</t>
  </si>
  <si>
    <t>Net Salvage Percentage Computation</t>
  </si>
  <si>
    <t>Age Listings at 12/31/2022</t>
  </si>
  <si>
    <t>L</t>
  </si>
  <si>
    <t>Transportation Accounts Average Age Calculations</t>
  </si>
  <si>
    <t>M</t>
  </si>
  <si>
    <t>Average Age Calculations</t>
  </si>
  <si>
    <t>Adjustments to Reserves  2018-2022</t>
  </si>
  <si>
    <t>N</t>
  </si>
  <si>
    <t>Prior Years Reserve Adjustments</t>
  </si>
  <si>
    <t>FLORIDA PUBLIC UTILITIES - CONSOLIDATED NATURAL GAS</t>
  </si>
  <si>
    <t xml:space="preserve">2023 CONSOLIDATED NATURAL GAS DEPRECIATION STUDY   </t>
  </si>
  <si>
    <t>(Actual through 12/31/21 and Projected through 12/31/22)</t>
  </si>
  <si>
    <t>COMPARISON OF CURRENT AND PROPOSED DEPRECIATION COMPONENTS</t>
  </si>
  <si>
    <t>CURRENT CONSOLIDATED</t>
  </si>
  <si>
    <t>COMPANY PROPOSED - CONSOLIDATED</t>
  </si>
  <si>
    <t>STAFF RECOMMENDED - CONSOLIDATED</t>
  </si>
  <si>
    <t>CONSOLIDATED PLANT</t>
  </si>
  <si>
    <t xml:space="preserve">AVERAGE </t>
  </si>
  <si>
    <t>AVERAGE</t>
  </si>
  <si>
    <t>PROJECTED</t>
  </si>
  <si>
    <t>SERVICE</t>
  </si>
  <si>
    <t>REMAINING</t>
  </si>
  <si>
    <t>NET</t>
  </si>
  <si>
    <t>LIFE</t>
  </si>
  <si>
    <t>SAL</t>
  </si>
  <si>
    <t>AGE</t>
  </si>
  <si>
    <t>CURVE</t>
  </si>
  <si>
    <t>ACCOUNT - # / NAME</t>
  </si>
  <si>
    <t>INVESTMENT</t>
  </si>
  <si>
    <t>RESERVE</t>
  </si>
  <si>
    <t>(YRS.)</t>
  </si>
  <si>
    <t>(%)</t>
  </si>
  <si>
    <t>DISTRIBUTION PLANT</t>
  </si>
  <si>
    <t>Land Rights</t>
  </si>
  <si>
    <t>SQ</t>
  </si>
  <si>
    <t>Structures &amp; Improvements</t>
  </si>
  <si>
    <t>S4</t>
  </si>
  <si>
    <t>Mains - Plastic</t>
  </si>
  <si>
    <t>S3</t>
  </si>
  <si>
    <t>Mains - Steel</t>
  </si>
  <si>
    <t>376G</t>
  </si>
  <si>
    <t>Mains - GRIP</t>
  </si>
  <si>
    <t>Measuring and Regulating Equip. - General</t>
  </si>
  <si>
    <t>R3</t>
  </si>
  <si>
    <t>Measuring and Regulating Equipt. - City Gate</t>
  </si>
  <si>
    <t>Services - Plastic</t>
  </si>
  <si>
    <t>Services - Other</t>
  </si>
  <si>
    <t>S2</t>
  </si>
  <si>
    <t>380G</t>
  </si>
  <si>
    <t>Services - GRIP</t>
  </si>
  <si>
    <t>Meters</t>
  </si>
  <si>
    <t>Meters - AMR Equipment</t>
  </si>
  <si>
    <t>Meter Installations</t>
  </si>
  <si>
    <t>Meter Installations - MTU/DCU</t>
  </si>
  <si>
    <t>House Regulators</t>
  </si>
  <si>
    <t>R4</t>
  </si>
  <si>
    <t>House Regulator Installations</t>
  </si>
  <si>
    <t>Indus. Meas. &amp; Reg. Station Equip</t>
  </si>
  <si>
    <t>Other Equipment</t>
  </si>
  <si>
    <t> </t>
  </si>
  <si>
    <t>GENERAL PLANT</t>
  </si>
  <si>
    <t>Structures &amp; Improvemts.</t>
  </si>
  <si>
    <t>Office Equipment</t>
  </si>
  <si>
    <t>14 Year Amortization</t>
  </si>
  <si>
    <t>Computer Hardware</t>
  </si>
  <si>
    <t>10 Year Amortization</t>
  </si>
  <si>
    <t>Office Furniture</t>
  </si>
  <si>
    <t>20 Year Amortization</t>
  </si>
  <si>
    <t>Computer Software</t>
  </si>
  <si>
    <t>Transportation - Cars</t>
  </si>
  <si>
    <t>Transportation - Light Trucks &amp; Vans</t>
  </si>
  <si>
    <t>Transportation - Heavy Trucks</t>
  </si>
  <si>
    <t>Transportation - Other</t>
  </si>
  <si>
    <t>Stores Equipment</t>
  </si>
  <si>
    <t>26 Year Amortization</t>
  </si>
  <si>
    <t>Tools, Shop &amp; Garage Equipment</t>
  </si>
  <si>
    <t>15 Year Amortization</t>
  </si>
  <si>
    <t>Laboratory Equipment</t>
  </si>
  <si>
    <t>Power Operated Equipment</t>
  </si>
  <si>
    <t>Communication Equipment</t>
  </si>
  <si>
    <t>13 Year Amortization</t>
  </si>
  <si>
    <t>Miscellaneous Equipment</t>
  </si>
  <si>
    <t>17 Year Amortization</t>
  </si>
  <si>
    <t>Miscellaneous Tangible</t>
  </si>
  <si>
    <t xml:space="preserve">5 Year Amortization   </t>
  </si>
  <si>
    <t>5 Year Amortization</t>
  </si>
  <si>
    <t>Total General Plant</t>
  </si>
  <si>
    <t>Total Plant</t>
  </si>
  <si>
    <t>COMPARISON OF RATES AND COMPONENTS</t>
  </si>
  <si>
    <t>CURRENT - CONSOLIDATED</t>
  </si>
  <si>
    <t>STAFF PROPOSED - CONSOLIDATED</t>
  </si>
  <si>
    <t>RATE</t>
  </si>
  <si>
    <t>Measuring and Regulating Equip. - City Gate</t>
  </si>
  <si>
    <t>Structures &amp; Improvements.</t>
  </si>
  <si>
    <t xml:space="preserve">Computer Hardware </t>
  </si>
  <si>
    <t xml:space="preserve">   5 Year Amortization   </t>
  </si>
  <si>
    <t>COMPARISON OF ANNUAL DEPRECIATION EXPENSE</t>
  </si>
  <si>
    <t>CHANGE</t>
  </si>
  <si>
    <t>EXPENSES</t>
  </si>
  <si>
    <t>IN EXPENSES</t>
  </si>
  <si>
    <t>($)</t>
  </si>
  <si>
    <t>Inventory Adjustment</t>
  </si>
  <si>
    <t>COMPARISON OF ACCUMULATED BOOK RESERVE AND THEORETICAL RESERVE</t>
  </si>
  <si>
    <t>PROPOSED RATES</t>
  </si>
  <si>
    <t>THEORETICAL</t>
  </si>
  <si>
    <t xml:space="preserve">THEORETICAL </t>
  </si>
  <si>
    <t xml:space="preserve">IMBALANCE </t>
  </si>
  <si>
    <t>WLR</t>
  </si>
  <si>
    <t>ARL</t>
  </si>
  <si>
    <t>SALV</t>
  </si>
  <si>
    <t>(YEARS)</t>
  </si>
  <si>
    <t>REVISED</t>
  </si>
  <si>
    <t>ANNUAL</t>
  </si>
  <si>
    <t>AMORTIZATION</t>
  </si>
  <si>
    <t>%</t>
  </si>
  <si>
    <t>IMBALANCE</t>
  </si>
  <si>
    <t>RESERVES</t>
  </si>
  <si>
    <t>REVISED GENERAL PLANT AMORTIZATION TRUE-UP</t>
  </si>
  <si>
    <t>GENERAL PLANT  DEPRECIATION COMPONENTS (1/1/2023)</t>
  </si>
  <si>
    <t>REVISED THEORETICAL RESERVE AT 1/1/2023</t>
  </si>
  <si>
    <t>BOOK</t>
  </si>
  <si>
    <t>PERIOD (YRS.)</t>
  </si>
  <si>
    <t>YEAR</t>
  </si>
  <si>
    <t>WT AVG</t>
  </si>
  <si>
    <t>TOTAL</t>
  </si>
  <si>
    <t>FC</t>
  </si>
  <si>
    <t>FT</t>
  </si>
  <si>
    <t>FN</t>
  </si>
  <si>
    <t>Total</t>
  </si>
  <si>
    <t>land</t>
  </si>
  <si>
    <t>PLANT IN SERVICE</t>
  </si>
  <si>
    <t>Plant</t>
  </si>
  <si>
    <t>Actual</t>
  </si>
  <si>
    <t>Projected</t>
  </si>
  <si>
    <t>Account</t>
  </si>
  <si>
    <t>January</t>
  </si>
  <si>
    <t>February</t>
  </si>
  <si>
    <t>March</t>
  </si>
  <si>
    <t>April</t>
  </si>
  <si>
    <t>May</t>
  </si>
  <si>
    <t>June</t>
  </si>
  <si>
    <t>July</t>
  </si>
  <si>
    <t>August</t>
  </si>
  <si>
    <t>September</t>
  </si>
  <si>
    <t>October</t>
  </si>
  <si>
    <t>November</t>
  </si>
  <si>
    <t>December</t>
  </si>
  <si>
    <t>Retirements</t>
  </si>
  <si>
    <t>3020</t>
  </si>
  <si>
    <t>3030</t>
  </si>
  <si>
    <t>3740</t>
  </si>
  <si>
    <t>3750</t>
  </si>
  <si>
    <t>3780</t>
  </si>
  <si>
    <t>3790</t>
  </si>
  <si>
    <t>3810</t>
  </si>
  <si>
    <t>3820</t>
  </si>
  <si>
    <t>3830</t>
  </si>
  <si>
    <t>3840</t>
  </si>
  <si>
    <t>3850</t>
  </si>
  <si>
    <t>3870</t>
  </si>
  <si>
    <t>3890</t>
  </si>
  <si>
    <t>3900</t>
  </si>
  <si>
    <t>3930</t>
  </si>
  <si>
    <t>3940</t>
  </si>
  <si>
    <t>3950</t>
  </si>
  <si>
    <t>3960</t>
  </si>
  <si>
    <t>3970</t>
  </si>
  <si>
    <t>3980</t>
  </si>
  <si>
    <t>3990</t>
  </si>
  <si>
    <t>REPORT OF DEPRECIATION DATA UNDER RULE 25-6.0436(8)</t>
  </si>
  <si>
    <t>RESERVE (CREDIT BALANCES)</t>
  </si>
  <si>
    <t>Beginning</t>
  </si>
  <si>
    <t>Reclassi-</t>
  </si>
  <si>
    <t>Ending</t>
  </si>
  <si>
    <t>Gross</t>
  </si>
  <si>
    <t>Cost of</t>
  </si>
  <si>
    <t>Balance</t>
  </si>
  <si>
    <t>Additions</t>
  </si>
  <si>
    <t>fications</t>
  </si>
  <si>
    <t>Adjustments</t>
  </si>
  <si>
    <t>Transfers</t>
  </si>
  <si>
    <t>Accruals</t>
  </si>
  <si>
    <t>Salvage</t>
  </si>
  <si>
    <t>Removal</t>
  </si>
  <si>
    <t>2018 Notes</t>
  </si>
  <si>
    <t xml:space="preserve"> Schedule </t>
  </si>
  <si>
    <t xml:space="preserve"> Column </t>
  </si>
  <si>
    <t xml:space="preserve"> Account </t>
  </si>
  <si>
    <t xml:space="preserve"> Cell Address </t>
  </si>
  <si>
    <t>Cons.</t>
  </si>
  <si>
    <t xml:space="preserve"> ADSR Reported </t>
  </si>
  <si>
    <t xml:space="preserve"> Variance </t>
  </si>
  <si>
    <t xml:space="preserve"> Explanation </t>
  </si>
  <si>
    <t>Plant In Service</t>
  </si>
  <si>
    <t>Beginning Balance</t>
  </si>
  <si>
    <t>B11</t>
  </si>
  <si>
    <t>C11</t>
  </si>
  <si>
    <t>K11</t>
  </si>
  <si>
    <t>L11</t>
  </si>
  <si>
    <t>C15</t>
  </si>
  <si>
    <t>F15</t>
  </si>
  <si>
    <t>COR</t>
  </si>
  <si>
    <t>P20</t>
  </si>
  <si>
    <t>Q20</t>
  </si>
  <si>
    <t>C21</t>
  </si>
  <si>
    <t>F21</t>
  </si>
  <si>
    <t>Reserves</t>
  </si>
  <si>
    <t>P22</t>
  </si>
  <si>
    <t>Q22</t>
  </si>
  <si>
    <t>B24</t>
  </si>
  <si>
    <t>B45</t>
  </si>
  <si>
    <t>K24</t>
  </si>
  <si>
    <t>K45</t>
  </si>
  <si>
    <t>L24</t>
  </si>
  <si>
    <t>L45</t>
  </si>
  <si>
    <t>P25</t>
  </si>
  <si>
    <t>Q25</t>
  </si>
  <si>
    <t>B36</t>
  </si>
  <si>
    <t>C36</t>
  </si>
  <si>
    <t>K36</t>
  </si>
  <si>
    <t>L36</t>
  </si>
  <si>
    <t>B43</t>
  </si>
  <si>
    <t>B44</t>
  </si>
  <si>
    <t>L46</t>
  </si>
  <si>
    <t>Q46</t>
  </si>
  <si>
    <t>D37</t>
  </si>
  <si>
    <t>E37</t>
  </si>
  <si>
    <t>M37</t>
  </si>
  <si>
    <t>N37</t>
  </si>
  <si>
    <t>Q37</t>
  </si>
  <si>
    <t>R37</t>
  </si>
  <si>
    <t>C38</t>
  </si>
  <si>
    <t>D38</t>
  </si>
  <si>
    <t>E38</t>
  </si>
  <si>
    <t>L38</t>
  </si>
  <si>
    <t>M38</t>
  </si>
  <si>
    <t>N38</t>
  </si>
  <si>
    <t>Q38</t>
  </si>
  <si>
    <t>R38</t>
  </si>
  <si>
    <t>K39</t>
  </si>
  <si>
    <t>Q39</t>
  </si>
  <si>
    <t>R39</t>
  </si>
  <si>
    <t>C40</t>
  </si>
  <si>
    <t>E40</t>
  </si>
  <si>
    <t>K40</t>
  </si>
  <si>
    <t>Q40</t>
  </si>
  <si>
    <t>R40</t>
  </si>
  <si>
    <t>2019 Notes</t>
  </si>
  <si>
    <t>Q11</t>
  </si>
  <si>
    <t>D15</t>
  </si>
  <si>
    <t>N15</t>
  </si>
  <si>
    <t>D17</t>
  </si>
  <si>
    <t>N17</t>
  </si>
  <si>
    <t>D23</t>
  </si>
  <si>
    <t>F23</t>
  </si>
  <si>
    <t>L23</t>
  </si>
  <si>
    <t>N23</t>
  </si>
  <si>
    <t>Q23</t>
  </si>
  <si>
    <t>D27</t>
  </si>
  <si>
    <t>F27</t>
  </si>
  <si>
    <t>L27</t>
  </si>
  <si>
    <t>N27</t>
  </si>
  <si>
    <t>Q27</t>
  </si>
  <si>
    <t>N32</t>
  </si>
  <si>
    <t>L33</t>
  </si>
  <si>
    <t>Q33</t>
  </si>
  <si>
    <t>L34</t>
  </si>
  <si>
    <t>Q34</t>
  </si>
  <si>
    <t>K35</t>
  </si>
  <si>
    <t>L35</t>
  </si>
  <si>
    <t>N35</t>
  </si>
  <si>
    <t>Q35</t>
  </si>
  <si>
    <t>Q36</t>
  </si>
  <si>
    <t>L42</t>
  </si>
  <si>
    <t>Q42</t>
  </si>
  <si>
    <t>Q45</t>
  </si>
  <si>
    <t>2020 Notes</t>
  </si>
  <si>
    <t xml:space="preserve">  ADSR Reported </t>
  </si>
  <si>
    <t>C35</t>
  </si>
  <si>
    <t>C37</t>
  </si>
  <si>
    <t>R35</t>
  </si>
  <si>
    <t>check</t>
  </si>
  <si>
    <t>Prior Years</t>
  </si>
  <si>
    <t>Net</t>
  </si>
  <si>
    <t>Plant Adj.</t>
  </si>
  <si>
    <t>Rate</t>
  </si>
  <si>
    <t>ACCT</t>
  </si>
  <si>
    <t>DESCRIPTION</t>
  </si>
  <si>
    <t>Organization</t>
  </si>
  <si>
    <t>Miscellaneous Intangible Plant</t>
  </si>
  <si>
    <t>Land</t>
  </si>
  <si>
    <t>Mains - Other</t>
  </si>
  <si>
    <t>Meas. &amp; Reg. Station Equip - General</t>
  </si>
  <si>
    <t>Meas. &amp; Reg. Station Equip - City Gate</t>
  </si>
  <si>
    <t>Regulators</t>
  </si>
  <si>
    <t>Regulator Installations</t>
  </si>
  <si>
    <t>Indust. Meas. &amp; Reg. Station Equip.</t>
  </si>
  <si>
    <t>Land &amp; Land Rights</t>
  </si>
  <si>
    <t>Computer Equipment</t>
  </si>
  <si>
    <t>Transportation - Heavy Trucks &amp; Vans</t>
  </si>
  <si>
    <t>Transportation - Trailers</t>
  </si>
  <si>
    <t>Communications Equipment</t>
  </si>
  <si>
    <t>Other Tangible Property</t>
  </si>
  <si>
    <t xml:space="preserve">       TOTALS</t>
  </si>
  <si>
    <t>ACCT.</t>
  </si>
  <si>
    <t>RET.</t>
  </si>
  <si>
    <t>Net Salvage Percentages</t>
  </si>
  <si>
    <t>(Negative Percentage Indicates Negative Salvage)</t>
  </si>
  <si>
    <t>- - - -  5 Year Total - - - -</t>
  </si>
  <si>
    <t>- - - -  Adj. 5 Year Total - - - -</t>
  </si>
  <si>
    <t>NET SAL.</t>
  </si>
  <si>
    <t>TOTAL NET</t>
  </si>
  <si>
    <t>SAL. - (COR)</t>
  </si>
  <si>
    <t>NET SAL. %</t>
  </si>
  <si>
    <t>CO.</t>
  </si>
  <si>
    <t>ACCOUNT</t>
  </si>
  <si>
    <t>ASSET DESCRIPTION</t>
  </si>
  <si>
    <t>VINTAGE</t>
  </si>
  <si>
    <t>BASIS</t>
  </si>
  <si>
    <t>WEIGHT</t>
  </si>
  <si>
    <t>2011 Ford Fusion SD</t>
  </si>
  <si>
    <t>2012 Toyota Camry</t>
  </si>
  <si>
    <t>2019 Chevy Silverado</t>
  </si>
  <si>
    <t>2020 Chevy Silverado</t>
  </si>
  <si>
    <t>2011 Toyota Camry - Common</t>
  </si>
  <si>
    <t>2014 Toyota Avalon - Common</t>
  </si>
  <si>
    <t>2015 Toyota Camry</t>
  </si>
  <si>
    <t>2018 FORD ESCAPE</t>
  </si>
  <si>
    <t>2018 GMC Sierra</t>
  </si>
  <si>
    <t>2018 FORD EDGE</t>
  </si>
  <si>
    <t>2018 CHEV. EQUINOX</t>
  </si>
  <si>
    <t>2018 Ford Escape</t>
  </si>
  <si>
    <t>2020 Subaru Ascent</t>
  </si>
  <si>
    <t>FC - Salvage Closed out to Plant Instead of Reserves</t>
  </si>
  <si>
    <t xml:space="preserve">2005 CHEVY C5500                   </t>
  </si>
  <si>
    <t>2006 Chevy Silverado Ext Cab</t>
  </si>
  <si>
    <t>2006 GMC Sierra Ext Cab</t>
  </si>
  <si>
    <t>2007 GMC 2500 Ext Cab</t>
  </si>
  <si>
    <t>2007 GMC Sierra Ext Cab</t>
  </si>
  <si>
    <t>2007 Chevy Colorado</t>
  </si>
  <si>
    <t>2009 GMC 5500</t>
  </si>
  <si>
    <t>2008 Ford Ranger</t>
  </si>
  <si>
    <t>2009 GMC C5500 Dump Truck</t>
  </si>
  <si>
    <t>2010 Chevy 2500 Cargo Van</t>
  </si>
  <si>
    <t>2010 Chevy Silverado</t>
  </si>
  <si>
    <t>2010 Ford F-150</t>
  </si>
  <si>
    <t>2011 GMC Savana Pro 2500</t>
  </si>
  <si>
    <t>2011 Chevy Silverado</t>
  </si>
  <si>
    <t>2011 Chevy Silverado 2500</t>
  </si>
  <si>
    <t>2012 Ford F550</t>
  </si>
  <si>
    <t>2011 Ford Ranger</t>
  </si>
  <si>
    <t>2012 Ford F-150</t>
  </si>
  <si>
    <t>2013 Ford F-150</t>
  </si>
  <si>
    <t>2012 Chevy Silverado</t>
  </si>
  <si>
    <t>2013 FORD F150</t>
  </si>
  <si>
    <t>2013  Ford F-150</t>
  </si>
  <si>
    <t>2013 GMC Savana</t>
  </si>
  <si>
    <t xml:space="preserve">2013  GMC Savana </t>
  </si>
  <si>
    <t>2013 FORD F-550</t>
  </si>
  <si>
    <t>2013 Toyota Tundra</t>
  </si>
  <si>
    <t>2014 GMC Savana 2500</t>
  </si>
  <si>
    <t>2013 Toyota Tacoma</t>
  </si>
  <si>
    <t>2013 Chevy Express 2500</t>
  </si>
  <si>
    <t>2015 GMC SAVANA 2500</t>
  </si>
  <si>
    <t>2015 Ford F550 4X2</t>
  </si>
  <si>
    <t>2014 Ford F150</t>
  </si>
  <si>
    <t>2015 GMC SAVANA PRO</t>
  </si>
  <si>
    <t>2014 Ford F-150</t>
  </si>
  <si>
    <t>2014 Toyota Tacoma</t>
  </si>
  <si>
    <t xml:space="preserve">2015 FORD F-550             </t>
  </si>
  <si>
    <t>2015 F-150</t>
  </si>
  <si>
    <t>2015 GMC Savana Pro 2500</t>
  </si>
  <si>
    <t>2015 Chevy Silverado</t>
  </si>
  <si>
    <t xml:space="preserve">2015 FORD F-150 4X2 SU             </t>
  </si>
  <si>
    <t xml:space="preserve">2015 GMC  SAVANA 2500              </t>
  </si>
  <si>
    <t>2016 Ford F-550</t>
  </si>
  <si>
    <t xml:space="preserve">2016 JEEP GRAND CHEROK             </t>
  </si>
  <si>
    <t>2016 Ford Transit Van</t>
  </si>
  <si>
    <t xml:space="preserve">2016 FORD F-150 4X4 SU             </t>
  </si>
  <si>
    <t>2017 Ford F550</t>
  </si>
  <si>
    <t>2017 Ford F350</t>
  </si>
  <si>
    <t>2018 Chev Express</t>
  </si>
  <si>
    <t>2018 FORD TRANSIT VAN</t>
  </si>
  <si>
    <t>2018 FORD TRANSIT VAN Repairs</t>
  </si>
  <si>
    <t>2018 Ford F-350</t>
  </si>
  <si>
    <t>2018 FORD F-150</t>
  </si>
  <si>
    <t>2019 GMC 3500</t>
  </si>
  <si>
    <t>2015 Chevy Silverado - New Transmission</t>
  </si>
  <si>
    <t>2014 Chevy Silverado - New Cover</t>
  </si>
  <si>
    <t>2020 Chevrolet Silverado 1500</t>
  </si>
  <si>
    <t>2020 Chevy Express Van</t>
  </si>
  <si>
    <t>2020 GMC KUV Van</t>
  </si>
  <si>
    <t>2020 Ford F-150</t>
  </si>
  <si>
    <t>2012 Ford F-550 - Engine Replacement</t>
  </si>
  <si>
    <t>2021 Dodge Ram 1500</t>
  </si>
  <si>
    <t>2021 GMC Sierra 1500</t>
  </si>
  <si>
    <t>2021 GMC Sierra 3500</t>
  </si>
  <si>
    <t>Engine for Truck 823</t>
  </si>
  <si>
    <t>Engine for Van 252</t>
  </si>
  <si>
    <t>2022 Ford E-350 KUV</t>
  </si>
  <si>
    <t>2021 Ford F-150</t>
  </si>
  <si>
    <t>2021 Ford F-250</t>
  </si>
  <si>
    <t>Transmission for Truck 357</t>
  </si>
  <si>
    <t>2001 Chevy Cab and Chassis</t>
  </si>
  <si>
    <t>2004 Ford F550 Covered Utility</t>
  </si>
  <si>
    <t>2009 Chevy Trailblazer</t>
  </si>
  <si>
    <t>2011 Ford F-150</t>
  </si>
  <si>
    <t>2011 GMC Sierra</t>
  </si>
  <si>
    <t>2012 Toyota RAV4</t>
  </si>
  <si>
    <t xml:space="preserve">2014 Ford F-150 </t>
  </si>
  <si>
    <t>2015 Ford F-150</t>
  </si>
  <si>
    <t>2016 Chevy Silverado</t>
  </si>
  <si>
    <t>2017 Ford F-250 SD</t>
  </si>
  <si>
    <t>Roll Lock Bed Cover for 2012 Ford F-150</t>
  </si>
  <si>
    <t>2021 Dodge RAM 1500</t>
  </si>
  <si>
    <t>2013 Chevrolet Traverse</t>
  </si>
  <si>
    <t>2014 Ford Edge</t>
  </si>
  <si>
    <t>2013 Ford Escape</t>
  </si>
  <si>
    <t>2014 Chevy Traverse</t>
  </si>
  <si>
    <t>2014 Chevy Silverado 1500</t>
  </si>
  <si>
    <t>2015 Subaru Outback</t>
  </si>
  <si>
    <t>2017 Chevrolet Traverse</t>
  </si>
  <si>
    <t>2017 Chevrolet Silverado</t>
  </si>
  <si>
    <t>2017 Ford Explorer</t>
  </si>
  <si>
    <t>2017 GMC Acadia</t>
  </si>
  <si>
    <t>2016 Ford Explorer</t>
  </si>
  <si>
    <t>2020 Jeep Grand Cherokee</t>
  </si>
  <si>
    <t>2018 Ford Explorer</t>
  </si>
  <si>
    <t>FN - Generator recorded in transportation</t>
  </si>
  <si>
    <t>FN - Forklift Recorded in Transportation</t>
  </si>
  <si>
    <t>FN - Salvage Closed out to Plant Instead of Reserves</t>
  </si>
  <si>
    <t>1994 BACKHOE TRAILER</t>
  </si>
  <si>
    <t>1994</t>
  </si>
  <si>
    <t>2003 Belshe Trailer</t>
  </si>
  <si>
    <t>2004</t>
  </si>
  <si>
    <t>2006 Wells Cargo Enclosed Trailer</t>
  </si>
  <si>
    <t>2006</t>
  </si>
  <si>
    <t>2007 Wells Cargo Enclosed Trailer</t>
  </si>
  <si>
    <t>2007</t>
  </si>
  <si>
    <t>2007 DUMP TRAILER - 6X10 LR</t>
  </si>
  <si>
    <t>2010 Hudson HTD18D</t>
  </si>
  <si>
    <t>2010 F-150 engine replacement</t>
  </si>
  <si>
    <t>2014 HORTON HY610SA TRAILER</t>
  </si>
  <si>
    <t>2015 T61265 Express</t>
  </si>
  <si>
    <t>1993 Pace Enclosed Trailer</t>
  </si>
  <si>
    <t>Trailer-Freedom 6x12 Tandem Axel (7k GVW)</t>
  </si>
  <si>
    <t>Variance</t>
  </si>
  <si>
    <t>Due to Rounding</t>
  </si>
  <si>
    <t>Projected - Aged Vehicle Listing</t>
  </si>
  <si>
    <t>2021 Actual Total</t>
  </si>
  <si>
    <t>2022 Projected Additions</t>
  </si>
  <si>
    <t>2022 Projected Retirements</t>
  </si>
  <si>
    <t>Prior Years Corrections Recorded 2022</t>
  </si>
  <si>
    <t>Various</t>
  </si>
  <si>
    <t>Summary</t>
  </si>
  <si>
    <t>Amount</t>
  </si>
  <si>
    <t>INSTALL YEAR</t>
  </si>
  <si>
    <t>CORP BOOK COST BASIS</t>
  </si>
  <si>
    <t>Struc&amp;Impr</t>
  </si>
  <si>
    <t>Mains PL</t>
  </si>
  <si>
    <t>Mains ST</t>
  </si>
  <si>
    <t>Mains GRIP</t>
  </si>
  <si>
    <t>M&amp;R Stat Eq-Gen</t>
  </si>
  <si>
    <t>1983</t>
  </si>
  <si>
    <t>2001</t>
  </si>
  <si>
    <t>2002</t>
  </si>
  <si>
    <t>2005</t>
  </si>
  <si>
    <t>2008</t>
  </si>
  <si>
    <t>2009</t>
  </si>
  <si>
    <t>2010</t>
  </si>
  <si>
    <t>2011</t>
  </si>
  <si>
    <t>2012</t>
  </si>
  <si>
    <t>2013</t>
  </si>
  <si>
    <t>2014</t>
  </si>
  <si>
    <t>2015</t>
  </si>
  <si>
    <t>2016</t>
  </si>
  <si>
    <t>2017</t>
  </si>
  <si>
    <t>2018</t>
  </si>
  <si>
    <t>2019</t>
  </si>
  <si>
    <t>2020</t>
  </si>
  <si>
    <t>2021</t>
  </si>
  <si>
    <t>M&amp;R Stat Eq-CGate</t>
  </si>
  <si>
    <t>Services PL</t>
  </si>
  <si>
    <t>Services ST</t>
  </si>
  <si>
    <t>Services GRIP</t>
  </si>
  <si>
    <t>Meters-MTU/DCU</t>
  </si>
  <si>
    <t>Meter Installs</t>
  </si>
  <si>
    <t>Meter Installs-MTU/DCU</t>
  </si>
  <si>
    <t>House Reg</t>
  </si>
  <si>
    <t>House Reg Installs</t>
  </si>
  <si>
    <t>M&amp;R Stat Eq-Ind</t>
  </si>
  <si>
    <t>Other Eq</t>
  </si>
  <si>
    <t>Offc Furn &amp; Eq</t>
  </si>
  <si>
    <t>Comp Hdwr</t>
  </si>
  <si>
    <t>Furn &amp; Fix</t>
  </si>
  <si>
    <t>Sys Sftwr</t>
  </si>
  <si>
    <t>Stores Equip</t>
  </si>
  <si>
    <t>Tools/Shop Eq</t>
  </si>
  <si>
    <t>Pwr Op Equip</t>
  </si>
  <si>
    <t>Comm Eq</t>
  </si>
  <si>
    <t>Misc Equip</t>
  </si>
  <si>
    <t>Projected Average Age Calculations</t>
  </si>
  <si>
    <t>CORRECTION TO PLANT</t>
  </si>
  <si>
    <t>CORRECTION TO RETIREMENTS</t>
  </si>
  <si>
    <t>TRANSPORTATION ADJ</t>
  </si>
  <si>
    <t>COR W/O RET ADJ</t>
  </si>
  <si>
    <t>FC GP RECLASS AND RET</t>
  </si>
  <si>
    <t>ADJUSTED COST BASIS</t>
  </si>
  <si>
    <t>ADJUSTED AGE</t>
  </si>
  <si>
    <t>ADJUSTED WEIGHT</t>
  </si>
  <si>
    <t>2022 Projected Total</t>
  </si>
  <si>
    <t>Prior Period Adjustments Included in Projected Reserves 2022 Balances</t>
  </si>
  <si>
    <t>BAL @ 12/31/2021</t>
  </si>
  <si>
    <t>FN Adj. 2018</t>
  </si>
  <si>
    <t>FN Adj. 2019</t>
  </si>
  <si>
    <t>FN Adj. 2020</t>
  </si>
  <si>
    <t>FN Adj. 2021</t>
  </si>
  <si>
    <t>FN Adj. 
Total</t>
  </si>
  <si>
    <t>CFG Adj. 2018</t>
  </si>
  <si>
    <t>CFG Adj. 2019</t>
  </si>
  <si>
    <t>CFG Adj. 2020</t>
  </si>
  <si>
    <t>CFG Adj. 2021</t>
  </si>
  <si>
    <t>CFG Adj. 
Total</t>
  </si>
  <si>
    <t>FC Adj. 2018</t>
  </si>
  <si>
    <t>FC Adj. 2019</t>
  </si>
  <si>
    <t>FC Adj. 2020</t>
  </si>
  <si>
    <t>FC Adj. 2021</t>
  </si>
  <si>
    <t>FC Adj. 
Total</t>
  </si>
  <si>
    <t>FI Adj. 2018</t>
  </si>
  <si>
    <t>FI Adj. 2019</t>
  </si>
  <si>
    <t>FI Adj. 2020</t>
  </si>
  <si>
    <t>FI Adj. 2021</t>
  </si>
  <si>
    <t>FI Adj. 
Total</t>
  </si>
  <si>
    <t>FT Adj. 2018</t>
  </si>
  <si>
    <t>FT Adj. 2019</t>
  </si>
  <si>
    <t>FT Adj. 2020</t>
  </si>
  <si>
    <t>FT Adj. 2021</t>
  </si>
  <si>
    <t>FT Adj. 
Total</t>
  </si>
  <si>
    <t>Total Adj.</t>
  </si>
  <si>
    <t>ADJ BAL @ 12/31/2021</t>
  </si>
  <si>
    <t>G11</t>
  </si>
  <si>
    <t>G36</t>
  </si>
  <si>
    <t>G12</t>
  </si>
  <si>
    <t>E13</t>
  </si>
  <si>
    <t>C33</t>
  </si>
  <si>
    <t>R11</t>
  </si>
  <si>
    <t>R36</t>
  </si>
  <si>
    <t>R33</t>
  </si>
  <si>
    <t>R34</t>
  </si>
  <si>
    <t>Reclassifications</t>
  </si>
  <si>
    <t>2021 Notes</t>
  </si>
  <si>
    <t>B12</t>
  </si>
  <si>
    <t>B13</t>
  </si>
  <si>
    <t>G16</t>
  </si>
  <si>
    <t>G29</t>
  </si>
  <si>
    <t>E16</t>
  </si>
  <si>
    <t>E29</t>
  </si>
  <si>
    <t>B37</t>
  </si>
  <si>
    <t>B38</t>
  </si>
  <si>
    <t>Cost of Removal</t>
  </si>
  <si>
    <t>P23</t>
  </si>
  <si>
    <t>M25</t>
  </si>
  <si>
    <t>K32</t>
  </si>
  <si>
    <t>Depreciation expense mistakenly reported as transfers are moved to Accruals in the Depreciation Study.</t>
  </si>
  <si>
    <t xml:space="preserve">A trailer reclassification was reported as an Addition.  It is reported under Reclassifications in the Depreciation Study. </t>
  </si>
  <si>
    <t>Depreciation expense adjustments for reclassified assets/over-depreciated assets were reported as Transfers.  They are reported under Adjustments in the Depreciation Study.</t>
  </si>
  <si>
    <t>Depreciation expense adjustments, accruals, and trailer reclassification mistakenly reported under transfer are moved under the correct classification headings.</t>
  </si>
  <si>
    <t>Reclassification of a trailer and prior period vehicle retirement to the correct FERC account were reported under Retirements/Additions.  They are reported under Reclassifications in the Depreciation Study.</t>
  </si>
  <si>
    <t xml:space="preserve">Current Year COR corrections were mistakenly reported as an adjustment.  They are reported under COR in the Depreciation Study. </t>
  </si>
  <si>
    <t>Write-offs were mistakenly reported as Additions.  They are reported under Adjustments in the Depreciation Study.</t>
  </si>
  <si>
    <t>Internally developed software was reported in Account 303.  All software is reported in Account 391.4 for the Depreciation Study.</t>
  </si>
  <si>
    <t>Current and prior period assets/accruals were recorded and/or reported in the wrong FERC account.  Depreciation Study reports the balance in the correct FERC account.</t>
  </si>
  <si>
    <t xml:space="preserve">Reclassification of prior period vehicle retirement to correct FERC account were reported under Retirements.  It is moved under Reclassifications in the Depreciation Study. </t>
  </si>
  <si>
    <t>E15</t>
  </si>
  <si>
    <t>E17</t>
  </si>
  <si>
    <t>M17</t>
  </si>
  <si>
    <t>M15</t>
  </si>
  <si>
    <t xml:space="preserve">Reclassification of prior period mains retirement to correct FERC account.  They were reported under Retirements and moved under Reclassifications in the Depreciation Study. </t>
  </si>
  <si>
    <t>Internally developed software was reported in Account 303.  All software is reported in Account 391.4 for the Depreciation Study and Partial Depreciation Reserve Imbalance Amortization reported under Adjustments instead of Accruals.</t>
  </si>
  <si>
    <t xml:space="preserve">COR mistakenly reported under Adjustments. It is reported under COR in the Study.  </t>
  </si>
  <si>
    <t xml:space="preserve">Late recording of prior period retirements and associated depreciation exp adjustments.  They were reported under Retirements and moved under Adjustments in the Depreciation Study. </t>
  </si>
  <si>
    <t xml:space="preserve">Mistakenly retired SF Office Improvements in Furniture Account.  It is reported in the Correct FERC in the Depreciation Study.  </t>
  </si>
  <si>
    <t>Partial 2019 Depr Study Reserve Imbalance Amortization were reported under Adjustments.  They are moved under Accruals for the Depreciation Study.</t>
  </si>
  <si>
    <t>G31</t>
  </si>
  <si>
    <t>E31</t>
  </si>
  <si>
    <t xml:space="preserve">Reclassification of land rights to correct FERC account were reported under Transfers.  Its reported under Reclassifications in the Depreciation Study. </t>
  </si>
  <si>
    <t>Additions were recorded and/or reported in the wrong FERC account.  Depreciation Study reports the balance in the correct FERC account.</t>
  </si>
  <si>
    <t>Depreciation expense adjustments for prior period assets reclassified were reported as Transfers.  They are reported under Adjustments in the Depreciation Study.</t>
  </si>
  <si>
    <t>Assets were recorded and/or reported in the wrong FERC account.  Depreciation Study reports the balance in the correct FERC account.</t>
  </si>
  <si>
    <t>Prior period retirement adjustment reported under Retirements.  It is reported under Adjustments in the Depreciation Study.</t>
  </si>
  <si>
    <t>Accruals and Amortization for Internally developed software reported in Account 303  are reported under Accruals in Account 391.4 for the Depreciation Study.</t>
  </si>
  <si>
    <t>Depreciation expense adjustments for 2019 reclassified assets were reported as Transfers.  They are reported under Adjustments in the Depreciation Study.</t>
  </si>
  <si>
    <t>COR mistakenly reported as a Reclassification.  It is reported as CPR in the Study.</t>
  </si>
  <si>
    <t>COR reclassification reported prior to recording.  Actual corrections completed in 2022.</t>
  </si>
  <si>
    <t xml:space="preserve">Assets miscoded to the wrong FERC account were reported under Transfers. They have been moved under Reclassifications in the Depreciation Study. </t>
  </si>
  <si>
    <t>L41</t>
  </si>
  <si>
    <t>Q41</t>
  </si>
  <si>
    <t>M33</t>
  </si>
  <si>
    <t>M34</t>
  </si>
  <si>
    <t>M35</t>
  </si>
  <si>
    <t>Reclass of 2019 Depreciation Study Amortization to the correct account</t>
  </si>
  <si>
    <t>Schedule</t>
  </si>
  <si>
    <t xml:space="preserve">FPUC, FPUC - Common, FPUC - Indiantown, Florida Division of Chesapeake Utilities Corporation, FPUC - Ft Meade      </t>
  </si>
  <si>
    <t>ACTUAL 2019 RETIREMENTS</t>
  </si>
  <si>
    <t>ACTUAL 2018 RETIREMENTS</t>
  </si>
  <si>
    <t>ACTUAL 2020 RETIREMENTS</t>
  </si>
  <si>
    <t>ACTUAL 2021 RETIREMENTS</t>
  </si>
  <si>
    <t>PROJECTED 2022 RETIREMENTS</t>
  </si>
  <si>
    <t>PROJECTED MONTHLY RETIREMENTS</t>
  </si>
  <si>
    <t>`</t>
  </si>
  <si>
    <t>INDEX</t>
  </si>
  <si>
    <t>(SCH. L and M)</t>
  </si>
  <si>
    <t>Sch. G 2018</t>
  </si>
  <si>
    <t>Sch. G 2019</t>
  </si>
  <si>
    <t>Sch. G 2020</t>
  </si>
  <si>
    <t>Sch. G 2021</t>
  </si>
  <si>
    <t>Sch. G 2022</t>
  </si>
  <si>
    <t>Adjusted 2022 Projected Total</t>
  </si>
  <si>
    <t>Prior period corrections and write-off adjustments were mistakenly reported as an Addition/COR/Accruals.  They are reported under Adjustments in the Depreciation Study.</t>
  </si>
  <si>
    <t>Partial 2019 Depreciation Study Reserve Imbalance Amortization for Internally developed software were reported under Adjustments in Account 303.  Amortization is reported under Accruals in Account 391.4 for the Depreciation Study.</t>
  </si>
  <si>
    <t>2021 Chevy Silverado 2500</t>
  </si>
  <si>
    <t>2017 Chevy Silverado 1500</t>
  </si>
  <si>
    <t>2018 Chevy Silverado 1500</t>
  </si>
  <si>
    <t>2019 Chevy Silverado 2500</t>
  </si>
  <si>
    <t>Transmission Veh. 688 - 2016 Ford Transit Van</t>
  </si>
  <si>
    <t>Transmission Veh. 658 - 2013 GMC Savana</t>
  </si>
  <si>
    <t>2021 Chevy Silverado 1500</t>
  </si>
  <si>
    <t>Trailer-Triple Crown Trailer 6.4x16 Tandem Axel</t>
  </si>
  <si>
    <r>
      <t xml:space="preserve">Prior Period Adj. 
</t>
    </r>
    <r>
      <rPr>
        <b/>
        <sz val="7"/>
        <rFont val="Arial"/>
        <family val="2"/>
      </rPr>
      <t>(Recorded in 2022)</t>
    </r>
  </si>
  <si>
    <t>AEP Close Out to Plant</t>
  </si>
  <si>
    <t>*</t>
  </si>
  <si>
    <t>Check</t>
  </si>
  <si>
    <t>Sch G</t>
  </si>
  <si>
    <t>Ending 2021 Bal</t>
  </si>
  <si>
    <t>Ending 2022 Bal</t>
  </si>
  <si>
    <t>Var.</t>
  </si>
  <si>
    <t>Sch H</t>
  </si>
  <si>
    <t>Sch N</t>
  </si>
  <si>
    <t>Column D</t>
  </si>
  <si>
    <t>Sch J</t>
  </si>
  <si>
    <t>Sch G 2021</t>
  </si>
  <si>
    <t>Sch F 2022</t>
  </si>
  <si>
    <t>Reserve Balance Reflects the Projected Reserve Ending Balance from Sch. G 2022</t>
  </si>
  <si>
    <t>Reserve Balance reflects the Projected Theoretical Reserve Balance computed on Sch. E</t>
  </si>
  <si>
    <t>AEP</t>
  </si>
  <si>
    <t>Close Out</t>
  </si>
  <si>
    <t>Sch G - Adj.</t>
  </si>
  <si>
    <t>Sch G - Activity</t>
  </si>
  <si>
    <t>sch K</t>
  </si>
  <si>
    <t>sch. K</t>
  </si>
  <si>
    <t>Projected Monthly Plant in Service Additions</t>
  </si>
  <si>
    <t>Projected Monthly Plant in Service Balances</t>
  </si>
  <si>
    <t>Sch M+Sch L</t>
  </si>
  <si>
    <t>Revised General Plant Amortization</t>
  </si>
  <si>
    <t>2019 Depr</t>
  </si>
  <si>
    <t>Study Imbal Amort.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</si>
</sst>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_);\(0.0\)"/>
    <numFmt numFmtId="165" formatCode="0_);\(0\)"/>
    <numFmt numFmtId="166" formatCode="m/d/yy;@"/>
    <numFmt numFmtId="167" formatCode="#,##0.0;[Red]\-#,##0.0"/>
    <numFmt numFmtId="168" formatCode="#,##0.0"/>
    <numFmt numFmtId="169" formatCode="#,##0.0_);[Red]\(#,##0.0\)"/>
    <numFmt numFmtId="170" formatCode="0.0"/>
    <numFmt numFmtId="171" formatCode="0_)"/>
    <numFmt numFmtId="172" formatCode="_(* #,##0_);_(* \(#,##0\);_(* &quot;-&quot;??_);_(@_)"/>
    <numFmt numFmtId="173" formatCode="0.0%"/>
    <numFmt numFmtId="174" formatCode="#,###.##%;\(#,###.##%\)"/>
    <numFmt numFmtId="175" formatCode="mmmm\ d\,\ yyyy"/>
    <numFmt numFmtId="176" formatCode="#,##0.0_);\(#,##0.0\)"/>
    <numFmt numFmtId="177" formatCode="_(* #,##0.0_);_(* \(#,##0.0\);_(* &quot;-&quot;??_);_(@_)"/>
    <numFmt numFmtId="178" formatCode="#,##0.0;[Red]\(#,##0.0\)"/>
    <numFmt numFmtId="179" formatCode="_(&quot;$&quot;* #,##0_);_(&quot;$&quot;* \(#,##0\);_(&quot;$&quot;* &quot;-&quot;??_);_(@_)"/>
    <numFmt numFmtId="180" formatCode="&quot;$&quot;#,##0"/>
  </numFmts>
  <fonts count="58">
    <font>
      <sz val="11"/>
      <color theme="1"/>
      <name val="Calibri"/>
      <family val="2"/>
      <scheme val="minor"/>
    </font>
    <font>
      <sz val="10"/>
      <color theme="1"/>
      <name val="Arial"/>
      <family val="2"/>
    </font>
    <font>
      <b/>
      <sz val="11"/>
      <color theme="1"/>
      <name val="Arial"/>
      <family val="2"/>
    </font>
    <font>
      <b/>
      <sz val="11"/>
      <color indexed="8"/>
      <name val="Arial"/>
      <family val="2"/>
    </font>
    <font>
      <sz val="11"/>
      <color theme="1"/>
      <name val="Arial"/>
      <family val="2"/>
    </font>
    <font>
      <sz val="11"/>
      <color indexed="8"/>
      <name val="Arial"/>
      <family val="2"/>
    </font>
    <font>
      <u val="single"/>
      <sz val="11"/>
      <color theme="10"/>
      <name val="Calibri"/>
      <family val="2"/>
      <scheme val="minor"/>
    </font>
    <font>
      <sz val="9"/>
      <color rgb="FF9EA1A2"/>
      <name val="Arial"/>
      <family val="2"/>
    </font>
    <font>
      <sz val="9"/>
      <color rgb="FFFFFFFF"/>
      <name val="Arial"/>
      <family val="2"/>
    </font>
    <font>
      <sz val="7"/>
      <color rgb="FFFFFFFF"/>
      <name val="Inherit"/>
      <family val="2"/>
    </font>
    <font>
      <sz val="14"/>
      <name val="Arial"/>
      <family val="2"/>
    </font>
    <font>
      <sz val="14"/>
      <color theme="0"/>
      <name val="Arial"/>
      <family val="2"/>
    </font>
    <font>
      <b/>
      <sz val="16"/>
      <color indexed="8"/>
      <name val="Arial"/>
      <family val="2"/>
    </font>
    <font>
      <sz val="16"/>
      <name val="Arial"/>
      <family val="2"/>
    </font>
    <font>
      <u val="double"/>
      <sz val="12"/>
      <name val="Arial"/>
      <family val="2"/>
    </font>
    <font>
      <b/>
      <u val="single"/>
      <sz val="12"/>
      <name val="Arial"/>
      <family val="2"/>
    </font>
    <font>
      <b/>
      <sz val="12"/>
      <name val="Arial"/>
      <family val="2"/>
    </font>
    <font>
      <sz val="12"/>
      <name val="Arial"/>
      <family val="2"/>
    </font>
    <font>
      <b/>
      <sz val="14"/>
      <name val="Arial"/>
      <family val="2"/>
    </font>
    <font>
      <sz val="2"/>
      <name val="Arial"/>
      <family val="2"/>
    </font>
    <font>
      <sz val="10"/>
      <name val="Arial"/>
      <family val="2"/>
    </font>
    <font>
      <b/>
      <sz val="10"/>
      <name val="Arial"/>
      <family val="2"/>
    </font>
    <font>
      <sz val="8"/>
      <name val="Arial"/>
      <family val="2"/>
    </font>
    <font>
      <sz val="6"/>
      <name val="Arial"/>
      <family val="2"/>
    </font>
    <font>
      <b/>
      <sz val="8"/>
      <name val="Arial"/>
      <family val="2"/>
    </font>
    <font>
      <b/>
      <sz val="6"/>
      <name val="Arial"/>
      <family val="2"/>
    </font>
    <font>
      <sz val="12"/>
      <name val="Arial MT"/>
      <family val="2"/>
    </font>
    <font>
      <sz val="10"/>
      <name val="Arial Narrow"/>
      <family val="2"/>
    </font>
    <font>
      <b/>
      <sz val="10"/>
      <name val="Arial Narrow"/>
      <family val="2"/>
    </font>
    <font>
      <b/>
      <sz val="8"/>
      <name val="Arial Narrow"/>
      <family val="2"/>
    </font>
    <font>
      <b/>
      <sz val="12"/>
      <name val="Arial Narrow"/>
      <family val="2"/>
    </font>
    <font>
      <b/>
      <sz val="12"/>
      <color indexed="8"/>
      <name val="Arial"/>
      <family val="2"/>
    </font>
    <font>
      <sz val="9"/>
      <name val="Arial"/>
      <family val="2"/>
    </font>
    <font>
      <b/>
      <sz val="10"/>
      <color theme="1"/>
      <name val="Calibri"/>
      <family val="2"/>
      <scheme val="minor"/>
    </font>
    <font>
      <sz val="14"/>
      <name val="Arial Narrow"/>
      <family val="2"/>
    </font>
    <font>
      <sz val="6"/>
      <name val="Arial Narrow"/>
      <family val="2"/>
    </font>
    <font>
      <sz val="10"/>
      <color rgb="FFFF0000"/>
      <name val="Arial"/>
      <family val="2"/>
    </font>
    <font>
      <b/>
      <sz val="11"/>
      <name val="Arial"/>
      <family val="2"/>
    </font>
    <font>
      <b/>
      <sz val="10"/>
      <color theme="1"/>
      <name val="Arial"/>
      <family val="2"/>
    </font>
    <font>
      <sz val="9"/>
      <color theme="1"/>
      <name val="Arial"/>
      <family val="2"/>
    </font>
    <font>
      <sz val="11"/>
      <color rgb="FF000000"/>
      <name val="Calibri"/>
      <family val="2"/>
    </font>
    <font>
      <sz val="10"/>
      <color rgb="FF000000"/>
      <name val="Arial"/>
      <family val="2"/>
    </font>
    <font>
      <sz val="11"/>
      <color rgb="FF000000"/>
      <name val="Arial"/>
      <family val="2"/>
    </font>
    <font>
      <b/>
      <sz val="10"/>
      <color rgb="FF000000"/>
      <name val="Arial"/>
      <family val="2"/>
    </font>
    <font>
      <b/>
      <sz val="11"/>
      <color theme="1"/>
      <name val="Calibri"/>
      <family val="2"/>
      <scheme val="minor"/>
    </font>
    <font>
      <sz val="10"/>
      <name val="Courier"/>
      <family val="2"/>
    </font>
    <font>
      <b/>
      <sz val="14"/>
      <color theme="1"/>
      <name val="Arial"/>
      <family val="2"/>
    </font>
    <font>
      <b/>
      <sz val="14"/>
      <color indexed="8"/>
      <name val="Arial"/>
      <family val="2"/>
    </font>
    <font>
      <sz val="12"/>
      <color indexed="8"/>
      <name val="Arial"/>
      <family val="2"/>
    </font>
    <font>
      <b/>
      <sz val="12"/>
      <color theme="1"/>
      <name val="Arial"/>
      <family val="2"/>
    </font>
    <font>
      <sz val="12"/>
      <color theme="1"/>
      <name val="Calibri"/>
      <family val="2"/>
      <scheme val="minor"/>
    </font>
    <font>
      <b/>
      <sz val="10"/>
      <color indexed="8"/>
      <name val="Arial"/>
      <family val="2"/>
    </font>
    <font>
      <b/>
      <u val="single"/>
      <sz val="14"/>
      <name val="Arial"/>
      <family val="2"/>
    </font>
    <font>
      <b/>
      <sz val="7"/>
      <name val="Arial"/>
      <family val="2"/>
    </font>
    <font>
      <sz val="14"/>
      <color theme="1"/>
      <name val="Calibri"/>
      <family val="2"/>
      <scheme val="minor"/>
    </font>
    <font>
      <b/>
      <sz val="14"/>
      <color theme="1"/>
      <name val="Calibri"/>
      <family val="2"/>
      <scheme val="minor"/>
    </font>
    <font>
      <b/>
      <sz val="12"/>
      <color theme="1"/>
      <name val="Calibri"/>
      <family val="2"/>
      <scheme val="minor"/>
    </font>
    <font>
      <sz val="12"/>
      <color rgb="FF000000"/>
      <name val="Calibri"/>
      <family val="2"/>
    </font>
  </fonts>
  <fills count="9">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bgColor indexed="64"/>
      </patternFill>
    </fill>
    <fill>
      <patternFill patternType="solid">
        <fgColor theme="0" tint="-0.149990007281303"/>
        <bgColor indexed="64"/>
      </patternFill>
    </fill>
    <fill>
      <patternFill patternType="solid">
        <fgColor rgb="FFFFFFFF"/>
        <bgColor indexed="64"/>
      </patternFill>
    </fill>
    <fill>
      <patternFill patternType="solid">
        <fgColor rgb="FFD9D9D9"/>
        <bgColor indexed="64"/>
      </patternFill>
    </fill>
    <fill>
      <patternFill patternType="solid">
        <fgColor theme="0" tint="-0.249970003962517"/>
        <bgColor indexed="64"/>
      </patternFill>
    </fill>
  </fills>
  <borders count="150">
    <border>
      <left/>
      <right/>
      <top/>
      <bottom/>
      <diagonal/>
    </border>
    <border>
      <left style="thick">
        <color auto="1"/>
      </left>
      <right/>
      <top style="thin">
        <color auto="1"/>
      </top>
      <bottom/>
    </border>
    <border>
      <left/>
      <right/>
      <top style="thin">
        <color auto="1"/>
      </top>
      <bottom/>
    </border>
    <border>
      <left style="thin">
        <color auto="1"/>
      </left>
      <right style="thick">
        <color auto="1"/>
      </right>
      <top style="thin">
        <color auto="1"/>
      </top>
      <bottom/>
    </border>
    <border>
      <left/>
      <right style="thick">
        <color auto="1"/>
      </right>
      <top/>
      <bottom/>
    </border>
    <border>
      <left style="thick">
        <color auto="1"/>
      </left>
      <right/>
      <top/>
      <bottom/>
    </border>
    <border>
      <left style="thin">
        <color auto="1"/>
      </left>
      <right style="thick">
        <color auto="1"/>
      </right>
      <top/>
      <bottom/>
    </border>
    <border>
      <left style="thick">
        <color auto="1"/>
      </left>
      <right/>
      <top style="thick">
        <color auto="1"/>
      </top>
      <bottom style="thick">
        <color auto="1"/>
      </bottom>
    </border>
    <border>
      <left style="thick">
        <color auto="1"/>
      </left>
      <right/>
      <top/>
      <bottom style="thick">
        <color auto="1"/>
      </bottom>
    </border>
    <border>
      <left/>
      <right/>
      <top/>
      <bottom style="thick">
        <color auto="1"/>
      </bottom>
    </border>
    <border>
      <left style="thin">
        <color auto="1"/>
      </left>
      <right style="thick">
        <color auto="1"/>
      </right>
      <top/>
      <bottom style="thick">
        <color auto="1"/>
      </bottom>
    </border>
    <border>
      <left/>
      <right style="thick">
        <color auto="1"/>
      </right>
      <top style="thick">
        <color auto="1"/>
      </top>
      <bottom/>
    </border>
    <border>
      <left style="thick">
        <color auto="1"/>
      </left>
      <right/>
      <top style="hair">
        <color auto="1"/>
      </top>
      <bottom style="hair">
        <color auto="1"/>
      </bottom>
    </border>
    <border>
      <left style="medium">
        <color auto="1"/>
      </left>
      <right style="thin">
        <color auto="1"/>
      </right>
      <top style="hair">
        <color auto="1"/>
      </top>
      <bottom style="hair">
        <color auto="1"/>
      </bottom>
    </border>
    <border>
      <left/>
      <right style="thick">
        <color auto="1"/>
      </right>
      <top style="hair">
        <color auto="1"/>
      </top>
      <bottom style="hair">
        <color auto="1"/>
      </bottom>
    </border>
    <border>
      <left/>
      <right/>
      <top style="hair">
        <color auto="1"/>
      </top>
      <bottom style="hair">
        <color auto="1"/>
      </bottom>
    </border>
    <border>
      <left style="thin">
        <color auto="1"/>
      </left>
      <right style="thick">
        <color auto="1"/>
      </right>
      <top style="hair">
        <color auto="1"/>
      </top>
      <bottom style="hair">
        <color auto="1"/>
      </bottom>
    </border>
    <border>
      <left/>
      <right style="thick">
        <color auto="1"/>
      </right>
      <top/>
      <bottom style="thick">
        <color auto="1"/>
      </bottom>
    </border>
    <border>
      <left style="medium">
        <color auto="1"/>
      </left>
      <right/>
      <top style="medium">
        <color auto="1"/>
      </top>
      <bottom/>
    </border>
    <border>
      <left style="medium">
        <color auto="1"/>
      </left>
      <right/>
      <top/>
      <bottom/>
    </border>
    <border>
      <left/>
      <right/>
      <top style="thick">
        <color auto="1"/>
      </top>
      <bottom style="thick">
        <color auto="1"/>
      </bottom>
    </border>
    <border>
      <left style="medium">
        <color auto="1"/>
      </left>
      <right/>
      <top/>
      <bottom style="thick">
        <color auto="1"/>
      </bottom>
    </border>
    <border>
      <left/>
      <right style="medium">
        <color auto="1"/>
      </right>
      <top/>
      <bottom/>
    </border>
    <border>
      <left/>
      <right style="medium">
        <color auto="1"/>
      </right>
      <top style="hair">
        <color auto="1"/>
      </top>
      <bottom style="hair">
        <color auto="1"/>
      </bottom>
    </border>
    <border>
      <left style="medium">
        <color auto="1"/>
      </left>
      <right/>
      <top style="hair">
        <color auto="1"/>
      </top>
      <bottom style="hair">
        <color auto="1"/>
      </bottom>
    </border>
    <border>
      <left/>
      <right/>
      <top style="hair">
        <color auto="1"/>
      </top>
      <bottom/>
    </border>
    <border>
      <left/>
      <right/>
      <top/>
      <bottom style="hair">
        <color auto="1"/>
      </bottom>
    </border>
    <border>
      <left/>
      <right/>
      <top style="hair">
        <color auto="1"/>
      </top>
      <bottom style="thin">
        <color auto="1"/>
      </bottom>
    </border>
    <border>
      <left/>
      <right style="thick">
        <color auto="1"/>
      </right>
      <top style="hair">
        <color auto="1"/>
      </top>
      <bottom style="thin">
        <color auto="1"/>
      </bottom>
    </border>
    <border>
      <left style="thin">
        <color auto="1"/>
      </left>
      <right style="medium">
        <color auto="1"/>
      </right>
      <top style="thin">
        <color auto="1"/>
      </top>
      <bottom/>
    </border>
    <border>
      <left style="thin">
        <color auto="1"/>
      </left>
      <right style="medium">
        <color auto="1"/>
      </right>
      <top/>
      <bottom/>
    </border>
    <border>
      <left style="thick">
        <color auto="1"/>
      </left>
      <right/>
      <top style="thick">
        <color auto="1"/>
      </top>
      <bottom style="medium">
        <color auto="1"/>
      </bottom>
    </border>
    <border>
      <left/>
      <right/>
      <top style="thick">
        <color auto="1"/>
      </top>
      <bottom style="medium">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thin">
        <color auto="1"/>
      </left>
      <right style="medium">
        <color auto="1"/>
      </right>
      <top/>
      <bottom style="medium">
        <color auto="1"/>
      </bottom>
    </border>
    <border>
      <left style="thin">
        <color auto="1"/>
      </left>
      <right style="thick">
        <color auto="1"/>
      </right>
      <top/>
      <bottom style="medium">
        <color auto="1"/>
      </bottom>
    </border>
    <border>
      <left style="thin">
        <color auto="1"/>
      </left>
      <right style="thick">
        <color auto="1"/>
      </right>
      <top/>
      <bottom style="hair">
        <color auto="1"/>
      </bottom>
    </border>
    <border>
      <left style="medium">
        <color auto="1"/>
      </left>
      <right/>
      <top style="hair">
        <color auto="1"/>
      </top>
      <bottom style="thin">
        <color auto="1"/>
      </bottom>
    </border>
    <border>
      <left/>
      <right/>
      <top style="double">
        <color auto="1"/>
      </top>
      <bottom style="thin">
        <color auto="1"/>
      </bottom>
    </border>
    <border>
      <left/>
      <right style="thick">
        <color auto="1"/>
      </right>
      <top style="double">
        <color auto="1"/>
      </top>
      <bottom style="thin">
        <color auto="1"/>
      </bottom>
    </border>
    <border>
      <left style="thin">
        <color auto="1"/>
      </left>
      <right/>
      <top/>
      <bottom/>
    </border>
    <border>
      <left/>
      <right style="thin">
        <color auto="1"/>
      </right>
      <top style="thin">
        <color auto="1"/>
      </top>
      <bottom/>
    </border>
    <border>
      <left style="thin">
        <color auto="1"/>
      </left>
      <right/>
      <top style="thin">
        <color auto="1"/>
      </top>
      <bottom/>
    </border>
    <border>
      <left/>
      <right style="double">
        <color auto="1"/>
      </right>
      <top style="thin">
        <color auto="1"/>
      </top>
      <bottom style="double">
        <color auto="1"/>
      </bottom>
    </border>
    <border>
      <left/>
      <right/>
      <top style="thin">
        <color auto="1"/>
      </top>
      <bottom style="double">
        <color auto="1"/>
      </bottom>
    </border>
    <border>
      <left style="double">
        <color indexed="8"/>
      </left>
      <right style="double">
        <color indexed="8"/>
      </right>
      <top style="thin">
        <color auto="1"/>
      </top>
      <bottom style="double">
        <color auto="1"/>
      </bottom>
    </border>
    <border>
      <left style="double">
        <color auto="1"/>
      </left>
      <right/>
      <top/>
      <bottom style="double">
        <color auto="1"/>
      </bottom>
    </border>
    <border>
      <left/>
      <right style="double">
        <color auto="1"/>
      </right>
      <top/>
      <bottom/>
    </border>
    <border>
      <left style="double">
        <color indexed="8"/>
      </left>
      <right style="double">
        <color indexed="8"/>
      </right>
      <top/>
      <bottom/>
    </border>
    <border>
      <left/>
      <right style="double">
        <color indexed="8"/>
      </right>
      <top/>
      <bottom/>
    </border>
    <border>
      <left/>
      <right style="double">
        <color auto="1"/>
      </right>
      <top/>
      <bottom style="thin">
        <color auto="1"/>
      </bottom>
    </border>
    <border>
      <left/>
      <right/>
      <top/>
      <bottom style="thin">
        <color auto="1"/>
      </bottom>
    </border>
    <border>
      <left style="double">
        <color indexed="8"/>
      </left>
      <right style="double">
        <color indexed="8"/>
      </right>
      <top/>
      <bottom style="thin">
        <color auto="1"/>
      </bottom>
    </border>
    <border>
      <left style="double">
        <color auto="1"/>
      </left>
      <right/>
      <top/>
      <bottom style="thin">
        <color auto="1"/>
      </bottom>
    </border>
    <border>
      <left style="double">
        <color auto="1"/>
      </left>
      <right/>
      <top/>
      <bottom/>
    </border>
    <border>
      <left style="double">
        <color indexed="8"/>
      </left>
      <right style="double">
        <color indexed="8"/>
      </right>
      <top style="double">
        <color auto="1"/>
      </top>
      <bottom/>
    </border>
    <border>
      <left/>
      <right style="double">
        <color indexed="8"/>
      </right>
      <top style="thin">
        <color auto="1"/>
      </top>
      <bottom/>
    </border>
    <border>
      <left/>
      <right style="thin">
        <color auto="1"/>
      </right>
      <top/>
      <bottom style="thin">
        <color auto="1"/>
      </bottom>
    </border>
    <border>
      <left style="thin">
        <color auto="1"/>
      </left>
      <right/>
      <top/>
      <bottom style="thin">
        <color auto="1"/>
      </bottom>
    </border>
    <border>
      <left/>
      <right style="thin">
        <color auto="1"/>
      </right>
      <top/>
      <bottom style="medium">
        <color auto="1"/>
      </bottom>
    </border>
    <border>
      <left style="thin">
        <color auto="1"/>
      </left>
      <right/>
      <top/>
      <bottom style="medium">
        <color auto="1"/>
      </bottom>
    </border>
    <border>
      <left/>
      <right style="thin">
        <color auto="1"/>
      </right>
      <top/>
      <bottom/>
    </border>
    <border>
      <left/>
      <right/>
      <top style="medium">
        <color auto="1"/>
      </top>
      <bottom style="medium">
        <color auto="1"/>
      </bottom>
    </border>
    <border>
      <left style="medium">
        <color auto="1"/>
      </left>
      <right style="medium">
        <color auto="1"/>
      </right>
      <top style="medium">
        <color auto="1"/>
      </top>
      <bottom style="medium">
        <color auto="1"/>
      </bottom>
    </border>
    <border>
      <left/>
      <right style="thick">
        <color auto="1"/>
      </right>
      <top style="thick">
        <color auto="1"/>
      </top>
      <bottom style="thick">
        <color auto="1"/>
      </bottom>
    </border>
    <border>
      <left/>
      <right/>
      <top style="medium">
        <color auto="1"/>
      </top>
      <bottom/>
    </border>
    <border>
      <left/>
      <right style="medium">
        <color auto="1"/>
      </right>
      <top style="medium">
        <color auto="1"/>
      </top>
      <bottom/>
    </border>
    <border>
      <left/>
      <right/>
      <top style="thin">
        <color auto="1"/>
      </top>
      <bottom style="medium">
        <color auto="1"/>
      </bottom>
    </border>
    <border>
      <left style="medium">
        <color auto="1"/>
      </left>
      <right/>
      <top style="medium">
        <color auto="1"/>
      </top>
      <bottom style="medium">
        <color auto="1"/>
      </bottom>
    </border>
    <border>
      <left/>
      <right style="medium">
        <color auto="1"/>
      </right>
      <top style="medium">
        <color auto="1"/>
      </top>
      <bottom style="medium">
        <color auto="1"/>
      </bottom>
    </border>
    <border>
      <left style="medium">
        <color auto="1"/>
      </left>
      <right/>
      <top/>
      <bottom style="hair">
        <color auto="1"/>
      </bottom>
    </border>
    <border>
      <left style="medium">
        <color auto="1"/>
      </left>
      <right style="medium">
        <color auto="1"/>
      </right>
      <top/>
      <bottom/>
    </border>
    <border>
      <left style="medium">
        <color auto="1"/>
      </left>
      <right style="medium">
        <color auto="1"/>
      </right>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thin">
        <color auto="1"/>
      </top>
      <bottom style="double">
        <color auto="1"/>
      </bottom>
    </border>
    <border>
      <left/>
      <right style="medium">
        <color auto="1"/>
      </right>
      <top style="thin">
        <color auto="1"/>
      </top>
      <bottom style="double">
        <color auto="1"/>
      </bottom>
    </border>
    <border>
      <left/>
      <right style="thick">
        <color auto="1"/>
      </right>
      <top style="thin">
        <color auto="1"/>
      </top>
      <bottom style="double">
        <color auto="1"/>
      </bottom>
    </border>
    <border>
      <left style="thin">
        <color auto="1"/>
      </left>
      <right style="thin">
        <color auto="1"/>
      </right>
      <top style="thin">
        <color auto="1"/>
      </top>
      <bottom/>
    </border>
    <border>
      <left style="thin">
        <color auto="1"/>
      </left>
      <right/>
      <top style="thin">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bottom/>
    </border>
    <border>
      <left style="medium">
        <color auto="1"/>
      </left>
      <right style="thin">
        <color auto="1"/>
      </right>
      <top/>
      <bottom style="thin">
        <color auto="1"/>
      </bottom>
    </border>
    <border>
      <left/>
      <right style="medium">
        <color auto="1"/>
      </right>
      <top/>
      <bottom style="thin">
        <color auto="1"/>
      </bottom>
    </border>
    <border>
      <left style="medium">
        <color auto="1"/>
      </left>
      <right style="thin">
        <color auto="1"/>
      </right>
      <top style="thin">
        <color auto="1"/>
      </top>
      <bottom/>
    </border>
    <border>
      <left/>
      <right style="medium">
        <color auto="1"/>
      </right>
      <top style="thin">
        <color auto="1"/>
      </top>
      <bottom/>
    </border>
    <border>
      <left style="medium">
        <color auto="1"/>
      </left>
      <right/>
      <top style="thin">
        <color auto="1"/>
      </top>
      <bottom style="medium">
        <color auto="1"/>
      </bottom>
    </border>
    <border>
      <left/>
      <right style="medium">
        <color auto="1"/>
      </right>
      <top style="thin">
        <color auto="1"/>
      </top>
      <bottom style="medium">
        <color auto="1"/>
      </bottom>
    </border>
    <border>
      <left style="thin">
        <color auto="1"/>
      </left>
      <right style="medium">
        <color auto="1"/>
      </right>
      <top style="hair">
        <color auto="1"/>
      </top>
      <bottom style="hair">
        <color auto="1"/>
      </bottom>
    </border>
    <border>
      <left style="thick">
        <color auto="1"/>
      </left>
      <right style="medium">
        <color auto="1"/>
      </right>
      <top style="thick">
        <color auto="1"/>
      </top>
      <bottom style="thick">
        <color auto="1"/>
      </bottom>
    </border>
    <border>
      <left style="medium">
        <color auto="1"/>
      </left>
      <right style="medium">
        <color auto="1"/>
      </right>
      <top/>
      <bottom style="thick">
        <color auto="1"/>
      </bottom>
    </border>
    <border>
      <left style="medium">
        <color auto="1"/>
      </left>
      <right style="medium">
        <color auto="1"/>
      </right>
      <top style="thick">
        <color auto="1"/>
      </top>
      <bottom style="thick">
        <color auto="1"/>
      </bottom>
    </border>
    <border>
      <left/>
      <right/>
      <top style="thick">
        <color auto="1"/>
      </top>
      <bottom/>
    </border>
    <border>
      <left/>
      <right/>
      <top style="double">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top style="thin">
        <color auto="1"/>
      </top>
      <bottom style="thin">
        <color auto="1"/>
      </bottom>
    </border>
    <border>
      <left/>
      <right style="thin">
        <color auto="1"/>
      </right>
      <top style="thin">
        <color auto="1"/>
      </top>
      <bottom style="thin">
        <color auto="1"/>
      </bottom>
    </border>
    <border>
      <left/>
      <right/>
      <top style="thin">
        <color auto="1"/>
      </top>
      <bottom style="thin">
        <color auto="1"/>
      </bottom>
    </border>
    <border>
      <left/>
      <right/>
      <top/>
      <bottom style="double">
        <color auto="1"/>
      </bottom>
    </border>
    <border>
      <left style="medium">
        <color auto="1"/>
      </left>
      <right/>
      <top style="double">
        <color auto="1"/>
      </top>
      <bottom style="thin">
        <color auto="1"/>
      </bottom>
    </border>
    <border>
      <left/>
      <right style="medium">
        <color auto="1"/>
      </right>
      <top style="hair">
        <color auto="1"/>
      </top>
      <bottom/>
    </border>
    <border>
      <left style="thin">
        <color auto="1"/>
      </left>
      <right style="medium">
        <color auto="1"/>
      </right>
      <top style="hair">
        <color auto="1"/>
      </top>
      <bottom/>
    </border>
    <border>
      <left style="thin">
        <color auto="1"/>
      </left>
      <right style="medium">
        <color auto="1"/>
      </right>
      <top/>
      <bottom style="hair">
        <color auto="1"/>
      </bottom>
    </border>
    <border>
      <left/>
      <right style="thin">
        <color auto="1"/>
      </right>
      <top style="thin">
        <color auto="1"/>
      </top>
      <bottom style="double">
        <color auto="1"/>
      </bottom>
    </border>
    <border>
      <left style="thin">
        <color auto="1"/>
      </left>
      <right style="medium">
        <color auto="1"/>
      </right>
      <top style="thin">
        <color auto="1"/>
      </top>
      <bottom style="double">
        <color auto="1"/>
      </bottom>
    </border>
    <border>
      <left style="thin">
        <color auto="1"/>
      </left>
      <right style="thick">
        <color auto="1"/>
      </right>
      <top style="thin">
        <color auto="1"/>
      </top>
      <bottom style="double">
        <color auto="1"/>
      </bottom>
    </border>
    <border>
      <left style="thin">
        <color auto="1"/>
      </left>
      <right style="thick">
        <color auto="1"/>
      </right>
      <top style="hair">
        <color auto="1"/>
      </top>
      <bottom style="thick">
        <color auto="1"/>
      </bottom>
    </border>
    <border>
      <left/>
      <right style="thick">
        <color auto="1"/>
      </right>
      <top/>
      <bottom style="hair">
        <color auto="1"/>
      </bottom>
    </border>
    <border>
      <left/>
      <right style="thick">
        <color auto="1"/>
      </right>
      <top style="hair">
        <color auto="1"/>
      </top>
      <bottom style="thick">
        <color auto="1"/>
      </bottom>
    </border>
    <border>
      <left style="medium">
        <color auto="1"/>
      </left>
      <right/>
      <top/>
      <bottom style="double">
        <color auto="1"/>
      </bottom>
    </border>
    <border>
      <left/>
      <right style="thin">
        <color auto="1"/>
      </right>
      <top style="hair">
        <color auto="1"/>
      </top>
      <bottom style="hair">
        <color auto="1"/>
      </bottom>
    </border>
    <border>
      <left/>
      <right style="medium">
        <color auto="1"/>
      </right>
      <top/>
      <bottom style="double">
        <color auto="1"/>
      </bottom>
    </border>
    <border>
      <left/>
      <right style="thick">
        <color auto="1"/>
      </right>
      <top style="hair">
        <color auto="1"/>
      </top>
      <bottom/>
    </border>
    <border>
      <left style="thick">
        <color auto="1"/>
      </left>
      <right/>
      <top/>
      <bottom style="double">
        <color auto="1"/>
      </bottom>
    </border>
    <border>
      <left style="thick">
        <color auto="1"/>
      </left>
      <right/>
      <top style="thin">
        <color auto="1"/>
      </top>
      <bottom style="double">
        <color auto="1"/>
      </bottom>
    </border>
    <border>
      <left style="thick">
        <color rgb="FF000000"/>
      </left>
      <right/>
      <top style="hair">
        <color auto="1"/>
      </top>
      <bottom style="hair">
        <color auto="1"/>
      </bottom>
    </border>
    <border>
      <left/>
      <right/>
      <top style="hair">
        <color auto="1"/>
      </top>
      <bottom style="thick">
        <color auto="1"/>
      </bottom>
    </border>
    <border>
      <left/>
      <right style="thin">
        <color auto="1"/>
      </right>
      <top style="hair">
        <color auto="1"/>
      </top>
      <bottom style="thick">
        <color auto="1"/>
      </bottom>
    </border>
    <border>
      <left style="thick">
        <color auto="1"/>
      </left>
      <right/>
      <top style="thick">
        <color auto="1"/>
      </top>
      <bottom style="thin">
        <color auto="1"/>
      </bottom>
    </border>
    <border>
      <left/>
      <right/>
      <top style="thick">
        <color auto="1"/>
      </top>
      <bottom style="thin">
        <color auto="1"/>
      </bottom>
    </border>
    <border>
      <left/>
      <right style="thick">
        <color auto="1"/>
      </right>
      <top style="thick">
        <color auto="1"/>
      </top>
      <bottom style="thin">
        <color auto="1"/>
      </bottom>
    </border>
    <border>
      <left style="thick">
        <color rgb="FF000000"/>
      </left>
      <right/>
      <top style="hair">
        <color auto="1"/>
      </top>
      <bottom style="thick">
        <color auto="1"/>
      </bottom>
    </border>
    <border>
      <left style="medium">
        <color auto="1"/>
      </left>
      <right/>
      <top style="hair">
        <color auto="1"/>
      </top>
      <bottom/>
    </border>
    <border>
      <left/>
      <right style="medium">
        <color rgb="FF000000"/>
      </right>
      <top style="hair">
        <color auto="1"/>
      </top>
      <bottom/>
    </border>
    <border>
      <left/>
      <right style="medium">
        <color rgb="FF000000"/>
      </right>
      <top style="hair">
        <color auto="1"/>
      </top>
      <bottom style="hair">
        <color auto="1"/>
      </bottom>
    </border>
    <border>
      <left/>
      <right style="medium">
        <color auto="1"/>
      </right>
      <top/>
      <bottom style="thick">
        <color auto="1"/>
      </bottom>
    </border>
    <border>
      <left style="medium">
        <color auto="1"/>
      </left>
      <right/>
      <top style="thick">
        <color auto="1"/>
      </top>
      <bottom style="medium">
        <color auto="1"/>
      </bottom>
    </border>
    <border>
      <left/>
      <right style="thick">
        <color auto="1"/>
      </right>
      <top style="thick">
        <color auto="1"/>
      </top>
      <bottom style="medium">
        <color auto="1"/>
      </bottom>
    </border>
    <border>
      <left/>
      <right style="medium">
        <color auto="1"/>
      </right>
      <top style="thick">
        <color auto="1"/>
      </top>
      <bottom style="thin">
        <color auto="1"/>
      </bottom>
    </border>
    <border>
      <left style="medium">
        <color auto="1"/>
      </left>
      <right/>
      <top style="thick">
        <color auto="1"/>
      </top>
      <bottom style="thin">
        <color auto="1"/>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style="medium">
        <color auto="1"/>
      </top>
      <bottom style="thin">
        <color auto="1"/>
      </bottom>
    </border>
    <border>
      <left style="double">
        <color auto="1"/>
      </left>
      <right/>
      <top style="double">
        <color auto="1"/>
      </top>
      <bottom/>
    </border>
    <border>
      <left/>
      <right style="double">
        <color auto="1"/>
      </right>
      <top style="double">
        <color auto="1"/>
      </top>
      <bottom/>
    </border>
    <border>
      <left style="thin">
        <color auto="1"/>
      </left>
      <right style="medium">
        <color auto="1"/>
      </right>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medium">
        <color auto="1"/>
      </top>
      <bottom/>
    </border>
  </borders>
  <cellStyleXfs count="48">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0" fillId="0" borderId="0" applyFont="0" applyFill="0" applyBorder="0" applyAlignment="0" applyProtection="0"/>
    <xf numFmtId="41" fontId="1" fillId="0" borderId="0" applyFont="0" applyFill="0" applyBorder="0" applyAlignment="0" applyProtection="0"/>
    <xf numFmtId="0" fontId="6" fillId="0" borderId="0" applyNumberFormat="0" applyFill="0" applyBorder="0" applyAlignment="0" applyProtection="0"/>
    <xf numFmtId="0" fontId="10" fillId="0" borderId="0">
      <alignment/>
      <protection/>
    </xf>
    <xf numFmtId="43" fontId="10" fillId="0" borderId="0" applyFont="0" applyFill="0" applyBorder="0" applyAlignment="0" applyProtection="0"/>
    <xf numFmtId="171" fontId="26" fillId="0" borderId="0">
      <alignment/>
      <protection/>
    </xf>
    <xf numFmtId="0" fontId="20" fillId="0" borderId="0">
      <alignment/>
      <protection/>
    </xf>
    <xf numFmtId="0" fontId="20" fillId="0" borderId="0">
      <alignment/>
      <protection/>
    </xf>
    <xf numFmtId="43" fontId="10" fillId="0" borderId="0" applyFont="0" applyFill="0" applyBorder="0" applyAlignment="0" applyProtection="0"/>
    <xf numFmtId="0" fontId="10" fillId="0" borderId="0">
      <alignment/>
      <protection/>
    </xf>
    <xf numFmtId="9" fontId="10" fillId="0" borderId="0" applyFont="0" applyFill="0" applyBorder="0" applyAlignment="0" applyProtection="0"/>
    <xf numFmtId="43" fontId="10" fillId="0" borderId="0" applyFont="0" applyFill="0" applyBorder="0" applyAlignment="0" applyProtection="0"/>
    <xf numFmtId="0" fontId="10" fillId="0" borderId="0">
      <alignment/>
      <protection/>
    </xf>
    <xf numFmtId="0" fontId="10" fillId="0" borderId="0">
      <alignment/>
      <protection/>
    </xf>
    <xf numFmtId="44"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0" fontId="20" fillId="0" borderId="0">
      <alignment/>
      <protection/>
    </xf>
    <xf numFmtId="43" fontId="20" fillId="0" borderId="0" applyFont="0" applyFill="0" applyBorder="0" applyAlignment="0" applyProtection="0"/>
    <xf numFmtId="0" fontId="0" fillId="0" borderId="0">
      <alignment/>
      <protection/>
    </xf>
    <xf numFmtId="43" fontId="0" fillId="0" borderId="0" applyFont="0" applyFill="0" applyBorder="0" applyAlignment="0" applyProtection="0"/>
    <xf numFmtId="0" fontId="10" fillId="0" borderId="0">
      <alignment/>
      <protection/>
    </xf>
    <xf numFmtId="9" fontId="10" fillId="0" borderId="0" applyFont="0" applyFill="0" applyBorder="0" applyAlignment="0" applyProtection="0"/>
    <xf numFmtId="43" fontId="10" fillId="0" borderId="0" applyFont="0" applyFill="0" applyBorder="0" applyAlignment="0" applyProtection="0"/>
    <xf numFmtId="0" fontId="10" fillId="0" borderId="0">
      <alignment/>
      <protection/>
    </xf>
    <xf numFmtId="44" fontId="10" fillId="0" borderId="0" applyFont="0" applyFill="0" applyBorder="0" applyAlignment="0" applyProtection="0"/>
    <xf numFmtId="171" fontId="45" fillId="0" borderId="0">
      <alignment/>
      <protection/>
    </xf>
    <xf numFmtId="0" fontId="45" fillId="0" borderId="0">
      <alignment/>
      <protection/>
    </xf>
    <xf numFmtId="5" fontId="45" fillId="0" borderId="0">
      <alignment/>
      <protection/>
    </xf>
    <xf numFmtId="0" fontId="10" fillId="0" borderId="0">
      <alignment/>
      <protection/>
    </xf>
  </cellStyleXfs>
  <cellXfs count="987">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vertical="top"/>
    </xf>
    <xf numFmtId="0" fontId="2" fillId="0" borderId="0" xfId="0" applyFont="1" applyAlignment="1">
      <alignment wrapText="1"/>
    </xf>
    <xf numFmtId="164" fontId="3" fillId="0" borderId="0" xfId="0" applyNumberFormat="1" applyFont="1"/>
    <xf numFmtId="0" fontId="4" fillId="0" borderId="0" xfId="0" applyFont="1"/>
    <xf numFmtId="164" fontId="3" fillId="0" borderId="0" xfId="0" applyNumberFormat="1" applyFont="1" applyAlignment="1">
      <alignment wrapText="1"/>
    </xf>
    <xf numFmtId="14" fontId="3" fillId="0" borderId="0" xfId="0" applyNumberFormat="1" applyFont="1"/>
    <xf numFmtId="165" fontId="3" fillId="0" borderId="0" xfId="0" applyNumberFormat="1" applyFont="1"/>
    <xf numFmtId="164" fontId="5" fillId="0" borderId="0" xfId="0" applyNumberFormat="1" applyFont="1"/>
    <xf numFmtId="14" fontId="2" fillId="0" borderId="0" xfId="0" applyNumberFormat="1" applyFont="1"/>
    <xf numFmtId="0" fontId="4" fillId="0" borderId="0" xfId="0" applyFont="1" applyAlignment="1">
      <alignment wrapText="1"/>
    </xf>
    <xf numFmtId="0" fontId="6" fillId="0" borderId="0" xfId="20" applyAlignment="1">
      <alignment horizontal="left" vertical="center" wrapText="1"/>
    </xf>
    <xf numFmtId="0" fontId="7" fillId="0" borderId="0" xfId="0" applyFont="1"/>
    <xf numFmtId="0" fontId="8"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11" fillId="0" borderId="0" xfId="0" applyFont="1"/>
    <xf numFmtId="164" fontId="12" fillId="0" borderId="0" xfId="0" applyNumberFormat="1" applyFont="1" applyAlignment="1">
      <alignment horizontal="center"/>
    </xf>
    <xf numFmtId="0" fontId="13" fillId="0" borderId="0" xfId="0" applyFont="1"/>
    <xf numFmtId="0" fontId="14" fillId="0" borderId="0" xfId="0" applyFont="1" applyAlignment="1">
      <alignment horizontal="center"/>
    </xf>
    <xf numFmtId="0" fontId="15" fillId="0" borderId="0" xfId="0" applyFont="1"/>
    <xf numFmtId="0" fontId="16" fillId="0" borderId="0" xfId="0" applyFont="1" applyAlignment="1">
      <alignment horizontal="center"/>
    </xf>
    <xf numFmtId="0" fontId="17" fillId="0" borderId="0" xfId="0" applyFont="1"/>
    <xf numFmtId="0" fontId="19" fillId="0" borderId="0" xfId="21" applyFont="1">
      <alignment/>
      <protection/>
    </xf>
    <xf numFmtId="0" fontId="20" fillId="0" borderId="0" xfId="21" applyFont="1">
      <alignment/>
      <protection/>
    </xf>
    <xf numFmtId="0" fontId="22" fillId="0" borderId="0" xfId="21" applyFont="1" applyAlignment="1">
      <alignment horizontal="center" vertical="center"/>
      <protection/>
    </xf>
    <xf numFmtId="49" fontId="22" fillId="0" borderId="0" xfId="21" applyNumberFormat="1" applyFont="1" applyAlignment="1">
      <alignment horizontal="center" vertical="center"/>
      <protection/>
    </xf>
    <xf numFmtId="0" fontId="23" fillId="0" borderId="0" xfId="21" applyFont="1">
      <alignment/>
      <protection/>
    </xf>
    <xf numFmtId="0" fontId="25" fillId="0" borderId="0" xfId="21" applyFont="1" applyAlignment="1">
      <alignment vertical="center"/>
      <protection/>
    </xf>
    <xf numFmtId="0" fontId="24" fillId="0" borderId="1" xfId="21" applyFont="1" applyBorder="1" applyAlignment="1">
      <alignment horizontal="center" wrapText="1"/>
      <protection/>
    </xf>
    <xf numFmtId="0" fontId="24" fillId="0" borderId="2" xfId="21" applyFont="1" applyBorder="1" applyAlignment="1">
      <alignment horizontal="center" wrapText="1"/>
      <protection/>
    </xf>
    <xf numFmtId="0" fontId="24" fillId="0" borderId="2" xfId="21" applyFont="1" applyBorder="1" applyAlignment="1">
      <alignment horizontal="center"/>
      <protection/>
    </xf>
    <xf numFmtId="49" fontId="24" fillId="0" borderId="3" xfId="21" applyNumberFormat="1" applyFont="1" applyBorder="1" applyAlignment="1">
      <alignment horizontal="center" wrapText="1"/>
      <protection/>
    </xf>
    <xf numFmtId="0" fontId="24" fillId="0" borderId="3" xfId="21" applyFont="1" applyBorder="1" applyAlignment="1">
      <alignment horizontal="center" vertical="center"/>
      <protection/>
    </xf>
    <xf numFmtId="0" fontId="24" fillId="0" borderId="0" xfId="21" applyFont="1" applyAlignment="1">
      <alignment vertical="center"/>
      <protection/>
    </xf>
    <xf numFmtId="0" fontId="22" fillId="0" borderId="4" xfId="21" applyFont="1" applyBorder="1" applyAlignment="1">
      <alignment vertical="center"/>
      <protection/>
    </xf>
    <xf numFmtId="0" fontId="24" fillId="0" borderId="5" xfId="21" applyFont="1" applyBorder="1" applyAlignment="1">
      <alignment horizontal="center"/>
      <protection/>
    </xf>
    <xf numFmtId="0" fontId="24" fillId="0" borderId="0" xfId="21" applyFont="1" applyAlignment="1">
      <alignment horizontal="center"/>
      <protection/>
    </xf>
    <xf numFmtId="14" fontId="24" fillId="0" borderId="0" xfId="21" applyNumberFormat="1" applyFont="1" applyAlignment="1">
      <alignment horizontal="center"/>
      <protection/>
    </xf>
    <xf numFmtId="49" fontId="24" fillId="0" borderId="6" xfId="21" applyNumberFormat="1" applyFont="1" applyBorder="1" applyAlignment="1">
      <alignment horizontal="center"/>
      <protection/>
    </xf>
    <xf numFmtId="0" fontId="24" fillId="0" borderId="6" xfId="21" applyFont="1" applyBorder="1" applyAlignment="1">
      <alignment horizontal="center" vertical="center"/>
      <protection/>
    </xf>
    <xf numFmtId="0" fontId="22" fillId="0" borderId="0" xfId="21" applyFont="1" applyAlignment="1">
      <alignment vertical="center"/>
      <protection/>
    </xf>
    <xf numFmtId="166" fontId="24" fillId="0" borderId="5" xfId="21" applyNumberFormat="1" applyFont="1" applyBorder="1" applyAlignment="1">
      <alignment horizontal="center" vertical="center"/>
      <protection/>
    </xf>
    <xf numFmtId="166" fontId="24" fillId="0" borderId="0" xfId="21" applyNumberFormat="1" applyFont="1" applyAlignment="1" quotePrefix="1">
      <alignment horizontal="center" vertical="center"/>
      <protection/>
    </xf>
    <xf numFmtId="0" fontId="24" fillId="0" borderId="7" xfId="21" applyFont="1" applyBorder="1" applyAlignment="1">
      <alignment horizontal="centerContinuous" vertical="center"/>
      <protection/>
    </xf>
    <xf numFmtId="0" fontId="24" fillId="0" borderId="8" xfId="21" applyFont="1" applyBorder="1" applyAlignment="1">
      <alignment horizontal="center" vertical="center"/>
      <protection/>
    </xf>
    <xf numFmtId="0" fontId="24" fillId="0" borderId="9" xfId="21" applyFont="1" applyBorder="1" applyAlignment="1">
      <alignment horizontal="center" vertical="center"/>
      <protection/>
    </xf>
    <xf numFmtId="49" fontId="24" fillId="0" borderId="10" xfId="21" applyNumberFormat="1" applyFont="1" applyBorder="1" applyAlignment="1">
      <alignment horizontal="center" vertical="center"/>
      <protection/>
    </xf>
    <xf numFmtId="0" fontId="24" fillId="0" borderId="10" xfId="21" applyFont="1" applyBorder="1" applyAlignment="1">
      <alignment horizontal="center" vertical="center"/>
      <protection/>
    </xf>
    <xf numFmtId="0" fontId="24" fillId="0" borderId="5" xfId="21" applyFont="1" applyBorder="1" applyAlignment="1">
      <alignment vertical="center"/>
      <protection/>
    </xf>
    <xf numFmtId="41" fontId="24" fillId="0" borderId="0" xfId="21" applyNumberFormat="1" applyFont="1" applyAlignment="1">
      <alignment horizontal="center" vertical="center"/>
      <protection/>
    </xf>
    <xf numFmtId="41" fontId="24" fillId="0" borderId="11" xfId="21" applyNumberFormat="1" applyFont="1" applyBorder="1" applyAlignment="1">
      <alignment horizontal="center" vertical="center"/>
      <protection/>
    </xf>
    <xf numFmtId="0" fontId="22" fillId="0" borderId="0" xfId="21" applyFont="1" applyAlignment="1">
      <alignment horizontal="center"/>
      <protection/>
    </xf>
    <xf numFmtId="0" fontId="22" fillId="0" borderId="6" xfId="21" applyFont="1" applyBorder="1" applyAlignment="1">
      <alignment horizontal="center" vertical="center"/>
      <protection/>
    </xf>
    <xf numFmtId="0" fontId="22" fillId="0" borderId="5" xfId="21" applyFont="1" applyBorder="1" applyAlignment="1">
      <alignment horizontal="center"/>
      <protection/>
    </xf>
    <xf numFmtId="0" fontId="22" fillId="0" borderId="0" xfId="21" applyFont="1">
      <alignment/>
      <protection/>
    </xf>
    <xf numFmtId="0" fontId="24" fillId="2" borderId="5" xfId="21" applyFont="1" applyFill="1" applyBorder="1" applyAlignment="1">
      <alignment vertical="center"/>
      <protection/>
    </xf>
    <xf numFmtId="41" fontId="24" fillId="0" borderId="0" xfId="21" applyNumberFormat="1" applyFont="1" applyAlignment="1">
      <alignment vertical="center"/>
      <protection/>
    </xf>
    <xf numFmtId="41" fontId="24" fillId="0" borderId="4" xfId="21" applyNumberFormat="1" applyFont="1" applyBorder="1" applyAlignment="1">
      <alignment vertical="center"/>
      <protection/>
    </xf>
    <xf numFmtId="167" fontId="24" fillId="0" borderId="0" xfId="21" applyNumberFormat="1" applyFont="1" applyAlignment="1">
      <alignment horizontal="center"/>
      <protection/>
    </xf>
    <xf numFmtId="0" fontId="20" fillId="0" borderId="12" xfId="21" applyFont="1" applyBorder="1" applyAlignment="1">
      <alignment horizontal="center" vertical="center"/>
      <protection/>
    </xf>
    <xf numFmtId="38" fontId="20" fillId="0" borderId="13" xfId="22" applyNumberFormat="1" applyFont="1" applyFill="1" applyBorder="1" applyAlignment="1">
      <alignment vertical="center"/>
    </xf>
    <xf numFmtId="38" fontId="20" fillId="0" borderId="14" xfId="22" applyNumberFormat="1" applyFont="1" applyFill="1" applyBorder="1" applyAlignment="1">
      <alignment vertical="center"/>
    </xf>
    <xf numFmtId="167" fontId="20" fillId="0" borderId="15" xfId="21" applyNumberFormat="1" applyFont="1" applyBorder="1" applyAlignment="1">
      <alignment horizontal="center" vertical="center"/>
      <protection/>
    </xf>
    <xf numFmtId="168" fontId="20" fillId="0" borderId="16" xfId="21" applyNumberFormat="1" applyFont="1" applyBorder="1" applyAlignment="1">
      <alignment horizontal="center" vertical="center"/>
      <protection/>
    </xf>
    <xf numFmtId="167" fontId="20" fillId="0" borderId="12" xfId="21" applyNumberFormat="1" applyFont="1" applyBorder="1" applyAlignment="1">
      <alignment horizontal="center" vertical="center"/>
      <protection/>
    </xf>
    <xf numFmtId="167" fontId="24" fillId="0" borderId="0" xfId="21" applyNumberFormat="1" applyFont="1" applyAlignment="1">
      <alignment horizontal="center" vertical="center"/>
      <protection/>
    </xf>
    <xf numFmtId="167" fontId="24" fillId="0" borderId="5" xfId="21" applyNumberFormat="1" applyFont="1" applyBorder="1" applyAlignment="1">
      <alignment horizontal="center" vertical="center"/>
      <protection/>
    </xf>
    <xf numFmtId="168" fontId="24" fillId="0" borderId="6" xfId="21" applyNumberFormat="1" applyFont="1" applyBorder="1" applyAlignment="1">
      <alignment horizontal="center" vertical="center"/>
      <protection/>
    </xf>
    <xf numFmtId="167" fontId="22" fillId="0" borderId="0" xfId="21" applyNumberFormat="1" applyFont="1" applyAlignment="1">
      <alignment horizontal="center" vertical="center"/>
      <protection/>
    </xf>
    <xf numFmtId="167" fontId="22" fillId="0" borderId="5" xfId="21" applyNumberFormat="1" applyFont="1" applyBorder="1" applyAlignment="1">
      <alignment horizontal="center" vertical="center"/>
      <protection/>
    </xf>
    <xf numFmtId="168" fontId="22" fillId="0" borderId="6" xfId="21" applyNumberFormat="1" applyFont="1" applyBorder="1" applyAlignment="1">
      <alignment horizontal="center" vertical="center"/>
      <protection/>
    </xf>
    <xf numFmtId="0" fontId="20" fillId="0" borderId="12" xfId="21" applyFont="1" applyBorder="1" applyAlignment="1">
      <alignment horizontal="center" vertical="center" wrapText="1"/>
      <protection/>
    </xf>
    <xf numFmtId="0" fontId="20" fillId="0" borderId="15" xfId="21" applyFont="1" applyBorder="1" applyAlignment="1" applyProtection="1">
      <alignment vertical="center"/>
      <protection locked="0"/>
    </xf>
    <xf numFmtId="0" fontId="20" fillId="0" borderId="14" xfId="21" applyFont="1" applyBorder="1" applyAlignment="1" applyProtection="1">
      <alignment vertical="center"/>
      <protection locked="0"/>
    </xf>
    <xf numFmtId="49" fontId="24" fillId="0" borderId="0" xfId="21" applyNumberFormat="1" applyFont="1" applyAlignment="1">
      <alignment horizontal="center"/>
      <protection/>
    </xf>
    <xf numFmtId="167" fontId="24" fillId="0" borderId="0" xfId="21" applyNumberFormat="1" applyFont="1" applyAlignment="1">
      <alignment vertical="center"/>
      <protection/>
    </xf>
    <xf numFmtId="167" fontId="24" fillId="0" borderId="4" xfId="21" applyNumberFormat="1" applyFont="1" applyBorder="1" applyAlignment="1">
      <alignment vertical="center"/>
      <protection/>
    </xf>
    <xf numFmtId="0" fontId="24" fillId="0" borderId="0" xfId="21" applyFont="1" applyAlignment="1">
      <alignment vertical="center" wrapText="1"/>
      <protection/>
    </xf>
    <xf numFmtId="0" fontId="24" fillId="0" borderId="4" xfId="21" applyFont="1" applyBorder="1" applyAlignment="1">
      <alignment vertical="center"/>
      <protection/>
    </xf>
    <xf numFmtId="0" fontId="10" fillId="0" borderId="8" xfId="21" applyBorder="1">
      <alignment/>
      <protection/>
    </xf>
    <xf numFmtId="0" fontId="10" fillId="0" borderId="9" xfId="21" applyBorder="1">
      <alignment/>
      <protection/>
    </xf>
    <xf numFmtId="0" fontId="20" fillId="0" borderId="9" xfId="21" applyFont="1" applyBorder="1" applyAlignment="1">
      <alignment horizontal="center"/>
      <protection/>
    </xf>
    <xf numFmtId="49" fontId="20" fillId="0" borderId="9" xfId="21" applyNumberFormat="1" applyFont="1" applyBorder="1" applyAlignment="1">
      <alignment horizontal="center"/>
      <protection/>
    </xf>
    <xf numFmtId="0" fontId="10" fillId="0" borderId="17" xfId="21" applyBorder="1">
      <alignment/>
      <protection/>
    </xf>
    <xf numFmtId="0" fontId="10" fillId="0" borderId="0" xfId="21">
      <alignment/>
      <protection/>
    </xf>
    <xf numFmtId="0" fontId="20" fillId="0" borderId="0" xfId="21" applyFont="1" applyAlignment="1">
      <alignment horizontal="center"/>
      <protection/>
    </xf>
    <xf numFmtId="49" fontId="20" fillId="0" borderId="0" xfId="21" applyNumberFormat="1" applyFont="1" applyAlignment="1">
      <alignment horizontal="center"/>
      <protection/>
    </xf>
    <xf numFmtId="7" fontId="10" fillId="0" borderId="0" xfId="21" applyNumberFormat="1">
      <alignment/>
      <protection/>
    </xf>
    <xf numFmtId="0" fontId="16" fillId="0" borderId="0" xfId="21" applyFont="1" applyAlignment="1">
      <alignment horizontal="centerContinuous" vertical="center" wrapText="1"/>
      <protection/>
    </xf>
    <xf numFmtId="0" fontId="16" fillId="0" borderId="0" xfId="21" applyFont="1" applyAlignment="1">
      <alignment horizontal="centerContinuous" vertical="center"/>
      <protection/>
    </xf>
    <xf numFmtId="0" fontId="24" fillId="0" borderId="18" xfId="21" applyFont="1" applyBorder="1" applyAlignment="1">
      <alignment horizontal="center" wrapText="1"/>
      <protection/>
    </xf>
    <xf numFmtId="0" fontId="24" fillId="0" borderId="0" xfId="21" applyFont="1" applyAlignment="1">
      <alignment horizontal="center" wrapText="1"/>
      <protection/>
    </xf>
    <xf numFmtId="0" fontId="24" fillId="0" borderId="4" xfId="21" applyFont="1" applyBorder="1" applyAlignment="1">
      <alignment horizontal="center" vertical="center"/>
      <protection/>
    </xf>
    <xf numFmtId="0" fontId="24" fillId="0" borderId="19" xfId="21" applyFont="1" applyBorder="1" applyAlignment="1">
      <alignment horizontal="center"/>
      <protection/>
    </xf>
    <xf numFmtId="0" fontId="24" fillId="0" borderId="20" xfId="21" applyFont="1" applyBorder="1" applyAlignment="1">
      <alignment horizontal="centerContinuous" vertical="center" wrapText="1"/>
      <protection/>
    </xf>
    <xf numFmtId="0" fontId="24" fillId="0" borderId="21" xfId="21" applyFont="1" applyBorder="1" applyAlignment="1">
      <alignment horizontal="center" vertical="center"/>
      <protection/>
    </xf>
    <xf numFmtId="0" fontId="24" fillId="0" borderId="17" xfId="21" applyFont="1" applyBorder="1" applyAlignment="1">
      <alignment horizontal="center" vertical="center"/>
      <protection/>
    </xf>
    <xf numFmtId="0" fontId="24" fillId="0" borderId="22" xfId="21" applyFont="1" applyBorder="1" applyAlignment="1">
      <alignment vertical="center" wrapText="1"/>
      <protection/>
    </xf>
    <xf numFmtId="0" fontId="22" fillId="0" borderId="19" xfId="21" applyFont="1" applyBorder="1" applyAlignment="1">
      <alignment horizontal="center"/>
      <protection/>
    </xf>
    <xf numFmtId="0" fontId="22" fillId="0" borderId="4" xfId="21" applyFont="1" applyBorder="1" applyAlignment="1">
      <alignment horizontal="center" vertical="center"/>
      <protection/>
    </xf>
    <xf numFmtId="0" fontId="24" fillId="2" borderId="22" xfId="21" applyFont="1" applyFill="1" applyBorder="1" applyAlignment="1">
      <alignment vertical="center" wrapText="1"/>
      <protection/>
    </xf>
    <xf numFmtId="0" fontId="20" fillId="0" borderId="23" xfId="21" applyFont="1" applyBorder="1" applyAlignment="1">
      <alignment horizontal="left" vertical="center" wrapText="1"/>
      <protection/>
    </xf>
    <xf numFmtId="167" fontId="20" fillId="0" borderId="24" xfId="21" applyNumberFormat="1" applyFont="1" applyBorder="1" applyAlignment="1">
      <alignment horizontal="center" vertical="center"/>
      <protection/>
    </xf>
    <xf numFmtId="40" fontId="20" fillId="0" borderId="15" xfId="21" applyNumberFormat="1" applyFont="1" applyBorder="1" applyAlignment="1">
      <alignment horizontal="center" vertical="center"/>
      <protection/>
    </xf>
    <xf numFmtId="168" fontId="20" fillId="0" borderId="14" xfId="21" applyNumberFormat="1" applyFont="1" applyBorder="1" applyAlignment="1">
      <alignment horizontal="center" vertical="center"/>
      <protection/>
    </xf>
    <xf numFmtId="0" fontId="24" fillId="0" borderId="22" xfId="21" applyFont="1" applyBorder="1" applyAlignment="1">
      <alignment horizontal="right" vertical="center" wrapText="1"/>
      <protection/>
    </xf>
    <xf numFmtId="169" fontId="20" fillId="0" borderId="25" xfId="21" applyNumberFormat="1" applyFont="1" applyBorder="1" applyAlignment="1">
      <alignment horizontal="center" vertical="center"/>
      <protection/>
    </xf>
    <xf numFmtId="168" fontId="24" fillId="0" borderId="4" xfId="21" applyNumberFormat="1" applyFont="1" applyBorder="1" applyAlignment="1">
      <alignment horizontal="center" vertical="center"/>
      <protection/>
    </xf>
    <xf numFmtId="169" fontId="20" fillId="0" borderId="26" xfId="21" applyNumberFormat="1" applyFont="1" applyBorder="1" applyAlignment="1">
      <alignment horizontal="center" vertical="center"/>
      <protection/>
    </xf>
    <xf numFmtId="168" fontId="22" fillId="0" borderId="4" xfId="21" applyNumberFormat="1" applyFont="1" applyBorder="1" applyAlignment="1">
      <alignment horizontal="center" vertical="center"/>
      <protection/>
    </xf>
    <xf numFmtId="169" fontId="20" fillId="0" borderId="15" xfId="21" applyNumberFormat="1" applyFont="1" applyBorder="1" applyAlignment="1">
      <alignment horizontal="center" vertical="center"/>
      <protection/>
    </xf>
    <xf numFmtId="0" fontId="20" fillId="0" borderId="15" xfId="21" applyFont="1" applyBorder="1" applyAlignment="1">
      <alignment horizontal="left" vertical="center" wrapText="1"/>
      <protection/>
    </xf>
    <xf numFmtId="167" fontId="20" fillId="0" borderId="27" xfId="21" applyNumberFormat="1" applyFont="1" applyBorder="1" applyAlignment="1">
      <alignment vertical="center"/>
      <protection/>
    </xf>
    <xf numFmtId="168" fontId="20" fillId="0" borderId="28" xfId="21" applyNumberFormat="1" applyFont="1" applyBorder="1" applyAlignment="1">
      <alignment vertical="center"/>
      <protection/>
    </xf>
    <xf numFmtId="0" fontId="22" fillId="0" borderId="8" xfId="21" applyFont="1" applyBorder="1">
      <alignment/>
      <protection/>
    </xf>
    <xf numFmtId="0" fontId="22" fillId="0" borderId="9" xfId="21" applyFont="1" applyBorder="1" applyAlignment="1">
      <alignment wrapText="1"/>
      <protection/>
    </xf>
    <xf numFmtId="0" fontId="10" fillId="0" borderId="0" xfId="21" applyAlignment="1">
      <alignment wrapText="1"/>
      <protection/>
    </xf>
    <xf numFmtId="49" fontId="16" fillId="0" borderId="0" xfId="21" applyNumberFormat="1" applyFont="1" applyAlignment="1">
      <alignment horizontal="centerContinuous" vertical="center"/>
      <protection/>
    </xf>
    <xf numFmtId="0" fontId="21" fillId="0" borderId="19" xfId="21" applyFont="1" applyBorder="1" applyAlignment="1">
      <alignment horizontal="center"/>
      <protection/>
    </xf>
    <xf numFmtId="0" fontId="21" fillId="0" borderId="22" xfId="21" applyFont="1" applyBorder="1" applyAlignment="1">
      <alignment horizontal="center"/>
      <protection/>
    </xf>
    <xf numFmtId="0" fontId="21" fillId="0" borderId="0" xfId="21" applyFont="1" applyAlignment="1">
      <alignment horizontal="center"/>
      <protection/>
    </xf>
    <xf numFmtId="49" fontId="21" fillId="0" borderId="29" xfId="21" applyNumberFormat="1" applyFont="1" applyBorder="1" applyAlignment="1">
      <alignment horizontal="center"/>
      <protection/>
    </xf>
    <xf numFmtId="49" fontId="21" fillId="0" borderId="3" xfId="21" applyNumberFormat="1" applyFont="1" applyBorder="1" applyAlignment="1">
      <alignment horizontal="center"/>
      <protection/>
    </xf>
    <xf numFmtId="166" fontId="21" fillId="0" borderId="19" xfId="21" applyNumberFormat="1" applyFont="1" applyBorder="1" applyAlignment="1">
      <alignment horizontal="center" vertical="center"/>
      <protection/>
    </xf>
    <xf numFmtId="166" fontId="21" fillId="0" borderId="0" xfId="21" applyNumberFormat="1" applyFont="1" applyAlignment="1">
      <alignment horizontal="center" vertical="center"/>
      <protection/>
    </xf>
    <xf numFmtId="49" fontId="21" fillId="0" borderId="30" xfId="21" applyNumberFormat="1" applyFont="1" applyBorder="1" applyAlignment="1">
      <alignment horizontal="center"/>
      <protection/>
    </xf>
    <xf numFmtId="49" fontId="21" fillId="0" borderId="6" xfId="21" applyNumberFormat="1" applyFont="1" applyBorder="1" applyAlignment="1">
      <alignment horizontal="center"/>
      <protection/>
    </xf>
    <xf numFmtId="0" fontId="21" fillId="0" borderId="31" xfId="21" applyFont="1" applyBorder="1" applyAlignment="1">
      <alignment horizontal="centerContinuous" vertical="center"/>
      <protection/>
    </xf>
    <xf numFmtId="0" fontId="21" fillId="0" borderId="32" xfId="21" applyFont="1" applyBorder="1" applyAlignment="1">
      <alignment horizontal="centerContinuous" vertical="center" wrapText="1"/>
      <protection/>
    </xf>
    <xf numFmtId="0" fontId="21" fillId="0" borderId="33" xfId="21" applyFont="1" applyBorder="1" applyAlignment="1">
      <alignment horizontal="center" vertical="center"/>
      <protection/>
    </xf>
    <xf numFmtId="0" fontId="21" fillId="0" borderId="34" xfId="21" applyFont="1" applyBorder="1" applyAlignment="1">
      <alignment horizontal="center" vertical="center"/>
      <protection/>
    </xf>
    <xf numFmtId="0" fontId="21" fillId="0" borderId="33" xfId="21" applyFont="1" applyBorder="1" applyAlignment="1">
      <alignment horizontal="center"/>
      <protection/>
    </xf>
    <xf numFmtId="38" fontId="21" fillId="0" borderId="35" xfId="21" applyNumberFormat="1" applyFont="1" applyBorder="1" applyAlignment="1">
      <alignment horizontal="center"/>
      <protection/>
    </xf>
    <xf numFmtId="38" fontId="21" fillId="0" borderId="34" xfId="21" applyNumberFormat="1" applyFont="1" applyBorder="1" applyAlignment="1">
      <alignment horizontal="center"/>
      <protection/>
    </xf>
    <xf numFmtId="49" fontId="21" fillId="0" borderId="36" xfId="21" applyNumberFormat="1" applyFont="1" applyBorder="1" applyAlignment="1">
      <alignment horizontal="center" vertical="center"/>
      <protection/>
    </xf>
    <xf numFmtId="49" fontId="21" fillId="0" borderId="37" xfId="21" applyNumberFormat="1" applyFont="1" applyBorder="1" applyAlignment="1">
      <alignment horizontal="center" vertical="center"/>
      <protection/>
    </xf>
    <xf numFmtId="41" fontId="24" fillId="0" borderId="19" xfId="21" applyNumberFormat="1" applyFont="1" applyBorder="1" applyAlignment="1">
      <alignment horizontal="center" vertical="center"/>
      <protection/>
    </xf>
    <xf numFmtId="0" fontId="22" fillId="0" borderId="22" xfId="21" applyFont="1" applyBorder="1" applyAlignment="1">
      <alignment horizontal="center"/>
      <protection/>
    </xf>
    <xf numFmtId="49" fontId="24" fillId="0" borderId="30" xfId="21" applyNumberFormat="1" applyFont="1" applyBorder="1" applyAlignment="1">
      <alignment horizontal="center"/>
      <protection/>
    </xf>
    <xf numFmtId="0" fontId="24" fillId="3" borderId="5" xfId="21" applyFont="1" applyFill="1" applyBorder="1" applyAlignment="1">
      <alignment vertical="center"/>
      <protection/>
    </xf>
    <xf numFmtId="0" fontId="24" fillId="3" borderId="0" xfId="21" applyFont="1" applyFill="1" applyAlignment="1">
      <alignment vertical="center" wrapText="1"/>
      <protection/>
    </xf>
    <xf numFmtId="38" fontId="20" fillId="0" borderId="15" xfId="21" applyNumberFormat="1" applyFont="1" applyBorder="1" applyAlignment="1">
      <alignment horizontal="right" vertical="center"/>
      <protection/>
    </xf>
    <xf numFmtId="38" fontId="20" fillId="0" borderId="16" xfId="21" applyNumberFormat="1" applyFont="1" applyBorder="1" applyAlignment="1">
      <alignment horizontal="right" vertical="center"/>
      <protection/>
    </xf>
    <xf numFmtId="0" fontId="24" fillId="0" borderId="0" xfId="21" applyFont="1" applyAlignment="1">
      <alignment horizontal="right" vertical="center" wrapText="1"/>
      <protection/>
    </xf>
    <xf numFmtId="0" fontId="24" fillId="2" borderId="0" xfId="21" applyFont="1" applyFill="1" applyAlignment="1">
      <alignment vertical="center" wrapText="1"/>
      <protection/>
    </xf>
    <xf numFmtId="167" fontId="22" fillId="0" borderId="0" xfId="21" applyNumberFormat="1" applyFont="1" applyAlignment="1">
      <alignment horizontal="right" vertical="center"/>
      <protection/>
    </xf>
    <xf numFmtId="49" fontId="24" fillId="0" borderId="38" xfId="21" applyNumberFormat="1" applyFont="1" applyBorder="1" applyAlignment="1">
      <alignment horizontal="right" vertical="center"/>
      <protection/>
    </xf>
    <xf numFmtId="167" fontId="20" fillId="0" borderId="39" xfId="21" applyNumberFormat="1" applyFont="1" applyBorder="1" applyAlignment="1">
      <alignment vertical="center"/>
      <protection/>
    </xf>
    <xf numFmtId="49" fontId="21" fillId="0" borderId="28" xfId="21" applyNumberFormat="1" applyFont="1" applyBorder="1" applyAlignment="1">
      <alignment vertical="center"/>
      <protection/>
    </xf>
    <xf numFmtId="0" fontId="24" fillId="2" borderId="0" xfId="21" applyFont="1" applyFill="1" applyAlignment="1">
      <alignment horizontal="right" vertical="center" wrapText="1"/>
      <protection/>
    </xf>
    <xf numFmtId="0" fontId="24" fillId="4" borderId="0" xfId="21" applyFont="1" applyFill="1" applyAlignment="1">
      <alignment horizontal="right" vertical="center" wrapText="1"/>
      <protection/>
    </xf>
    <xf numFmtId="38" fontId="24" fillId="0" borderId="0" xfId="21" applyNumberFormat="1" applyFont="1" applyAlignment="1">
      <alignment horizontal="right"/>
      <protection/>
    </xf>
    <xf numFmtId="38" fontId="24" fillId="0" borderId="4" xfId="21" applyNumberFormat="1" applyFont="1" applyBorder="1" applyAlignment="1">
      <alignment horizontal="right"/>
      <protection/>
    </xf>
    <xf numFmtId="0" fontId="24" fillId="0" borderId="40" xfId="21" applyFont="1" applyBorder="1" applyAlignment="1">
      <alignment horizontal="center"/>
      <protection/>
    </xf>
    <xf numFmtId="49" fontId="24" fillId="0" borderId="41" xfId="21" applyNumberFormat="1" applyFont="1" applyBorder="1" applyAlignment="1">
      <alignment horizontal="center"/>
      <protection/>
    </xf>
    <xf numFmtId="0" fontId="10" fillId="0" borderId="5" xfId="21" applyBorder="1">
      <alignment/>
      <protection/>
    </xf>
    <xf numFmtId="0" fontId="20" fillId="0" borderId="0" xfId="21" applyFont="1" applyAlignment="1">
      <alignment wrapText="1"/>
      <protection/>
    </xf>
    <xf numFmtId="37" fontId="20" fillId="0" borderId="0" xfId="21" applyNumberFormat="1" applyFont="1">
      <alignment/>
      <protection/>
    </xf>
    <xf numFmtId="37" fontId="20" fillId="0" borderId="0" xfId="21" applyNumberFormat="1" applyFont="1" applyAlignment="1">
      <alignment horizontal="right"/>
      <protection/>
    </xf>
    <xf numFmtId="49" fontId="20" fillId="0" borderId="4" xfId="21" applyNumberFormat="1" applyFont="1" applyBorder="1" applyAlignment="1">
      <alignment horizontal="center"/>
      <protection/>
    </xf>
    <xf numFmtId="0" fontId="22" fillId="0" borderId="0" xfId="21" applyFont="1" applyAlignment="1">
      <alignment wrapText="1"/>
      <protection/>
    </xf>
    <xf numFmtId="38" fontId="22" fillId="0" borderId="0" xfId="21" applyNumberFormat="1" applyFont="1">
      <alignment/>
      <protection/>
    </xf>
    <xf numFmtId="49" fontId="22" fillId="0" borderId="0" xfId="21" applyNumberFormat="1" applyFont="1" applyAlignment="1">
      <alignment horizontal="center"/>
      <protection/>
    </xf>
    <xf numFmtId="38" fontId="10" fillId="0" borderId="0" xfId="21" applyNumberFormat="1" applyAlignment="1">
      <alignment wrapText="1"/>
      <protection/>
    </xf>
    <xf numFmtId="0" fontId="21" fillId="0" borderId="0" xfId="21" applyFont="1" applyAlignment="1">
      <alignment vertical="center"/>
      <protection/>
    </xf>
    <xf numFmtId="0" fontId="21" fillId="0" borderId="0" xfId="21" applyFont="1" applyAlignment="1">
      <alignment vertical="center" wrapText="1"/>
      <protection/>
    </xf>
    <xf numFmtId="0" fontId="20" fillId="0" borderId="0" xfId="21" applyFont="1" applyAlignment="1">
      <alignment vertical="center" wrapText="1"/>
      <protection/>
    </xf>
    <xf numFmtId="0" fontId="21" fillId="0" borderId="2" xfId="21" applyFont="1" applyBorder="1" applyAlignment="1">
      <alignment horizontal="center"/>
      <protection/>
    </xf>
    <xf numFmtId="49" fontId="21" fillId="0" borderId="2" xfId="21" applyNumberFormat="1" applyFont="1" applyBorder="1" applyAlignment="1">
      <alignment horizontal="center"/>
      <protection/>
    </xf>
    <xf numFmtId="0" fontId="20" fillId="0" borderId="0" xfId="21" applyFont="1" applyAlignment="1">
      <alignment vertical="center"/>
      <protection/>
    </xf>
    <xf numFmtId="49" fontId="21" fillId="0" borderId="0" xfId="21" applyNumberFormat="1" applyFont="1" applyAlignment="1">
      <alignment horizontal="center"/>
      <protection/>
    </xf>
    <xf numFmtId="0" fontId="21" fillId="0" borderId="34" xfId="21" applyFont="1" applyBorder="1" applyAlignment="1">
      <alignment horizontal="center"/>
      <protection/>
    </xf>
    <xf numFmtId="49" fontId="21" fillId="0" borderId="34" xfId="21" applyNumberFormat="1" applyFont="1" applyBorder="1" applyAlignment="1">
      <alignment horizontal="center" vertical="center"/>
      <protection/>
    </xf>
    <xf numFmtId="0" fontId="21" fillId="0" borderId="35" xfId="21" applyFont="1" applyBorder="1" applyAlignment="1">
      <alignment horizontal="center"/>
      <protection/>
    </xf>
    <xf numFmtId="0" fontId="21" fillId="0" borderId="5" xfId="21" applyFont="1" applyBorder="1" applyAlignment="1">
      <alignment vertical="center"/>
      <protection/>
    </xf>
    <xf numFmtId="0" fontId="21" fillId="0" borderId="0" xfId="21" applyFont="1" applyAlignment="1">
      <alignment horizontal="right" vertical="center" wrapText="1"/>
      <protection/>
    </xf>
    <xf numFmtId="0" fontId="21" fillId="2" borderId="5" xfId="21" applyFont="1" applyFill="1" applyBorder="1" applyAlignment="1">
      <alignment vertical="center"/>
      <protection/>
    </xf>
    <xf numFmtId="0" fontId="21" fillId="2" borderId="0" xfId="21" applyFont="1" applyFill="1" applyAlignment="1">
      <alignment vertical="center" wrapText="1"/>
      <protection/>
    </xf>
    <xf numFmtId="5" fontId="27" fillId="0" borderId="42" xfId="23" applyNumberFormat="1" applyFont="1" applyBorder="1" applyAlignment="1">
      <alignment vertical="center"/>
      <protection/>
    </xf>
    <xf numFmtId="171" fontId="29" fillId="0" borderId="43" xfId="23" applyFont="1" applyBorder="1" applyAlignment="1">
      <alignment horizontal="center"/>
      <protection/>
    </xf>
    <xf numFmtId="171" fontId="29" fillId="0" borderId="2" xfId="23" applyFont="1" applyBorder="1" applyAlignment="1">
      <alignment horizontal="center"/>
      <protection/>
    </xf>
    <xf numFmtId="171" fontId="29" fillId="0" borderId="44" xfId="23" applyFont="1" applyBorder="1" applyAlignment="1">
      <alignment horizontal="center"/>
      <protection/>
    </xf>
    <xf numFmtId="5" fontId="20" fillId="0" borderId="45" xfId="18" applyNumberFormat="1" applyFont="1" applyFill="1" applyBorder="1" applyProtection="1">
      <protection/>
    </xf>
    <xf numFmtId="5" fontId="20" fillId="0" borderId="46" xfId="24" applyNumberFormat="1" applyBorder="1">
      <alignment/>
      <protection/>
    </xf>
    <xf numFmtId="5" fontId="20" fillId="0" borderId="46" xfId="18" applyNumberFormat="1" applyFont="1" applyFill="1" applyBorder="1" applyProtection="1">
      <protection/>
    </xf>
    <xf numFmtId="37" fontId="20" fillId="0" borderId="46" xfId="24" applyNumberFormat="1" applyBorder="1">
      <alignment/>
      <protection/>
    </xf>
    <xf numFmtId="37" fontId="20" fillId="0" borderId="47" xfId="24" applyNumberFormat="1" applyBorder="1">
      <alignment/>
      <protection/>
    </xf>
    <xf numFmtId="172" fontId="20" fillId="0" borderId="48" xfId="18" applyNumberFormat="1" applyFont="1" applyBorder="1" applyAlignment="1">
      <alignment horizontal="right"/>
    </xf>
    <xf numFmtId="5" fontId="20" fillId="0" borderId="49" xfId="25" applyNumberFormat="1" applyBorder="1">
      <alignment/>
      <protection/>
    </xf>
    <xf numFmtId="5" fontId="20" fillId="0" borderId="0" xfId="25" applyNumberFormat="1" applyAlignment="1">
      <alignment horizontal="right"/>
      <protection/>
    </xf>
    <xf numFmtId="37" fontId="20" fillId="0" borderId="50" xfId="24" applyNumberFormat="1" applyBorder="1">
      <alignment/>
      <protection/>
    </xf>
    <xf numFmtId="5" fontId="20" fillId="0" borderId="51" xfId="25" applyNumberFormat="1" applyBorder="1">
      <alignment/>
      <protection/>
    </xf>
    <xf numFmtId="37" fontId="20" fillId="0" borderId="50" xfId="25" applyNumberFormat="1" applyBorder="1">
      <alignment/>
      <protection/>
    </xf>
    <xf numFmtId="5" fontId="20" fillId="0" borderId="49" xfId="24" applyNumberFormat="1" applyBorder="1">
      <alignment/>
      <protection/>
    </xf>
    <xf numFmtId="0" fontId="21" fillId="0" borderId="52" xfId="24" applyFont="1" applyBorder="1" applyAlignment="1">
      <alignment horizontal="center"/>
      <protection/>
    </xf>
    <xf numFmtId="0" fontId="21" fillId="0" borderId="53" xfId="24" applyFont="1" applyBorder="1" applyAlignment="1">
      <alignment horizontal="center"/>
      <protection/>
    </xf>
    <xf numFmtId="171" fontId="21" fillId="0" borderId="53" xfId="24" applyNumberFormat="1" applyFont="1" applyBorder="1" applyAlignment="1">
      <alignment horizontal="center"/>
      <protection/>
    </xf>
    <xf numFmtId="37" fontId="20" fillId="0" borderId="54" xfId="24" applyNumberFormat="1" applyBorder="1">
      <alignment/>
      <protection/>
    </xf>
    <xf numFmtId="171" fontId="21" fillId="0" borderId="55" xfId="24" applyNumberFormat="1" applyFont="1" applyBorder="1" applyAlignment="1">
      <alignment horizontal="center"/>
      <protection/>
    </xf>
    <xf numFmtId="0" fontId="21" fillId="0" borderId="49" xfId="24" applyFont="1" applyBorder="1" applyAlignment="1">
      <alignment horizontal="center"/>
      <protection/>
    </xf>
    <xf numFmtId="0" fontId="21" fillId="0" borderId="0" xfId="24" applyFont="1">
      <alignment/>
      <protection/>
    </xf>
    <xf numFmtId="0" fontId="21" fillId="0" borderId="0" xfId="24" applyFont="1" applyAlignment="1">
      <alignment horizontal="center"/>
      <protection/>
    </xf>
    <xf numFmtId="0" fontId="21" fillId="0" borderId="0" xfId="0" applyFont="1" applyAlignment="1">
      <alignment horizontal="center"/>
    </xf>
    <xf numFmtId="171" fontId="21" fillId="0" borderId="0" xfId="24" applyNumberFormat="1" applyFont="1" applyAlignment="1">
      <alignment horizontal="center"/>
      <protection/>
    </xf>
    <xf numFmtId="171" fontId="21" fillId="0" borderId="56" xfId="24" applyNumberFormat="1" applyFont="1" applyBorder="1" applyAlignment="1">
      <alignment horizontal="center"/>
      <protection/>
    </xf>
    <xf numFmtId="37" fontId="20" fillId="5" borderId="57" xfId="24" applyNumberFormat="1" applyFill="1" applyBorder="1">
      <alignment/>
      <protection/>
    </xf>
    <xf numFmtId="5" fontId="20" fillId="0" borderId="58" xfId="25" applyNumberFormat="1" applyBorder="1">
      <alignment/>
      <protection/>
    </xf>
    <xf numFmtId="165" fontId="20" fillId="0" borderId="0" xfId="24" applyNumberFormat="1" applyAlignment="1">
      <alignment horizontal="right"/>
      <protection/>
    </xf>
    <xf numFmtId="165" fontId="20" fillId="0" borderId="56" xfId="18" applyNumberFormat="1" applyFont="1" applyBorder="1" applyAlignment="1">
      <alignment horizontal="right"/>
    </xf>
    <xf numFmtId="165" fontId="20" fillId="0" borderId="56" xfId="18" applyNumberFormat="1" applyFont="1" applyBorder="1" applyAlignment="1" applyProtection="1">
      <alignment horizontal="right"/>
      <protection/>
    </xf>
    <xf numFmtId="165" fontId="20" fillId="0" borderId="0" xfId="25" applyNumberFormat="1" applyAlignment="1">
      <alignment horizontal="right"/>
      <protection/>
    </xf>
    <xf numFmtId="165" fontId="20" fillId="0" borderId="56" xfId="26" applyNumberFormat="1" applyFont="1" applyBorder="1" applyAlignment="1" applyProtection="1">
      <alignment horizontal="right"/>
      <protection/>
    </xf>
    <xf numFmtId="165" fontId="20" fillId="0" borderId="56" xfId="26" applyNumberFormat="1" applyFont="1" applyBorder="1" applyAlignment="1">
      <alignment horizontal="right"/>
    </xf>
    <xf numFmtId="5" fontId="20" fillId="0" borderId="45" xfId="18" applyNumberFormat="1" applyFont="1" applyBorder="1"/>
    <xf numFmtId="0" fontId="0" fillId="0" borderId="56" xfId="0" applyBorder="1" applyAlignment="1">
      <alignment horizontal="right"/>
    </xf>
    <xf numFmtId="0" fontId="0" fillId="0" borderId="0" xfId="0" applyAlignment="1">
      <alignment horizontal="center"/>
    </xf>
    <xf numFmtId="0" fontId="0" fillId="0" borderId="49" xfId="0" applyBorder="1"/>
    <xf numFmtId="0" fontId="0" fillId="0" borderId="56" xfId="0" applyBorder="1"/>
    <xf numFmtId="173" fontId="0" fillId="0" borderId="0" xfId="15" applyNumberFormat="1" applyFont="1"/>
    <xf numFmtId="170" fontId="21" fillId="0" borderId="59" xfId="0" applyNumberFormat="1" applyFont="1" applyBorder="1" applyAlignment="1">
      <alignment horizontal="right" vertical="center"/>
    </xf>
    <xf numFmtId="170" fontId="21" fillId="0" borderId="60" xfId="0" applyNumberFormat="1" applyFont="1" applyBorder="1" applyAlignment="1">
      <alignment horizontal="right" vertical="center"/>
    </xf>
    <xf numFmtId="5" fontId="20" fillId="0" borderId="0" xfId="0" applyNumberFormat="1" applyFont="1"/>
    <xf numFmtId="170" fontId="21" fillId="0" borderId="53" xfId="0" applyNumberFormat="1" applyFont="1" applyBorder="1" applyAlignment="1">
      <alignment horizontal="right" vertical="center"/>
    </xf>
    <xf numFmtId="170" fontId="21" fillId="0" borderId="60" xfId="18" applyNumberFormat="1" applyFont="1" applyFill="1" applyBorder="1" applyAlignment="1" applyProtection="1">
      <alignment horizontal="right" vertical="center"/>
      <protection/>
    </xf>
    <xf numFmtId="170" fontId="21" fillId="0" borderId="59" xfId="0" applyNumberFormat="1" applyFont="1" applyBorder="1" applyAlignment="1">
      <alignment horizontal="centerContinuous" vertical="center" wrapText="1"/>
    </xf>
    <xf numFmtId="170" fontId="21" fillId="0" borderId="60" xfId="0" applyNumberFormat="1" applyFont="1" applyBorder="1" applyAlignment="1">
      <alignment horizontal="centerContinuous" vertical="center" wrapText="1"/>
    </xf>
    <xf numFmtId="5" fontId="21" fillId="0" borderId="61" xfId="0" applyNumberFormat="1" applyFont="1" applyBorder="1" applyAlignment="1">
      <alignment vertical="center"/>
    </xf>
    <xf numFmtId="5" fontId="21" fillId="0" borderId="62" xfId="0" applyNumberFormat="1" applyFont="1" applyBorder="1" applyAlignment="1">
      <alignment vertical="center"/>
    </xf>
    <xf numFmtId="172" fontId="21" fillId="0" borderId="0" xfId="0" applyNumberFormat="1" applyFont="1" applyAlignment="1">
      <alignment horizontal="centerContinuous" vertical="center" wrapText="1"/>
    </xf>
    <xf numFmtId="172" fontId="21" fillId="0" borderId="42" xfId="0" applyNumberFormat="1" applyFont="1" applyBorder="1" applyAlignment="1">
      <alignment horizontal="centerContinuous" vertical="center" wrapText="1"/>
    </xf>
    <xf numFmtId="5" fontId="21" fillId="0" borderId="43" xfId="0" applyNumberFormat="1" applyFont="1" applyBorder="1" applyAlignment="1">
      <alignment vertical="center"/>
    </xf>
    <xf numFmtId="5" fontId="21" fillId="0" borderId="44" xfId="0" applyNumberFormat="1" applyFont="1" applyBorder="1" applyAlignment="1">
      <alignment vertical="center"/>
    </xf>
    <xf numFmtId="172" fontId="21" fillId="0" borderId="2" xfId="0" applyNumberFormat="1" applyFont="1" applyBorder="1" applyAlignment="1">
      <alignment horizontal="centerContinuous" vertical="center" wrapText="1"/>
    </xf>
    <xf numFmtId="172" fontId="21" fillId="0" borderId="44" xfId="0" applyNumberFormat="1" applyFont="1" applyBorder="1" applyAlignment="1">
      <alignment horizontal="centerContinuous" vertical="center" wrapText="1"/>
    </xf>
    <xf numFmtId="5" fontId="20" fillId="0" borderId="63" xfId="0" applyNumberFormat="1" applyFont="1" applyBorder="1"/>
    <xf numFmtId="5" fontId="20" fillId="0" borderId="42" xfId="0" applyNumberFormat="1" applyFont="1" applyBorder="1"/>
    <xf numFmtId="0" fontId="20" fillId="0" borderId="0" xfId="0" applyFont="1" applyAlignment="1">
      <alignment horizontal="center"/>
    </xf>
    <xf numFmtId="0" fontId="20" fillId="0" borderId="42" xfId="0" applyFont="1" applyBorder="1" applyAlignment="1">
      <alignment horizont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0" xfId="0" applyFont="1" applyAlignment="1">
      <alignment horizontal="center" vertical="center"/>
    </xf>
    <xf numFmtId="0" fontId="31" fillId="0" borderId="44" xfId="18" applyNumberFormat="1" applyFont="1" applyFill="1" applyBorder="1" applyAlignment="1" applyProtection="1">
      <alignment horizontal="center" vertical="center"/>
      <protection/>
    </xf>
    <xf numFmtId="49" fontId="31" fillId="0" borderId="2" xfId="0" applyNumberFormat="1" applyFont="1" applyBorder="1" applyAlignment="1">
      <alignment horizontal="center" vertical="center"/>
    </xf>
    <xf numFmtId="49" fontId="31" fillId="0" borderId="44" xfId="0" applyNumberFormat="1" applyFont="1" applyBorder="1" applyAlignment="1">
      <alignment horizontal="center" vertical="center"/>
    </xf>
    <xf numFmtId="0" fontId="23" fillId="0" borderId="0" xfId="27" applyFont="1">
      <alignment/>
      <protection/>
    </xf>
    <xf numFmtId="0" fontId="24" fillId="0" borderId="0" xfId="27" applyFont="1">
      <alignment/>
      <protection/>
    </xf>
    <xf numFmtId="49" fontId="24" fillId="0" borderId="63" xfId="23" applyNumberFormat="1" applyFont="1" applyBorder="1" applyAlignment="1">
      <alignment horizontal="left"/>
      <protection/>
    </xf>
    <xf numFmtId="49" fontId="24" fillId="0" borderId="42" xfId="23" applyNumberFormat="1" applyFont="1" applyBorder="1" applyAlignment="1" quotePrefix="1">
      <alignment horizontal="centerContinuous"/>
      <protection/>
    </xf>
    <xf numFmtId="49" fontId="24" fillId="0" borderId="63" xfId="23" applyNumberFormat="1" applyFont="1" applyBorder="1" applyAlignment="1" quotePrefix="1">
      <alignment horizontal="centerContinuous"/>
      <protection/>
    </xf>
    <xf numFmtId="49" fontId="24" fillId="0" borderId="63" xfId="23" applyNumberFormat="1" applyFont="1" applyBorder="1" applyAlignment="1">
      <alignment horizontal="left" wrapText="1"/>
      <protection/>
    </xf>
    <xf numFmtId="49" fontId="24" fillId="0" borderId="42" xfId="23" applyNumberFormat="1" applyFont="1" applyBorder="1" applyAlignment="1">
      <alignment horizontal="center" wrapText="1"/>
      <protection/>
    </xf>
    <xf numFmtId="49" fontId="24" fillId="0" borderId="63" xfId="28" applyNumberFormat="1" applyFont="1" applyFill="1" applyBorder="1" applyAlignment="1">
      <alignment horizontal="center" wrapText="1"/>
    </xf>
    <xf numFmtId="49" fontId="24" fillId="0" borderId="59" xfId="23" applyNumberFormat="1" applyFont="1" applyBorder="1" applyAlignment="1">
      <alignment horizontal="center"/>
      <protection/>
    </xf>
    <xf numFmtId="49" fontId="24" fillId="0" borderId="60" xfId="23" applyNumberFormat="1" applyFont="1" applyBorder="1" applyAlignment="1">
      <alignment horizontal="center"/>
      <protection/>
    </xf>
    <xf numFmtId="49" fontId="24" fillId="0" borderId="53" xfId="23" applyNumberFormat="1" applyFont="1" applyBorder="1" applyAlignment="1">
      <alignment horizontal="center"/>
      <protection/>
    </xf>
    <xf numFmtId="49" fontId="24" fillId="0" borderId="59" xfId="28" applyNumberFormat="1" applyFont="1" applyFill="1" applyBorder="1" applyAlignment="1" applyProtection="1">
      <alignment horizontal="center"/>
      <protection/>
    </xf>
    <xf numFmtId="0" fontId="20" fillId="0" borderId="63" xfId="23" applyNumberFormat="1" applyFont="1" applyBorder="1" applyAlignment="1">
      <alignment horizontal="left" vertical="center" wrapText="1"/>
      <protection/>
    </xf>
    <xf numFmtId="5" fontId="20" fillId="0" borderId="44" xfId="23" applyNumberFormat="1" applyFont="1" applyBorder="1" applyAlignment="1">
      <alignment vertical="center"/>
      <protection/>
    </xf>
    <xf numFmtId="5" fontId="20" fillId="0" borderId="2" xfId="23" applyNumberFormat="1" applyFont="1" applyBorder="1" applyAlignment="1">
      <alignment vertical="center"/>
      <protection/>
    </xf>
    <xf numFmtId="174" fontId="20" fillId="0" borderId="43" xfId="28" applyNumberFormat="1" applyFont="1" applyFill="1" applyBorder="1" applyAlignment="1">
      <alignment horizontal="center" vertical="center"/>
    </xf>
    <xf numFmtId="5" fontId="20" fillId="0" borderId="42" xfId="23" applyNumberFormat="1" applyFont="1" applyBorder="1" applyAlignment="1">
      <alignment vertical="center"/>
      <protection/>
    </xf>
    <xf numFmtId="174" fontId="20" fillId="0" borderId="63" xfId="28" applyNumberFormat="1" applyFont="1" applyFill="1" applyBorder="1" applyAlignment="1">
      <alignment horizontal="center" vertical="center"/>
    </xf>
    <xf numFmtId="49" fontId="20" fillId="0" borderId="0" xfId="23" applyNumberFormat="1" applyFont="1">
      <alignment/>
      <protection/>
    </xf>
    <xf numFmtId="49" fontId="20" fillId="0" borderId="0" xfId="23" applyNumberFormat="1" applyFont="1" applyAlignment="1">
      <alignment horizontal="left"/>
      <protection/>
    </xf>
    <xf numFmtId="171" fontId="20" fillId="0" borderId="0" xfId="23" applyFont="1">
      <alignment/>
      <protection/>
    </xf>
    <xf numFmtId="0" fontId="34" fillId="0" borderId="0" xfId="30" applyFont="1">
      <alignment/>
      <protection/>
    </xf>
    <xf numFmtId="0" fontId="34" fillId="0" borderId="0" xfId="31" applyFont="1">
      <alignment/>
      <protection/>
    </xf>
    <xf numFmtId="0" fontId="27" fillId="0" borderId="0" xfId="30" applyFont="1">
      <alignment/>
      <protection/>
    </xf>
    <xf numFmtId="0" fontId="27" fillId="0" borderId="0" xfId="31" applyFont="1">
      <alignment/>
      <protection/>
    </xf>
    <xf numFmtId="0" fontId="35" fillId="0" borderId="0" xfId="30" applyFont="1" applyAlignment="1">
      <alignment horizontal="center" vertical="center"/>
      <protection/>
    </xf>
    <xf numFmtId="0" fontId="35" fillId="0" borderId="0" xfId="30" applyFont="1" applyAlignment="1">
      <alignment horizontal="left" vertical="center"/>
      <protection/>
    </xf>
    <xf numFmtId="5" fontId="35" fillId="0" borderId="0" xfId="30" applyNumberFormat="1" applyFont="1" applyAlignment="1">
      <alignment horizontal="center" vertical="center"/>
      <protection/>
    </xf>
    <xf numFmtId="170" fontId="35" fillId="0" borderId="0" xfId="30" applyNumberFormat="1" applyFont="1" applyAlignment="1">
      <alignment horizontal="centerContinuous" vertical="center"/>
      <protection/>
    </xf>
    <xf numFmtId="5" fontId="35" fillId="0" borderId="0" xfId="30" applyNumberFormat="1" applyFont="1" applyAlignment="1">
      <alignment horizontal="centerContinuous" vertical="center"/>
      <protection/>
    </xf>
    <xf numFmtId="0" fontId="35" fillId="0" borderId="0" xfId="30" applyFont="1">
      <alignment/>
      <protection/>
    </xf>
    <xf numFmtId="0" fontId="35" fillId="0" borderId="0" xfId="31" applyFont="1">
      <alignment/>
      <protection/>
    </xf>
    <xf numFmtId="0" fontId="28" fillId="5" borderId="64" xfId="30" applyFont="1" applyFill="1" applyBorder="1" applyAlignment="1">
      <alignment horizontal="center" vertical="center" wrapText="1"/>
      <protection/>
    </xf>
    <xf numFmtId="5" fontId="28" fillId="5" borderId="64" xfId="30" applyNumberFormat="1" applyFont="1" applyFill="1" applyBorder="1" applyAlignment="1">
      <alignment horizontal="center" vertical="center" wrapText="1"/>
      <protection/>
    </xf>
    <xf numFmtId="170" fontId="28" fillId="5" borderId="64" xfId="30" applyNumberFormat="1" applyFont="1" applyFill="1" applyBorder="1" applyAlignment="1">
      <alignment horizontal="center" vertical="center" wrapText="1"/>
      <protection/>
    </xf>
    <xf numFmtId="0" fontId="27" fillId="0" borderId="0" xfId="30" applyFont="1" applyAlignment="1">
      <alignment horizontal="center"/>
      <protection/>
    </xf>
    <xf numFmtId="5" fontId="27" fillId="0" borderId="0" xfId="32" applyNumberFormat="1" applyFont="1" applyBorder="1"/>
    <xf numFmtId="0" fontId="18" fillId="0" borderId="0" xfId="30" applyFont="1">
      <alignment/>
      <protection/>
    </xf>
    <xf numFmtId="0" fontId="10" fillId="0" borderId="0" xfId="30">
      <alignment/>
      <protection/>
    </xf>
    <xf numFmtId="0" fontId="10" fillId="0" borderId="0" xfId="31">
      <alignment/>
      <protection/>
    </xf>
    <xf numFmtId="7" fontId="27" fillId="0" borderId="0" xfId="30" applyNumberFormat="1" applyFont="1">
      <alignment/>
      <protection/>
    </xf>
    <xf numFmtId="0" fontId="28" fillId="0" borderId="0" xfId="30" applyFont="1" applyAlignment="1">
      <alignment horizontal="center"/>
      <protection/>
    </xf>
    <xf numFmtId="0" fontId="28" fillId="0" borderId="0" xfId="30" applyFont="1">
      <alignment/>
      <protection/>
    </xf>
    <xf numFmtId="5" fontId="28" fillId="0" borderId="46" xfId="32" applyNumberFormat="1" applyFont="1" applyBorder="1"/>
    <xf numFmtId="176" fontId="28" fillId="0" borderId="46" xfId="30" applyNumberFormat="1" applyFont="1" applyBorder="1" applyAlignment="1">
      <alignment horizontal="center"/>
      <protection/>
    </xf>
    <xf numFmtId="5" fontId="28" fillId="0" borderId="0" xfId="30" applyNumberFormat="1" applyFont="1">
      <alignment/>
      <protection/>
    </xf>
    <xf numFmtId="172" fontId="27" fillId="0" borderId="0" xfId="30" applyNumberFormat="1" applyFont="1" applyAlignment="1">
      <alignment horizontal="right"/>
      <protection/>
    </xf>
    <xf numFmtId="7" fontId="27" fillId="0" borderId="0" xfId="31" applyNumberFormat="1" applyFont="1">
      <alignment/>
      <protection/>
    </xf>
    <xf numFmtId="5" fontId="10" fillId="0" borderId="0" xfId="30" applyNumberFormat="1">
      <alignment/>
      <protection/>
    </xf>
    <xf numFmtId="0" fontId="27" fillId="0" borderId="0" xfId="31" applyFont="1" applyAlignment="1">
      <alignment horizontal="center"/>
      <protection/>
    </xf>
    <xf numFmtId="5" fontId="27" fillId="0" borderId="0" xfId="33" applyNumberFormat="1" applyFont="1" applyBorder="1"/>
    <xf numFmtId="172" fontId="27" fillId="0" borderId="0" xfId="34" applyNumberFormat="1" applyFont="1" applyBorder="1" applyAlignment="1">
      <alignment horizontal="right"/>
    </xf>
    <xf numFmtId="172" fontId="10" fillId="0" borderId="0" xfId="30" applyNumberFormat="1">
      <alignment/>
      <protection/>
    </xf>
    <xf numFmtId="0" fontId="21" fillId="0" borderId="0" xfId="30" applyFont="1" applyAlignment="1">
      <alignment horizontal="right"/>
      <protection/>
    </xf>
    <xf numFmtId="0" fontId="10" fillId="0" borderId="0" xfId="31" applyAlignment="1">
      <alignment horizontal="center"/>
      <protection/>
    </xf>
    <xf numFmtId="0" fontId="10" fillId="0" borderId="0" xfId="31" applyAlignment="1">
      <alignment horizontal="left"/>
      <protection/>
    </xf>
    <xf numFmtId="5" fontId="10" fillId="0" borderId="0" xfId="31" applyNumberFormat="1">
      <alignment/>
      <protection/>
    </xf>
    <xf numFmtId="0" fontId="20" fillId="0" borderId="0" xfId="0" applyFont="1"/>
    <xf numFmtId="0" fontId="16" fillId="0" borderId="0" xfId="21" applyFont="1" applyAlignment="1">
      <alignment vertical="center"/>
      <protection/>
    </xf>
    <xf numFmtId="0" fontId="24" fillId="5" borderId="65" xfId="21" applyFont="1" applyFill="1" applyBorder="1" applyAlignment="1">
      <alignment vertical="center" wrapText="1"/>
      <protection/>
    </xf>
    <xf numFmtId="0" fontId="20" fillId="0" borderId="9" xfId="21" applyFont="1" applyBorder="1" applyAlignment="1">
      <alignment vertical="center"/>
      <protection/>
    </xf>
    <xf numFmtId="0" fontId="20" fillId="0" borderId="16" xfId="0" applyFont="1" applyBorder="1"/>
    <xf numFmtId="0" fontId="20" fillId="0" borderId="38" xfId="0" applyFont="1" applyBorder="1"/>
    <xf numFmtId="0" fontId="20" fillId="6" borderId="38" xfId="0" applyFont="1" applyFill="1" applyBorder="1"/>
    <xf numFmtId="0" fontId="24" fillId="6" borderId="6" xfId="0" applyFont="1" applyFill="1" applyBorder="1"/>
    <xf numFmtId="0" fontId="22" fillId="6" borderId="6" xfId="0" applyFont="1" applyFill="1" applyBorder="1"/>
    <xf numFmtId="0" fontId="20" fillId="6" borderId="16" xfId="0" applyFont="1" applyFill="1" applyBorder="1"/>
    <xf numFmtId="0" fontId="37" fillId="0" borderId="0" xfId="35" applyFont="1" applyAlignment="1">
      <alignment horizontal="center" wrapText="1"/>
      <protection/>
    </xf>
    <xf numFmtId="0" fontId="20" fillId="0" borderId="0" xfId="35">
      <alignment/>
      <protection/>
    </xf>
    <xf numFmtId="172" fontId="0" fillId="0" borderId="0" xfId="36" applyNumberFormat="1" applyFont="1" applyAlignment="1">
      <alignment/>
    </xf>
    <xf numFmtId="172" fontId="21" fillId="0" borderId="0" xfId="36" applyNumberFormat="1" applyFont="1" applyBorder="1" applyAlignment="1">
      <alignment/>
    </xf>
    <xf numFmtId="177" fontId="22" fillId="0" borderId="0" xfId="18" applyNumberFormat="1" applyFont="1" applyAlignment="1">
      <alignment horizontal="center" vertical="center"/>
    </xf>
    <xf numFmtId="177" fontId="24" fillId="0" borderId="2" xfId="18" applyNumberFormat="1" applyFont="1" applyBorder="1" applyAlignment="1">
      <alignment horizontal="center"/>
    </xf>
    <xf numFmtId="177" fontId="24" fillId="0" borderId="0" xfId="18" applyNumberFormat="1" applyFont="1" applyAlignment="1">
      <alignment horizontal="center"/>
    </xf>
    <xf numFmtId="177" fontId="24" fillId="0" borderId="9" xfId="18" applyNumberFormat="1" applyFont="1" applyBorder="1" applyAlignment="1">
      <alignment horizontal="center" vertical="center"/>
    </xf>
    <xf numFmtId="177" fontId="22" fillId="0" borderId="0" xfId="18" applyNumberFormat="1" applyFont="1" applyAlignment="1">
      <alignment horizontal="center"/>
    </xf>
    <xf numFmtId="177" fontId="20" fillId="0" borderId="9" xfId="18" applyNumberFormat="1" applyFont="1" applyBorder="1" applyAlignment="1">
      <alignment horizontal="center"/>
    </xf>
    <xf numFmtId="177" fontId="20" fillId="0" borderId="0" xfId="18" applyNumberFormat="1" applyFont="1" applyAlignment="1">
      <alignment horizontal="center"/>
    </xf>
    <xf numFmtId="14" fontId="21" fillId="0" borderId="53" xfId="24" applyNumberFormat="1" applyFont="1" applyBorder="1" applyAlignment="1">
      <alignment horizontal="center"/>
      <protection/>
    </xf>
    <xf numFmtId="173" fontId="21" fillId="0" borderId="0" xfId="15" applyNumberFormat="1" applyFont="1" applyAlignment="1">
      <alignment horizontal="center"/>
    </xf>
    <xf numFmtId="173" fontId="21" fillId="0" borderId="53" xfId="15" applyNumberFormat="1" applyFont="1" applyBorder="1" applyAlignment="1">
      <alignment horizontal="center"/>
    </xf>
    <xf numFmtId="0" fontId="21" fillId="0" borderId="0" xfId="21" applyFont="1" applyAlignment="1">
      <alignment horizontal="center" vertical="center"/>
      <protection/>
    </xf>
    <xf numFmtId="0" fontId="24" fillId="0" borderId="7" xfId="21" applyFont="1" applyBorder="1" applyAlignment="1">
      <alignment horizontal="center" vertical="center"/>
      <protection/>
    </xf>
    <xf numFmtId="0" fontId="24" fillId="0" borderId="66" xfId="21" applyFont="1" applyBorder="1" applyAlignment="1">
      <alignment horizontal="center" vertical="center"/>
      <protection/>
    </xf>
    <xf numFmtId="5" fontId="4" fillId="0" borderId="0" xfId="0" applyNumberFormat="1" applyFont="1"/>
    <xf numFmtId="0" fontId="39" fillId="0" borderId="0" xfId="0" applyFont="1"/>
    <xf numFmtId="5" fontId="39" fillId="0" borderId="0" xfId="0" applyNumberFormat="1" applyFont="1"/>
    <xf numFmtId="0" fontId="20" fillId="0" borderId="0" xfId="0" applyFont="1" applyAlignment="1">
      <alignment wrapText="1"/>
    </xf>
    <xf numFmtId="0" fontId="40" fillId="0" borderId="0" xfId="0" applyFont="1"/>
    <xf numFmtId="0" fontId="20" fillId="0" borderId="33" xfId="0" applyFont="1" applyBorder="1" applyAlignment="1">
      <alignment wrapText="1"/>
    </xf>
    <xf numFmtId="0" fontId="20" fillId="0" borderId="34" xfId="0" applyFont="1" applyBorder="1" applyAlignment="1">
      <alignment wrapText="1"/>
    </xf>
    <xf numFmtId="5" fontId="20" fillId="0" borderId="34" xfId="0" applyNumberFormat="1" applyFont="1" applyBorder="1" applyAlignment="1">
      <alignment wrapText="1"/>
    </xf>
    <xf numFmtId="0" fontId="20" fillId="0" borderId="35" xfId="0" applyFont="1" applyBorder="1" applyAlignment="1">
      <alignment wrapText="1"/>
    </xf>
    <xf numFmtId="0" fontId="41" fillId="0" borderId="34" xfId="0" applyFont="1" applyBorder="1"/>
    <xf numFmtId="0" fontId="21" fillId="0" borderId="0" xfId="0" applyFont="1" applyAlignment="1">
      <alignment horizontal="center" wrapText="1"/>
    </xf>
    <xf numFmtId="5" fontId="20" fillId="0" borderId="0" xfId="0" applyNumberFormat="1" applyFont="1" applyAlignment="1">
      <alignment wrapText="1"/>
    </xf>
    <xf numFmtId="0" fontId="1" fillId="0" borderId="0" xfId="0" applyFont="1"/>
    <xf numFmtId="0" fontId="42" fillId="0" borderId="0" xfId="0" applyFont="1"/>
    <xf numFmtId="0" fontId="21" fillId="7" borderId="18" xfId="0" applyFont="1" applyFill="1" applyBorder="1" applyAlignment="1">
      <alignment horizontal="center" wrapText="1"/>
    </xf>
    <xf numFmtId="0" fontId="21" fillId="7" borderId="67" xfId="0" applyFont="1" applyFill="1" applyBorder="1" applyAlignment="1">
      <alignment horizontal="center" wrapText="1"/>
    </xf>
    <xf numFmtId="0" fontId="21" fillId="7" borderId="68" xfId="0" applyFont="1" applyFill="1" applyBorder="1" applyAlignment="1">
      <alignment horizontal="center" wrapText="1"/>
    </xf>
    <xf numFmtId="0" fontId="41" fillId="0" borderId="0" xfId="0" applyFont="1"/>
    <xf numFmtId="5" fontId="41" fillId="0" borderId="34" xfId="0" applyNumberFormat="1" applyFont="1" applyBorder="1"/>
    <xf numFmtId="5" fontId="27" fillId="0" borderId="0" xfId="32" applyNumberFormat="1" applyFont="1" applyFill="1" applyBorder="1"/>
    <xf numFmtId="43" fontId="27" fillId="0" borderId="0" xfId="18" applyFont="1" applyBorder="1"/>
    <xf numFmtId="0" fontId="0" fillId="0" borderId="0" xfId="0" applyAlignment="1">
      <alignment horizontal="center" wrapText="1"/>
    </xf>
    <xf numFmtId="0" fontId="40" fillId="0" borderId="0" xfId="0" applyFont="1" applyAlignment="1">
      <alignment wrapText="1"/>
    </xf>
    <xf numFmtId="0" fontId="0" fillId="0" borderId="0" xfId="0" applyAlignment="1">
      <alignment wrapText="1"/>
    </xf>
    <xf numFmtId="0" fontId="42" fillId="0" borderId="0" xfId="0" applyFont="1" applyAlignment="1">
      <alignment wrapText="1"/>
    </xf>
    <xf numFmtId="172" fontId="21" fillId="0" borderId="46" xfId="36" applyNumberFormat="1" applyFont="1" applyFill="1" applyBorder="1" applyAlignment="1">
      <alignment/>
    </xf>
    <xf numFmtId="172" fontId="21" fillId="0" borderId="0" xfId="36" applyNumberFormat="1" applyFont="1" applyFill="1" applyBorder="1" applyAlignment="1">
      <alignment/>
    </xf>
    <xf numFmtId="172" fontId="20" fillId="0" borderId="0" xfId="0" applyNumberFormat="1" applyFont="1"/>
    <xf numFmtId="0" fontId="20" fillId="0" borderId="0" xfId="30" applyFont="1">
      <alignment/>
      <protection/>
    </xf>
    <xf numFmtId="0" fontId="20" fillId="0" borderId="0" xfId="31" applyFont="1">
      <alignment/>
      <protection/>
    </xf>
    <xf numFmtId="5" fontId="20" fillId="0" borderId="0" xfId="31" applyNumberFormat="1" applyFont="1">
      <alignment/>
      <protection/>
    </xf>
    <xf numFmtId="170" fontId="27" fillId="0" borderId="0" xfId="30" applyNumberFormat="1" applyFont="1" applyAlignment="1">
      <alignment horizontal="center"/>
      <protection/>
    </xf>
    <xf numFmtId="0" fontId="28" fillId="0" borderId="0" xfId="30" applyFont="1" applyAlignment="1">
      <alignment horizontal="right"/>
      <protection/>
    </xf>
    <xf numFmtId="0" fontId="27" fillId="0" borderId="0" xfId="30" applyFont="1" applyAlignment="1">
      <alignment horizontal="right"/>
      <protection/>
    </xf>
    <xf numFmtId="172" fontId="21" fillId="0" borderId="53" xfId="30" applyNumberFormat="1" applyFont="1" applyBorder="1" applyAlignment="1">
      <alignment horizontal="right"/>
      <protection/>
    </xf>
    <xf numFmtId="172" fontId="18" fillId="0" borderId="0" xfId="30" applyNumberFormat="1" applyFont="1">
      <alignment/>
      <protection/>
    </xf>
    <xf numFmtId="0" fontId="18" fillId="0" borderId="0" xfId="31" applyFont="1">
      <alignment/>
      <protection/>
    </xf>
    <xf numFmtId="0" fontId="21" fillId="0" borderId="53" xfId="30" applyFont="1" applyBorder="1" applyAlignment="1">
      <alignment horizontal="left"/>
      <protection/>
    </xf>
    <xf numFmtId="0" fontId="18" fillId="0" borderId="53" xfId="30" applyFont="1" applyBorder="1" applyAlignment="1">
      <alignment horizontal="right"/>
      <protection/>
    </xf>
    <xf numFmtId="5" fontId="0" fillId="0" borderId="0" xfId="0" applyNumberFormat="1"/>
    <xf numFmtId="3" fontId="21" fillId="0" borderId="0" xfId="0" applyNumberFormat="1" applyFont="1"/>
    <xf numFmtId="172" fontId="28" fillId="5" borderId="69" xfId="36" applyNumberFormat="1" applyFont="1" applyFill="1" applyBorder="1" applyAlignment="1">
      <alignment horizontal="center" wrapText="1"/>
    </xf>
    <xf numFmtId="0" fontId="21" fillId="0" borderId="0" xfId="35" applyFont="1" applyAlignment="1">
      <alignment horizontal="center" wrapText="1"/>
      <protection/>
    </xf>
    <xf numFmtId="0" fontId="44" fillId="0" borderId="0" xfId="0" applyFont="1"/>
    <xf numFmtId="172" fontId="27" fillId="0" borderId="0" xfId="0" applyNumberFormat="1" applyFont="1"/>
    <xf numFmtId="0" fontId="27" fillId="0" borderId="0" xfId="30" applyFont="1" applyAlignment="1">
      <alignment horizontal="left"/>
      <protection/>
    </xf>
    <xf numFmtId="173" fontId="0" fillId="0" borderId="0" xfId="15" applyNumberFormat="1" applyFont="1" applyAlignment="1">
      <alignment horizontal="right"/>
    </xf>
    <xf numFmtId="0" fontId="38" fillId="0" borderId="0" xfId="0" applyFont="1"/>
    <xf numFmtId="0" fontId="21" fillId="0" borderId="0" xfId="47" applyFont="1" applyAlignment="1">
      <alignment horizontal="centerContinuous" vertical="center"/>
      <protection/>
    </xf>
    <xf numFmtId="0" fontId="20" fillId="0" borderId="0" xfId="47" applyFont="1">
      <alignment/>
      <protection/>
    </xf>
    <xf numFmtId="0" fontId="21" fillId="0" borderId="0" xfId="47" applyFont="1" applyAlignment="1">
      <alignment vertical="center"/>
      <protection/>
    </xf>
    <xf numFmtId="166" fontId="21" fillId="0" borderId="19" xfId="47" applyNumberFormat="1" applyFont="1" applyBorder="1" applyAlignment="1">
      <alignment horizontal="center" vertical="center"/>
      <protection/>
    </xf>
    <xf numFmtId="14" fontId="21" fillId="0" borderId="0" xfId="47" applyNumberFormat="1" applyFont="1" applyAlignment="1">
      <alignment horizontal="center"/>
      <protection/>
    </xf>
    <xf numFmtId="14" fontId="21" fillId="0" borderId="22" xfId="47" applyNumberFormat="1" applyFont="1" applyBorder="1" applyAlignment="1">
      <alignment horizontal="center"/>
      <protection/>
    </xf>
    <xf numFmtId="0" fontId="20" fillId="0" borderId="0" xfId="47" applyFont="1" applyAlignment="1">
      <alignment vertical="center"/>
      <protection/>
    </xf>
    <xf numFmtId="0" fontId="21" fillId="0" borderId="19" xfId="47" applyFont="1" applyBorder="1" applyAlignment="1">
      <alignment horizontal="center"/>
      <protection/>
    </xf>
    <xf numFmtId="0" fontId="21" fillId="0" borderId="0" xfId="47" applyFont="1" applyAlignment="1">
      <alignment horizontal="center"/>
      <protection/>
    </xf>
    <xf numFmtId="0" fontId="21" fillId="0" borderId="22" xfId="47" applyFont="1" applyBorder="1" applyAlignment="1">
      <alignment horizontal="center"/>
      <protection/>
    </xf>
    <xf numFmtId="0" fontId="21" fillId="0" borderId="70" xfId="47" applyFont="1" applyBorder="1" applyAlignment="1">
      <alignment horizontal="centerContinuous" vertical="center"/>
      <protection/>
    </xf>
    <xf numFmtId="0" fontId="21" fillId="0" borderId="71" xfId="47" applyFont="1" applyBorder="1" applyAlignment="1">
      <alignment horizontal="centerContinuous" vertical="center"/>
      <protection/>
    </xf>
    <xf numFmtId="0" fontId="21" fillId="0" borderId="33" xfId="47" applyFont="1" applyBorder="1" applyAlignment="1">
      <alignment horizontal="center" vertical="center"/>
      <protection/>
    </xf>
    <xf numFmtId="0" fontId="21" fillId="0" borderId="34" xfId="47" applyFont="1" applyBorder="1" applyAlignment="1">
      <alignment horizontal="center" vertical="center"/>
      <protection/>
    </xf>
    <xf numFmtId="38" fontId="21" fillId="0" borderId="34" xfId="47" applyNumberFormat="1" applyFont="1" applyBorder="1" applyAlignment="1">
      <alignment horizontal="center"/>
      <protection/>
    </xf>
    <xf numFmtId="0" fontId="21" fillId="0" borderId="19" xfId="47" applyFont="1" applyBorder="1" applyAlignment="1">
      <alignment vertical="center"/>
      <protection/>
    </xf>
    <xf numFmtId="0" fontId="21" fillId="0" borderId="22" xfId="47" applyFont="1" applyBorder="1" applyAlignment="1">
      <alignment vertical="center"/>
      <protection/>
    </xf>
    <xf numFmtId="0" fontId="20" fillId="0" borderId="19" xfId="47" applyFont="1" applyBorder="1" applyAlignment="1">
      <alignment horizontal="center"/>
      <protection/>
    </xf>
    <xf numFmtId="0" fontId="20" fillId="0" borderId="0" xfId="47" applyFont="1" applyAlignment="1">
      <alignment horizontal="center"/>
      <protection/>
    </xf>
    <xf numFmtId="0" fontId="20" fillId="0" borderId="22" xfId="47" applyFont="1" applyBorder="1" applyAlignment="1">
      <alignment horizontal="center"/>
      <protection/>
    </xf>
    <xf numFmtId="0" fontId="21" fillId="2" borderId="19" xfId="47" applyFont="1" applyFill="1" applyBorder="1" applyAlignment="1">
      <alignment vertical="center"/>
      <protection/>
    </xf>
    <xf numFmtId="0" fontId="21" fillId="2" borderId="22" xfId="47" applyFont="1" applyFill="1" applyBorder="1" applyAlignment="1">
      <alignment vertical="center"/>
      <protection/>
    </xf>
    <xf numFmtId="167" fontId="20" fillId="0" borderId="72" xfId="47" applyNumberFormat="1" applyFont="1" applyBorder="1" applyAlignment="1">
      <alignment horizontal="center" vertical="center"/>
      <protection/>
    </xf>
    <xf numFmtId="167" fontId="20" fillId="0" borderId="0" xfId="47" applyNumberFormat="1" applyFont="1" applyAlignment="1">
      <alignment horizontal="center" vertical="center"/>
      <protection/>
    </xf>
    <xf numFmtId="178" fontId="20" fillId="0" borderId="0" xfId="47" applyNumberFormat="1" applyFont="1" applyAlignment="1">
      <alignment horizontal="center" vertical="center"/>
      <protection/>
    </xf>
    <xf numFmtId="167" fontId="20" fillId="0" borderId="0" xfId="47" applyNumberFormat="1" applyFont="1" applyAlignment="1">
      <alignment horizontal="right" vertical="center"/>
      <protection/>
    </xf>
    <xf numFmtId="0" fontId="20" fillId="0" borderId="24" xfId="47" applyFont="1" applyBorder="1" applyAlignment="1">
      <alignment horizontal="center" vertical="center"/>
      <protection/>
    </xf>
    <xf numFmtId="0" fontId="20" fillId="0" borderId="23" xfId="47" applyFont="1" applyBorder="1" applyAlignment="1">
      <alignment horizontal="left" vertical="center"/>
      <protection/>
    </xf>
    <xf numFmtId="178" fontId="20" fillId="0" borderId="15" xfId="47" applyNumberFormat="1" applyFont="1" applyBorder="1" applyAlignment="1">
      <alignment horizontal="center" vertical="center"/>
      <protection/>
    </xf>
    <xf numFmtId="0" fontId="20" fillId="0" borderId="24" xfId="47" applyFont="1" applyBorder="1" applyAlignment="1">
      <alignment horizontal="center" vertical="center" wrapText="1"/>
      <protection/>
    </xf>
    <xf numFmtId="0" fontId="20" fillId="0" borderId="33" xfId="47" applyFont="1" applyBorder="1">
      <alignment/>
      <protection/>
    </xf>
    <xf numFmtId="0" fontId="20" fillId="0" borderId="35" xfId="47" applyFont="1" applyBorder="1">
      <alignment/>
      <protection/>
    </xf>
    <xf numFmtId="0" fontId="20" fillId="0" borderId="34" xfId="47" applyFont="1" applyBorder="1" applyAlignment="1">
      <alignment horizontal="center"/>
      <protection/>
    </xf>
    <xf numFmtId="49" fontId="21" fillId="0" borderId="0" xfId="47" applyNumberFormat="1" applyFont="1" applyAlignment="1">
      <alignment horizontal="center" vertical="center"/>
      <protection/>
    </xf>
    <xf numFmtId="0" fontId="21" fillId="0" borderId="0" xfId="47" applyFont="1" applyAlignment="1">
      <alignment horizontal="center" vertical="center"/>
      <protection/>
    </xf>
    <xf numFmtId="14" fontId="21" fillId="0" borderId="34" xfId="47" applyNumberFormat="1" applyFont="1" applyBorder="1" applyAlignment="1">
      <alignment horizontal="center"/>
      <protection/>
    </xf>
    <xf numFmtId="14" fontId="21" fillId="0" borderId="35" xfId="47" applyNumberFormat="1" applyFont="1" applyBorder="1" applyAlignment="1">
      <alignment horizontal="center"/>
      <protection/>
    </xf>
    <xf numFmtId="14" fontId="20" fillId="0" borderId="0" xfId="47" applyNumberFormat="1" applyFont="1">
      <alignment/>
      <protection/>
    </xf>
    <xf numFmtId="0" fontId="21" fillId="0" borderId="35" xfId="47" applyFont="1" applyBorder="1" applyAlignment="1">
      <alignment horizontal="center" vertical="center"/>
      <protection/>
    </xf>
    <xf numFmtId="178" fontId="20" fillId="0" borderId="22" xfId="47" applyNumberFormat="1" applyFont="1" applyBorder="1" applyAlignment="1">
      <alignment horizontal="center" vertical="center"/>
      <protection/>
    </xf>
    <xf numFmtId="178" fontId="20" fillId="0" borderId="23" xfId="47" applyNumberFormat="1" applyFont="1" applyBorder="1" applyAlignment="1">
      <alignment horizontal="center" vertical="center"/>
      <protection/>
    </xf>
    <xf numFmtId="0" fontId="20" fillId="0" borderId="35" xfId="47" applyFont="1" applyBorder="1" applyAlignment="1">
      <alignment horizontal="center"/>
      <protection/>
    </xf>
    <xf numFmtId="0" fontId="24" fillId="0" borderId="73" xfId="21" applyFont="1" applyBorder="1" applyAlignment="1">
      <alignment horizontal="center" vertical="center" wrapText="1"/>
      <protection/>
    </xf>
    <xf numFmtId="0" fontId="24" fillId="0" borderId="73" xfId="21" applyFont="1" applyBorder="1" applyAlignment="1">
      <alignment horizontal="center" vertical="center"/>
      <protection/>
    </xf>
    <xf numFmtId="0" fontId="24" fillId="0" borderId="74" xfId="21" applyFont="1" applyBorder="1" applyAlignment="1">
      <alignment horizontal="center" vertical="center"/>
      <protection/>
    </xf>
    <xf numFmtId="0" fontId="20" fillId="0" borderId="0" xfId="42" applyFont="1">
      <alignment/>
      <protection/>
    </xf>
    <xf numFmtId="0" fontId="1" fillId="0" borderId="33" xfId="0" applyFont="1" applyBorder="1"/>
    <xf numFmtId="0" fontId="1" fillId="0" borderId="34" xfId="0" applyFont="1" applyBorder="1"/>
    <xf numFmtId="179" fontId="20" fillId="0" borderId="34" xfId="0" applyNumberFormat="1" applyFont="1" applyBorder="1" applyAlignment="1">
      <alignment wrapText="1"/>
    </xf>
    <xf numFmtId="5" fontId="20" fillId="0" borderId="35" xfId="0" applyNumberFormat="1" applyFont="1" applyBorder="1" applyAlignment="1">
      <alignment wrapText="1"/>
    </xf>
    <xf numFmtId="179" fontId="1" fillId="0" borderId="0" xfId="0" applyNumberFormat="1" applyFont="1"/>
    <xf numFmtId="0" fontId="20" fillId="0" borderId="0" xfId="0" applyFont="1" applyAlignment="1">
      <alignment horizontal="center" wrapText="1"/>
    </xf>
    <xf numFmtId="0" fontId="20" fillId="0" borderId="34" xfId="0" applyFont="1" applyBorder="1" applyAlignment="1">
      <alignment horizontal="center" wrapText="1"/>
    </xf>
    <xf numFmtId="0" fontId="1" fillId="0" borderId="0" xfId="0" applyFont="1" applyAlignment="1">
      <alignment horizontal="center"/>
    </xf>
    <xf numFmtId="0" fontId="41" fillId="0" borderId="34" xfId="0" applyFont="1" applyBorder="1" applyAlignment="1">
      <alignment horizontal="center"/>
    </xf>
    <xf numFmtId="0" fontId="0" fillId="0" borderId="0" xfId="0" applyFont="1"/>
    <xf numFmtId="5" fontId="20" fillId="0" borderId="0" xfId="25" applyNumberFormat="1" applyFill="1" applyAlignment="1">
      <alignment horizontal="right"/>
      <protection/>
    </xf>
    <xf numFmtId="0" fontId="20" fillId="0" borderId="75" xfId="0" applyFont="1" applyBorder="1" applyAlignment="1">
      <alignment wrapText="1"/>
    </xf>
    <xf numFmtId="5" fontId="20" fillId="0" borderId="75" xfId="0" applyNumberFormat="1" applyFont="1" applyBorder="1" applyAlignment="1">
      <alignment wrapText="1"/>
    </xf>
    <xf numFmtId="5" fontId="41" fillId="0" borderId="75" xfId="0" applyNumberFormat="1" applyFont="1" applyBorder="1" applyAlignment="1">
      <alignment wrapText="1"/>
    </xf>
    <xf numFmtId="0" fontId="41" fillId="0" borderId="75" xfId="0" applyFont="1" applyBorder="1" applyAlignment="1">
      <alignment wrapText="1"/>
    </xf>
    <xf numFmtId="0" fontId="20" fillId="0" borderId="75" xfId="0" applyFont="1" applyBorder="1" applyAlignment="1">
      <alignment horizontal="right" wrapText="1"/>
    </xf>
    <xf numFmtId="0" fontId="41" fillId="0" borderId="75" xfId="0" applyFont="1" applyBorder="1"/>
    <xf numFmtId="5" fontId="41" fillId="0" borderId="75" xfId="0" applyNumberFormat="1" applyFont="1" applyBorder="1"/>
    <xf numFmtId="0" fontId="20" fillId="0" borderId="76" xfId="0" applyFont="1" applyBorder="1" applyAlignment="1">
      <alignment wrapText="1"/>
    </xf>
    <xf numFmtId="0" fontId="20" fillId="0" borderId="77" xfId="0" applyFont="1" applyBorder="1" applyAlignment="1">
      <alignment wrapText="1"/>
    </xf>
    <xf numFmtId="5" fontId="20" fillId="0" borderId="77" xfId="0" applyNumberFormat="1" applyFont="1" applyBorder="1" applyAlignment="1">
      <alignment wrapText="1"/>
    </xf>
    <xf numFmtId="0" fontId="20" fillId="0" borderId="78" xfId="0" applyFont="1" applyBorder="1" applyAlignment="1">
      <alignment wrapText="1"/>
    </xf>
    <xf numFmtId="0" fontId="20" fillId="0" borderId="79" xfId="0" applyFont="1" applyBorder="1" applyAlignment="1">
      <alignment wrapText="1"/>
    </xf>
    <xf numFmtId="0" fontId="20" fillId="0" borderId="80" xfId="0" applyFont="1" applyBorder="1" applyAlignment="1">
      <alignment wrapText="1"/>
    </xf>
    <xf numFmtId="0" fontId="20" fillId="0" borderId="81" xfId="0" applyFont="1" applyBorder="1" applyAlignment="1">
      <alignment wrapText="1"/>
    </xf>
    <xf numFmtId="0" fontId="41" fillId="0" borderId="81" xfId="0" applyFont="1" applyBorder="1"/>
    <xf numFmtId="5" fontId="20" fillId="0" borderId="81" xfId="0" applyNumberFormat="1" applyFont="1" applyBorder="1" applyAlignment="1">
      <alignment wrapText="1"/>
    </xf>
    <xf numFmtId="0" fontId="20" fillId="0" borderId="82" xfId="0" applyFont="1" applyBorder="1" applyAlignment="1">
      <alignment wrapText="1"/>
    </xf>
    <xf numFmtId="0" fontId="20" fillId="0" borderId="79" xfId="0" applyFont="1" applyBorder="1" applyAlignment="1">
      <alignment horizontal="left" vertical="center" wrapText="1"/>
    </xf>
    <xf numFmtId="0" fontId="20" fillId="0" borderId="75" xfId="0" applyFont="1" applyBorder="1" applyAlignment="1">
      <alignment horizontal="center" wrapText="1"/>
    </xf>
    <xf numFmtId="0" fontId="1" fillId="0" borderId="75" xfId="0" applyFont="1" applyBorder="1"/>
    <xf numFmtId="0" fontId="20" fillId="0" borderId="75" xfId="30" applyFont="1" applyBorder="1" applyAlignment="1">
      <alignment wrapText="1"/>
      <protection/>
    </xf>
    <xf numFmtId="0" fontId="20" fillId="0" borderId="75" xfId="30" applyFont="1" applyBorder="1" applyAlignment="1">
      <alignment horizontal="right" wrapText="1"/>
      <protection/>
    </xf>
    <xf numFmtId="0" fontId="20" fillId="0" borderId="75" xfId="30" applyFont="1" applyBorder="1" applyAlignment="1">
      <alignment horizontal="center" wrapText="1"/>
      <protection/>
    </xf>
    <xf numFmtId="5" fontId="20" fillId="0" borderId="75" xfId="0" applyNumberFormat="1" applyFont="1" applyBorder="1" applyAlignment="1">
      <alignment horizontal="center" wrapText="1"/>
    </xf>
    <xf numFmtId="5" fontId="20" fillId="0" borderId="75" xfId="30" applyNumberFormat="1" applyFont="1" applyBorder="1" applyAlignment="1">
      <alignment wrapText="1"/>
      <protection/>
    </xf>
    <xf numFmtId="0" fontId="41" fillId="0" borderId="75" xfId="0" applyFont="1" applyBorder="1" applyAlignment="1">
      <alignment horizontal="center"/>
    </xf>
    <xf numFmtId="0" fontId="41" fillId="0" borderId="75" xfId="0" applyFont="1" applyBorder="1" applyAlignment="1">
      <alignment horizontal="right"/>
    </xf>
    <xf numFmtId="0" fontId="20" fillId="0" borderId="77" xfId="0" applyFont="1" applyBorder="1" applyAlignment="1">
      <alignment horizontal="center" wrapText="1"/>
    </xf>
    <xf numFmtId="0" fontId="1" fillId="0" borderId="78" xfId="0" applyFont="1" applyBorder="1"/>
    <xf numFmtId="0" fontId="20" fillId="0" borderId="78" xfId="30" applyFont="1" applyBorder="1" applyAlignment="1">
      <alignment wrapText="1"/>
      <protection/>
    </xf>
    <xf numFmtId="0" fontId="1" fillId="0" borderId="81" xfId="0" applyFont="1" applyBorder="1"/>
    <xf numFmtId="0" fontId="20" fillId="0" borderId="81" xfId="0" applyFont="1" applyBorder="1" applyAlignment="1">
      <alignment horizontal="center" wrapText="1"/>
    </xf>
    <xf numFmtId="5" fontId="41" fillId="0" borderId="81" xfId="0" applyNumberFormat="1" applyFont="1" applyBorder="1" applyAlignment="1">
      <alignment wrapText="1"/>
    </xf>
    <xf numFmtId="5" fontId="20" fillId="0" borderId="75" xfId="0" applyNumberFormat="1" applyFont="1" applyFill="1" applyBorder="1" applyAlignment="1">
      <alignment wrapText="1"/>
    </xf>
    <xf numFmtId="5" fontId="41" fillId="0" borderId="75" xfId="0" applyNumberFormat="1" applyFont="1" applyFill="1" applyBorder="1"/>
    <xf numFmtId="0" fontId="20" fillId="0" borderId="81" xfId="0" applyFont="1" applyBorder="1" applyAlignment="1">
      <alignment horizontal="right" wrapText="1"/>
    </xf>
    <xf numFmtId="5" fontId="41" fillId="0" borderId="81" xfId="0" applyNumberFormat="1" applyFont="1" applyBorder="1"/>
    <xf numFmtId="0" fontId="20" fillId="0" borderId="36" xfId="0" applyFont="1" applyBorder="1" applyAlignment="1">
      <alignment vertical="center" wrapText="1"/>
    </xf>
    <xf numFmtId="0" fontId="15" fillId="0" borderId="0" xfId="0" applyFont="1" applyAlignment="1">
      <alignment horizontal="center"/>
    </xf>
    <xf numFmtId="0" fontId="20" fillId="0" borderId="15" xfId="0" applyFont="1" applyFill="1" applyBorder="1"/>
    <xf numFmtId="0" fontId="20" fillId="0" borderId="38" xfId="0" applyFont="1" applyFill="1" applyBorder="1"/>
    <xf numFmtId="0" fontId="20" fillId="0" borderId="26" xfId="0" applyFont="1" applyFill="1" applyBorder="1"/>
    <xf numFmtId="177" fontId="20" fillId="0" borderId="15" xfId="18" applyNumberFormat="1" applyFont="1" applyFill="1" applyBorder="1"/>
    <xf numFmtId="177" fontId="20" fillId="0" borderId="26" xfId="18" applyNumberFormat="1" applyFont="1" applyFill="1" applyBorder="1"/>
    <xf numFmtId="0" fontId="20" fillId="0" borderId="24" xfId="0" applyFont="1" applyFill="1" applyBorder="1" applyAlignment="1">
      <alignment vertical="center"/>
    </xf>
    <xf numFmtId="0" fontId="20" fillId="0" borderId="72" xfId="0" applyFont="1" applyFill="1" applyBorder="1"/>
    <xf numFmtId="178" fontId="20" fillId="0" borderId="15" xfId="21" applyNumberFormat="1" applyFont="1" applyFill="1" applyBorder="1" applyAlignment="1">
      <alignment horizontal="center" vertical="center"/>
      <protection/>
    </xf>
    <xf numFmtId="40" fontId="20" fillId="0" borderId="15" xfId="21" applyNumberFormat="1" applyFont="1" applyFill="1" applyBorder="1" applyAlignment="1">
      <alignment horizontal="center" vertical="center"/>
      <protection/>
    </xf>
    <xf numFmtId="168" fontId="20" fillId="0" borderId="15" xfId="0" applyNumberFormat="1" applyFont="1" applyFill="1" applyBorder="1" applyAlignment="1">
      <alignment horizontal="center" vertical="center"/>
    </xf>
    <xf numFmtId="0" fontId="20" fillId="0" borderId="72" xfId="0" applyFont="1" applyFill="1" applyBorder="1" applyAlignment="1">
      <alignment vertical="center"/>
    </xf>
    <xf numFmtId="0" fontId="24" fillId="0" borderId="73" xfId="0" applyFont="1" applyFill="1" applyBorder="1" applyAlignment="1">
      <alignment vertical="center"/>
    </xf>
    <xf numFmtId="0" fontId="21" fillId="0" borderId="0" xfId="0" applyFont="1" applyFill="1"/>
    <xf numFmtId="0" fontId="24" fillId="0" borderId="0" xfId="0" applyFont="1" applyFill="1"/>
    <xf numFmtId="0" fontId="20" fillId="0" borderId="0" xfId="0" applyFont="1" applyFill="1"/>
    <xf numFmtId="0" fontId="22" fillId="0" borderId="73" xfId="0" applyFont="1" applyFill="1" applyBorder="1" applyAlignment="1">
      <alignment vertical="center"/>
    </xf>
    <xf numFmtId="0" fontId="22" fillId="0" borderId="0" xfId="0" applyFont="1" applyFill="1"/>
    <xf numFmtId="167" fontId="20" fillId="0" borderId="24" xfId="21" applyNumberFormat="1" applyFont="1" applyFill="1" applyBorder="1" applyAlignment="1">
      <alignment horizontal="center" vertical="center"/>
      <protection/>
    </xf>
    <xf numFmtId="38" fontId="20" fillId="0" borderId="23" xfId="21" applyNumberFormat="1" applyFont="1" applyFill="1" applyBorder="1" applyAlignment="1">
      <alignment horizontal="right" vertical="center"/>
      <protection/>
    </xf>
    <xf numFmtId="37" fontId="24" fillId="0" borderId="40" xfId="21" applyNumberFormat="1" applyFont="1" applyFill="1" applyBorder="1" applyAlignment="1">
      <alignment horizontal="right"/>
      <protection/>
    </xf>
    <xf numFmtId="38" fontId="20" fillId="0" borderId="15" xfId="21" applyNumberFormat="1" applyFont="1" applyFill="1" applyBorder="1" applyAlignment="1">
      <alignment horizontal="right" vertical="center"/>
      <protection/>
    </xf>
    <xf numFmtId="169" fontId="20" fillId="0" borderId="15" xfId="21" applyNumberFormat="1" applyFont="1" applyFill="1" applyBorder="1" applyAlignment="1">
      <alignment horizontal="right" vertical="center"/>
      <protection/>
    </xf>
    <xf numFmtId="167" fontId="20" fillId="0" borderId="24" xfId="47" applyNumberFormat="1" applyFont="1" applyFill="1" applyBorder="1" applyAlignment="1">
      <alignment horizontal="center" vertical="center"/>
      <protection/>
    </xf>
    <xf numFmtId="0" fontId="20" fillId="0" borderId="15" xfId="47" applyNumberFormat="1" applyFont="1" applyFill="1" applyBorder="1" applyAlignment="1">
      <alignment horizontal="center" vertical="center"/>
      <protection/>
    </xf>
    <xf numFmtId="178" fontId="20" fillId="0" borderId="15" xfId="47" applyNumberFormat="1" applyFont="1" applyFill="1" applyBorder="1" applyAlignment="1">
      <alignment horizontal="center" vertical="center"/>
      <protection/>
    </xf>
    <xf numFmtId="167" fontId="20" fillId="0" borderId="15" xfId="47" applyNumberFormat="1" applyFont="1" applyFill="1" applyBorder="1" applyAlignment="1">
      <alignment horizontal="center" vertical="center"/>
      <protection/>
    </xf>
    <xf numFmtId="0" fontId="20" fillId="0" borderId="33" xfId="47" applyFont="1" applyFill="1" applyBorder="1" applyAlignment="1">
      <alignment horizontal="center"/>
      <protection/>
    </xf>
    <xf numFmtId="0" fontId="20" fillId="0" borderId="34" xfId="47" applyFont="1" applyFill="1" applyBorder="1" applyAlignment="1">
      <alignment horizontal="center"/>
      <protection/>
    </xf>
    <xf numFmtId="38" fontId="20" fillId="0" borderId="15" xfId="47" applyNumberFormat="1" applyFont="1" applyFill="1" applyBorder="1" applyAlignment="1">
      <alignment horizontal="right" vertical="center"/>
      <protection/>
    </xf>
    <xf numFmtId="5" fontId="20" fillId="0" borderId="15" xfId="47" applyNumberFormat="1" applyFont="1" applyFill="1" applyBorder="1">
      <alignment/>
      <protection/>
    </xf>
    <xf numFmtId="0" fontId="20" fillId="0" borderId="15" xfId="47" applyFont="1" applyFill="1" applyBorder="1">
      <alignment/>
      <protection/>
    </xf>
    <xf numFmtId="5" fontId="20" fillId="0" borderId="23" xfId="47" applyNumberFormat="1" applyFont="1" applyFill="1" applyBorder="1">
      <alignment/>
      <protection/>
    </xf>
    <xf numFmtId="0" fontId="20" fillId="0" borderId="25" xfId="47" applyFont="1" applyFill="1" applyBorder="1">
      <alignment/>
      <protection/>
    </xf>
    <xf numFmtId="38" fontId="21" fillId="0" borderId="69" xfId="47" applyNumberFormat="1" applyFont="1" applyFill="1" applyBorder="1" applyAlignment="1">
      <alignment horizontal="right" vertical="center"/>
      <protection/>
    </xf>
    <xf numFmtId="5" fontId="21" fillId="0" borderId="34" xfId="47" applyNumberFormat="1" applyFont="1" applyFill="1" applyBorder="1">
      <alignment/>
      <protection/>
    </xf>
    <xf numFmtId="38" fontId="21" fillId="3" borderId="83" xfId="21" applyNumberFormat="1" applyFont="1" applyFill="1" applyBorder="1" applyAlignment="1">
      <alignment vertical="center"/>
      <protection/>
    </xf>
    <xf numFmtId="38" fontId="24" fillId="3" borderId="83" xfId="21" applyNumberFormat="1" applyFont="1" applyFill="1" applyBorder="1" applyAlignment="1">
      <alignment vertical="center"/>
      <protection/>
    </xf>
    <xf numFmtId="38" fontId="24" fillId="3" borderId="46" xfId="21" applyNumberFormat="1" applyFont="1" applyFill="1" applyBorder="1" applyAlignment="1">
      <alignment vertical="center"/>
      <protection/>
    </xf>
    <xf numFmtId="0" fontId="24" fillId="3" borderId="83" xfId="21" applyFont="1" applyFill="1" applyBorder="1" applyAlignment="1">
      <alignment horizontal="center"/>
      <protection/>
    </xf>
    <xf numFmtId="38" fontId="24" fillId="3" borderId="84" xfId="21" applyNumberFormat="1" applyFont="1" applyFill="1" applyBorder="1" applyAlignment="1">
      <alignment horizontal="right"/>
      <protection/>
    </xf>
    <xf numFmtId="38" fontId="24" fillId="3" borderId="46" xfId="21" applyNumberFormat="1" applyFont="1" applyFill="1" applyBorder="1" applyAlignment="1">
      <alignment horizontal="right"/>
      <protection/>
    </xf>
    <xf numFmtId="38" fontId="24" fillId="3" borderId="85" xfId="21" applyNumberFormat="1" applyFont="1" applyFill="1" applyBorder="1" applyAlignment="1">
      <alignment horizontal="right"/>
      <protection/>
    </xf>
    <xf numFmtId="0" fontId="21" fillId="3" borderId="0" xfId="21" applyFont="1" applyFill="1" applyAlignment="1">
      <alignment horizontal="right" vertical="center" wrapText="1"/>
      <protection/>
    </xf>
    <xf numFmtId="0" fontId="18" fillId="0" borderId="0" xfId="21" applyFont="1" applyAlignment="1">
      <alignment vertical="center"/>
      <protection/>
    </xf>
    <xf numFmtId="0" fontId="46" fillId="0" borderId="0" xfId="0" applyFont="1"/>
    <xf numFmtId="0" fontId="49" fillId="0" borderId="0" xfId="0" applyFont="1"/>
    <xf numFmtId="0" fontId="46" fillId="0" borderId="0" xfId="0" applyFont="1" applyAlignment="1">
      <alignment horizontal="center"/>
    </xf>
    <xf numFmtId="0" fontId="46" fillId="0" borderId="0" xfId="0" applyFont="1" applyAlignment="1">
      <alignment/>
    </xf>
    <xf numFmtId="0" fontId="38" fillId="0" borderId="0" xfId="0" applyFont="1" applyAlignment="1">
      <alignment/>
    </xf>
    <xf numFmtId="0" fontId="49" fillId="0" borderId="0" xfId="0" applyFont="1" applyAlignment="1">
      <alignment/>
    </xf>
    <xf numFmtId="0" fontId="31" fillId="0" borderId="2" xfId="0" applyFont="1" applyBorder="1" applyAlignment="1">
      <alignment horizontal="center" vertical="center"/>
    </xf>
    <xf numFmtId="49" fontId="31" fillId="0" borderId="43" xfId="0" applyNumberFormat="1" applyFont="1" applyBorder="1" applyAlignment="1">
      <alignment horizontal="center" vertical="center"/>
    </xf>
    <xf numFmtId="0" fontId="20" fillId="0" borderId="63" xfId="0" applyFont="1" applyBorder="1" applyAlignment="1">
      <alignment horizontal="center"/>
    </xf>
    <xf numFmtId="0" fontId="20" fillId="0" borderId="60" xfId="0" applyFont="1" applyBorder="1" applyAlignment="1">
      <alignment horizontal="center"/>
    </xf>
    <xf numFmtId="0" fontId="20" fillId="0" borderId="59" xfId="0" applyFont="1" applyBorder="1" applyAlignment="1">
      <alignment horizontal="center"/>
    </xf>
    <xf numFmtId="0" fontId="47" fillId="0" borderId="0" xfId="0" applyFont="1"/>
    <xf numFmtId="0" fontId="51" fillId="0" borderId="0" xfId="0" applyFont="1"/>
    <xf numFmtId="0" fontId="31" fillId="0" borderId="0" xfId="0" applyFont="1"/>
    <xf numFmtId="0" fontId="47" fillId="0" borderId="0" xfId="0" applyFont="1" applyAlignment="1">
      <alignment horizontal="center"/>
    </xf>
    <xf numFmtId="0" fontId="51" fillId="0" borderId="0" xfId="0" applyFont="1" applyAlignment="1">
      <alignment horizontal="center"/>
    </xf>
    <xf numFmtId="0" fontId="31" fillId="0" borderId="0" xfId="0" applyFont="1" applyAlignment="1">
      <alignment horizontal="center"/>
    </xf>
    <xf numFmtId="0" fontId="4" fillId="0" borderId="0" xfId="0" applyFont="1" applyAlignment="1">
      <alignment horizontal="left"/>
    </xf>
    <xf numFmtId="0" fontId="47" fillId="0" borderId="0" xfId="0" applyFont="1" applyAlignment="1">
      <alignment horizontal="left"/>
    </xf>
    <xf numFmtId="0" fontId="51" fillId="0" borderId="0" xfId="0" applyFont="1" applyAlignment="1">
      <alignment/>
    </xf>
    <xf numFmtId="0" fontId="31" fillId="0" borderId="0" xfId="0" applyFont="1" applyAlignment="1">
      <alignment/>
    </xf>
    <xf numFmtId="0" fontId="47" fillId="0" borderId="0" xfId="0" applyFont="1" applyAlignment="1">
      <alignment/>
    </xf>
    <xf numFmtId="0" fontId="21" fillId="0" borderId="0" xfId="24" applyFont="1" applyFill="1" applyBorder="1" applyAlignment="1">
      <alignment horizontal="center"/>
      <protection/>
    </xf>
    <xf numFmtId="0" fontId="0" fillId="0" borderId="0" xfId="0" applyFont="1"/>
    <xf numFmtId="0" fontId="50" fillId="0" borderId="0" xfId="0" applyFont="1"/>
    <xf numFmtId="0" fontId="21" fillId="0" borderId="0" xfId="24" applyFont="1" applyBorder="1" applyAlignment="1">
      <alignment horizontal="center"/>
      <protection/>
    </xf>
    <xf numFmtId="0" fontId="21" fillId="0" borderId="0" xfId="24" applyFont="1" applyBorder="1">
      <alignment/>
      <protection/>
    </xf>
    <xf numFmtId="171" fontId="21" fillId="0" borderId="0" xfId="24" applyNumberFormat="1" applyFont="1" applyBorder="1" applyAlignment="1">
      <alignment horizontal="center"/>
      <protection/>
    </xf>
    <xf numFmtId="0" fontId="21" fillId="0" borderId="0" xfId="0" applyFont="1" applyBorder="1" applyAlignment="1">
      <alignment horizontal="center"/>
    </xf>
    <xf numFmtId="5" fontId="20" fillId="0" borderId="0" xfId="25" applyNumberFormat="1" applyBorder="1" applyAlignment="1">
      <alignment horizontal="right"/>
      <protection/>
    </xf>
    <xf numFmtId="0" fontId="0" fillId="0" borderId="0" xfId="0" applyBorder="1" applyAlignment="1">
      <alignment horizontal="right"/>
    </xf>
    <xf numFmtId="0" fontId="15" fillId="0" borderId="0" xfId="0" applyFont="1" applyAlignment="1">
      <alignment/>
    </xf>
    <xf numFmtId="0" fontId="2" fillId="0" borderId="0" xfId="0" applyFont="1" applyAlignment="1">
      <alignment/>
    </xf>
    <xf numFmtId="5" fontId="20" fillId="0" borderId="0" xfId="25" applyNumberFormat="1" applyFill="1" applyBorder="1" applyAlignment="1">
      <alignment horizontal="right"/>
      <protection/>
    </xf>
    <xf numFmtId="5" fontId="20" fillId="0" borderId="51" xfId="25" applyNumberFormat="1" applyFill="1" applyBorder="1">
      <alignment/>
      <protection/>
    </xf>
    <xf numFmtId="37" fontId="20" fillId="0" borderId="50" xfId="24" applyNumberFormat="1" applyFill="1" applyBorder="1">
      <alignment/>
      <protection/>
    </xf>
    <xf numFmtId="37" fontId="20" fillId="0" borderId="50" xfId="25" applyNumberFormat="1" applyFill="1" applyBorder="1">
      <alignment/>
      <protection/>
    </xf>
    <xf numFmtId="0" fontId="0" fillId="0" borderId="0" xfId="0" applyFill="1" applyBorder="1" applyAlignment="1">
      <alignment horizontal="right"/>
    </xf>
    <xf numFmtId="0" fontId="27" fillId="0" borderId="0" xfId="30" applyFont="1" applyFill="1" applyAlignment="1">
      <alignment horizontal="center"/>
      <protection/>
    </xf>
    <xf numFmtId="0" fontId="27" fillId="0" borderId="0" xfId="0" applyFont="1" applyFill="1"/>
    <xf numFmtId="0" fontId="28" fillId="0" borderId="0" xfId="30" applyFont="1" applyFill="1" applyAlignment="1">
      <alignment horizontal="center"/>
      <protection/>
    </xf>
    <xf numFmtId="0" fontId="27" fillId="0" borderId="0" xfId="31" applyFont="1" applyFill="1" applyAlignment="1">
      <alignment horizontal="center"/>
      <protection/>
    </xf>
    <xf numFmtId="0" fontId="27" fillId="0" borderId="0" xfId="31" applyFont="1" applyFill="1">
      <alignment/>
      <protection/>
    </xf>
    <xf numFmtId="0" fontId="1" fillId="0" borderId="0" xfId="35" applyFont="1" applyFill="1" applyAlignment="1">
      <alignment horizontal="right"/>
      <protection/>
    </xf>
    <xf numFmtId="0" fontId="43" fillId="0" borderId="0" xfId="0" applyFont="1" applyFill="1" applyAlignment="1">
      <alignment horizontal="right"/>
    </xf>
    <xf numFmtId="170" fontId="21" fillId="0" borderId="46" xfId="35" applyNumberFormat="1" applyFont="1" applyFill="1" applyBorder="1">
      <alignment/>
      <protection/>
    </xf>
    <xf numFmtId="0" fontId="20" fillId="0" borderId="0" xfId="0" applyFont="1" applyFill="1" applyAlignment="1">
      <alignment horizontal="right"/>
    </xf>
    <xf numFmtId="172" fontId="20" fillId="0" borderId="0" xfId="0" applyNumberFormat="1" applyFont="1" applyFill="1"/>
    <xf numFmtId="172" fontId="21" fillId="0" borderId="46" xfId="0" applyNumberFormat="1" applyFont="1" applyFill="1" applyBorder="1"/>
    <xf numFmtId="3" fontId="21" fillId="0" borderId="46" xfId="0" applyNumberFormat="1" applyFont="1" applyFill="1" applyBorder="1"/>
    <xf numFmtId="3" fontId="21" fillId="0" borderId="0" xfId="0" applyNumberFormat="1" applyFont="1" applyFill="1"/>
    <xf numFmtId="0" fontId="1" fillId="0" borderId="0" xfId="35" applyFont="1" applyFill="1">
      <alignment/>
      <protection/>
    </xf>
    <xf numFmtId="170" fontId="21" fillId="0" borderId="0" xfId="35" applyNumberFormat="1" applyFont="1" applyFill="1">
      <alignment/>
      <protection/>
    </xf>
    <xf numFmtId="3" fontId="41" fillId="0" borderId="0" xfId="0" applyNumberFormat="1" applyFont="1" applyFill="1"/>
    <xf numFmtId="0" fontId="41" fillId="0" borderId="0" xfId="0" applyFont="1" applyFill="1"/>
    <xf numFmtId="0" fontId="20" fillId="0" borderId="0" xfId="35" applyFont="1">
      <alignment/>
      <protection/>
    </xf>
    <xf numFmtId="0" fontId="17" fillId="0" borderId="0" xfId="35" applyFont="1">
      <alignment/>
      <protection/>
    </xf>
    <xf numFmtId="0" fontId="10" fillId="0" borderId="0" xfId="35" applyFont="1">
      <alignment/>
      <protection/>
    </xf>
    <xf numFmtId="175" fontId="18" fillId="0" borderId="0" xfId="30" applyNumberFormat="1" applyFont="1" applyAlignment="1">
      <alignment/>
      <protection/>
    </xf>
    <xf numFmtId="175" fontId="21" fillId="0" borderId="0" xfId="30" applyNumberFormat="1" applyFont="1" applyAlignment="1">
      <alignment/>
      <protection/>
    </xf>
    <xf numFmtId="175" fontId="16" fillId="0" borderId="0" xfId="30" applyNumberFormat="1" applyFont="1" applyAlignment="1">
      <alignment/>
      <protection/>
    </xf>
    <xf numFmtId="0" fontId="20" fillId="0" borderId="0" xfId="35" applyFont="1" applyAlignment="1">
      <alignment horizontal="right"/>
      <protection/>
    </xf>
    <xf numFmtId="172" fontId="4" fillId="0" borderId="0" xfId="36" applyNumberFormat="1" applyFont="1"/>
    <xf numFmtId="0" fontId="37" fillId="5" borderId="44" xfId="35" applyFont="1" applyFill="1" applyBorder="1" applyAlignment="1">
      <alignment horizontal="center" wrapText="1"/>
      <protection/>
    </xf>
    <xf numFmtId="0" fontId="37" fillId="5" borderId="43" xfId="35" applyFont="1" applyFill="1" applyBorder="1" applyAlignment="1">
      <alignment horizontal="center" wrapText="1"/>
      <protection/>
    </xf>
    <xf numFmtId="0" fontId="37" fillId="5" borderId="86" xfId="35" applyFont="1" applyFill="1" applyBorder="1" applyAlignment="1">
      <alignment horizontal="center" wrapText="1"/>
      <protection/>
    </xf>
    <xf numFmtId="172" fontId="37" fillId="5" borderId="87" xfId="36" applyNumberFormat="1" applyFont="1" applyFill="1" applyBorder="1" applyAlignment="1">
      <alignment horizontal="center" wrapText="1"/>
    </xf>
    <xf numFmtId="172" fontId="37" fillId="5" borderId="69" xfId="36" applyNumberFormat="1" applyFont="1" applyFill="1" applyBorder="1" applyAlignment="1">
      <alignment horizontal="center" wrapText="1"/>
    </xf>
    <xf numFmtId="172" fontId="37" fillId="5" borderId="88" xfId="36" applyNumberFormat="1" applyFont="1" applyFill="1" applyBorder="1" applyAlignment="1">
      <alignment horizontal="center" wrapText="1"/>
    </xf>
    <xf numFmtId="180" fontId="4" fillId="0" borderId="0" xfId="16" applyNumberFormat="1" applyFont="1"/>
    <xf numFmtId="5" fontId="4" fillId="0" borderId="42" xfId="16" applyNumberFormat="1" applyFont="1" applyFill="1" applyBorder="1"/>
    <xf numFmtId="5" fontId="4" fillId="0" borderId="0" xfId="16" applyNumberFormat="1" applyFont="1" applyFill="1" applyBorder="1"/>
    <xf numFmtId="5" fontId="4" fillId="0" borderId="63" xfId="16" applyNumberFormat="1" applyFont="1" applyFill="1" applyBorder="1"/>
    <xf numFmtId="0" fontId="21" fillId="5" borderId="69" xfId="35" applyFont="1" applyFill="1" applyBorder="1" applyAlignment="1">
      <alignment horizontal="center"/>
      <protection/>
    </xf>
    <xf numFmtId="0" fontId="21" fillId="5" borderId="69" xfId="35" applyFont="1" applyFill="1" applyBorder="1" applyAlignment="1">
      <alignment horizontal="center" wrapText="1"/>
      <protection/>
    </xf>
    <xf numFmtId="172" fontId="21" fillId="5" borderId="69" xfId="36" applyNumberFormat="1" applyFont="1" applyFill="1" applyBorder="1" applyAlignment="1">
      <alignment horizontal="center" wrapText="1"/>
    </xf>
    <xf numFmtId="170" fontId="21" fillId="5" borderId="69" xfId="35" applyNumberFormat="1" applyFont="1" applyFill="1" applyBorder="1" applyAlignment="1">
      <alignment horizontal="center" wrapText="1"/>
      <protection/>
    </xf>
    <xf numFmtId="0" fontId="20" fillId="0" borderId="0" xfId="35" applyFont="1" applyFill="1" applyAlignment="1">
      <alignment horizontal="right"/>
      <protection/>
    </xf>
    <xf numFmtId="0" fontId="20" fillId="0" borderId="0" xfId="35" applyFont="1" applyFill="1">
      <alignment/>
      <protection/>
    </xf>
    <xf numFmtId="172" fontId="4" fillId="0" borderId="0" xfId="36" applyNumberFormat="1" applyFont="1" applyFill="1"/>
    <xf numFmtId="172" fontId="4" fillId="0" borderId="0" xfId="36" applyNumberFormat="1" applyFont="1" applyFill="1" applyAlignment="1">
      <alignment/>
    </xf>
    <xf numFmtId="170" fontId="20" fillId="0" borderId="0" xfId="35" applyNumberFormat="1" applyFont="1" applyFill="1">
      <alignment/>
      <protection/>
    </xf>
    <xf numFmtId="172" fontId="20" fillId="0" borderId="0" xfId="24" applyNumberFormat="1" applyFont="1" applyFill="1">
      <alignment/>
      <protection/>
    </xf>
    <xf numFmtId="170" fontId="20" fillId="0" borderId="0" xfId="35" applyNumberFormat="1" applyFont="1">
      <alignment/>
      <protection/>
    </xf>
    <xf numFmtId="5" fontId="20" fillId="0" borderId="0" xfId="35" applyNumberFormat="1" applyFont="1" applyFill="1">
      <alignment/>
      <protection/>
    </xf>
    <xf numFmtId="172" fontId="20" fillId="0" borderId="0" xfId="35" applyNumberFormat="1" applyFont="1" applyFill="1">
      <alignment/>
      <protection/>
    </xf>
    <xf numFmtId="43" fontId="20" fillId="0" borderId="0" xfId="35" applyNumberFormat="1" applyFont="1" applyFill="1">
      <alignment/>
      <protection/>
    </xf>
    <xf numFmtId="0" fontId="16" fillId="0" borderId="0" xfId="35" applyFont="1">
      <alignment/>
      <protection/>
    </xf>
    <xf numFmtId="0" fontId="17" fillId="0" borderId="0" xfId="27" applyFont="1" applyBorder="1">
      <alignment/>
      <protection/>
    </xf>
    <xf numFmtId="0" fontId="20" fillId="0" borderId="0" xfId="27" applyFont="1" applyBorder="1">
      <alignment/>
      <protection/>
    </xf>
    <xf numFmtId="49" fontId="27" fillId="0" borderId="0" xfId="23" applyNumberFormat="1" applyFont="1" applyBorder="1" applyAlignment="1">
      <alignment horizontal="centerContinuous"/>
      <protection/>
    </xf>
    <xf numFmtId="49" fontId="22" fillId="0" borderId="0" xfId="23" applyNumberFormat="1" applyFont="1" applyBorder="1" applyAlignment="1">
      <alignment horizontal="centerContinuous"/>
      <protection/>
    </xf>
    <xf numFmtId="49" fontId="22" fillId="0" borderId="0" xfId="23" applyNumberFormat="1" applyFont="1" applyBorder="1" applyAlignment="1">
      <alignment horizontal="center"/>
      <protection/>
    </xf>
    <xf numFmtId="49" fontId="22" fillId="0" borderId="0" xfId="28" applyNumberFormat="1" applyFont="1" applyFill="1" applyBorder="1" applyAlignment="1">
      <alignment horizontal="centerContinuous"/>
    </xf>
    <xf numFmtId="0" fontId="23" fillId="0" borderId="0" xfId="27" applyFont="1" applyBorder="1">
      <alignment/>
      <protection/>
    </xf>
    <xf numFmtId="49" fontId="21" fillId="0" borderId="89" xfId="23" applyNumberFormat="1" applyFont="1" applyBorder="1">
      <alignment/>
      <protection/>
    </xf>
    <xf numFmtId="49" fontId="24" fillId="0" borderId="90" xfId="23" applyNumberFormat="1" applyFont="1" applyBorder="1" applyAlignment="1">
      <alignment horizontal="left"/>
      <protection/>
    </xf>
    <xf numFmtId="49" fontId="24" fillId="0" borderId="91" xfId="23" applyNumberFormat="1" applyFont="1" applyBorder="1">
      <alignment/>
      <protection/>
    </xf>
    <xf numFmtId="49" fontId="24" fillId="0" borderId="67" xfId="23" applyNumberFormat="1" applyFont="1" applyBorder="1" applyAlignment="1">
      <alignment horizontal="centerContinuous"/>
      <protection/>
    </xf>
    <xf numFmtId="49" fontId="24" fillId="0" borderId="90" xfId="28" applyNumberFormat="1" applyFont="1" applyFill="1" applyBorder="1" applyAlignment="1">
      <alignment horizontal="centerContinuous"/>
    </xf>
    <xf numFmtId="49" fontId="24" fillId="0" borderId="91" xfId="23" applyNumberFormat="1" applyFont="1" applyBorder="1" applyAlignment="1" quotePrefix="1">
      <alignment horizontal="centerContinuous"/>
      <protection/>
    </xf>
    <xf numFmtId="49" fontId="24" fillId="0" borderId="68" xfId="28" applyNumberFormat="1" applyFont="1" applyFill="1" applyBorder="1" applyAlignment="1">
      <alignment horizontal="centerContinuous"/>
    </xf>
    <xf numFmtId="49" fontId="21" fillId="0" borderId="92" xfId="23" applyNumberFormat="1" applyFont="1" applyBorder="1">
      <alignment/>
      <protection/>
    </xf>
    <xf numFmtId="49" fontId="24" fillId="0" borderId="0" xfId="23" applyNumberFormat="1" applyFont="1" applyBorder="1" applyAlignment="1" quotePrefix="1">
      <alignment horizontal="centerContinuous"/>
      <protection/>
    </xf>
    <xf numFmtId="49" fontId="24" fillId="0" borderId="22" xfId="23" applyNumberFormat="1" applyFont="1" applyBorder="1" applyAlignment="1" quotePrefix="1">
      <alignment horizontal="centerContinuous"/>
      <protection/>
    </xf>
    <xf numFmtId="49" fontId="21" fillId="0" borderId="92" xfId="23" applyNumberFormat="1" applyFont="1" applyBorder="1" applyAlignment="1">
      <alignment wrapText="1"/>
      <protection/>
    </xf>
    <xf numFmtId="49" fontId="24" fillId="0" borderId="0" xfId="23" applyNumberFormat="1" applyFont="1" applyBorder="1" applyAlignment="1">
      <alignment horizontal="center" wrapText="1"/>
      <protection/>
    </xf>
    <xf numFmtId="49" fontId="24" fillId="0" borderId="22" xfId="28" applyNumberFormat="1" applyFont="1" applyFill="1" applyBorder="1" applyAlignment="1">
      <alignment horizontal="center" wrapText="1"/>
    </xf>
    <xf numFmtId="49" fontId="24" fillId="0" borderId="93" xfId="23" applyNumberFormat="1" applyFont="1" applyBorder="1" applyAlignment="1">
      <alignment horizontal="center"/>
      <protection/>
    </xf>
    <xf numFmtId="49" fontId="24" fillId="0" borderId="94" xfId="28" applyNumberFormat="1" applyFont="1" applyFill="1" applyBorder="1" applyAlignment="1" applyProtection="1">
      <alignment horizontal="center"/>
      <protection/>
    </xf>
    <xf numFmtId="0" fontId="33" fillId="0" borderId="95" xfId="0" applyFont="1" applyBorder="1" applyAlignment="1">
      <alignment horizontal="right"/>
    </xf>
    <xf numFmtId="5" fontId="27" fillId="0" borderId="0" xfId="23" applyNumberFormat="1" applyFont="1" applyBorder="1" applyAlignment="1">
      <alignment vertical="center"/>
      <protection/>
    </xf>
    <xf numFmtId="174" fontId="20" fillId="0" borderId="96" xfId="28" applyNumberFormat="1" applyFont="1" applyFill="1" applyBorder="1" applyAlignment="1">
      <alignment horizontal="center" vertical="center"/>
    </xf>
    <xf numFmtId="0" fontId="33" fillId="0" borderId="92" xfId="0" applyFont="1" applyBorder="1" applyAlignment="1">
      <alignment horizontal="right"/>
    </xf>
    <xf numFmtId="5" fontId="20" fillId="0" borderId="0" xfId="23" applyNumberFormat="1" applyFont="1" applyBorder="1" applyAlignment="1">
      <alignment vertical="center"/>
      <protection/>
    </xf>
    <xf numFmtId="174" fontId="20" fillId="0" borderId="22" xfId="28" applyNumberFormat="1" applyFont="1" applyFill="1" applyBorder="1" applyAlignment="1">
      <alignment horizontal="center" vertical="center"/>
    </xf>
    <xf numFmtId="0" fontId="21" fillId="0" borderId="97" xfId="23" applyNumberFormat="1" applyFont="1" applyBorder="1" applyAlignment="1">
      <alignment vertical="center"/>
      <protection/>
    </xf>
    <xf numFmtId="0" fontId="21" fillId="0" borderId="88" xfId="23" applyNumberFormat="1" applyFont="1" applyBorder="1" applyAlignment="1">
      <alignment horizontal="left" vertical="center"/>
      <protection/>
    </xf>
    <xf numFmtId="5" fontId="21" fillId="0" borderId="87" xfId="23" applyNumberFormat="1" applyFont="1" applyBorder="1" applyAlignment="1">
      <alignment vertical="center"/>
      <protection/>
    </xf>
    <xf numFmtId="5" fontId="21" fillId="0" borderId="69" xfId="23" applyNumberFormat="1" applyFont="1" applyBorder="1" applyAlignment="1">
      <alignment vertical="center"/>
      <protection/>
    </xf>
    <xf numFmtId="5" fontId="21" fillId="0" borderId="88" xfId="28" applyNumberFormat="1" applyFont="1" applyFill="1" applyBorder="1" applyAlignment="1">
      <alignment vertical="center"/>
    </xf>
    <xf numFmtId="5" fontId="21" fillId="0" borderId="98" xfId="28" applyNumberFormat="1" applyFont="1" applyFill="1" applyBorder="1" applyAlignment="1">
      <alignment vertical="center"/>
    </xf>
    <xf numFmtId="0" fontId="0" fillId="0" borderId="56" xfId="0" applyFont="1" applyBorder="1"/>
    <xf numFmtId="173" fontId="0" fillId="0" borderId="0" xfId="15" applyNumberFormat="1" applyFont="1"/>
    <xf numFmtId="0" fontId="0" fillId="0" borderId="49" xfId="0" applyFont="1" applyBorder="1"/>
    <xf numFmtId="0" fontId="54" fillId="0" borderId="0" xfId="0" applyFont="1"/>
    <xf numFmtId="0" fontId="55" fillId="0" borderId="0" xfId="0" applyFont="1"/>
    <xf numFmtId="0" fontId="56" fillId="0" borderId="0" xfId="0" applyFont="1"/>
    <xf numFmtId="0" fontId="18" fillId="0" borderId="0" xfId="18" applyNumberFormat="1" applyFont="1" applyBorder="1" applyAlignment="1">
      <alignment/>
    </xf>
    <xf numFmtId="0" fontId="54" fillId="0" borderId="0" xfId="0" applyFont="1" applyBorder="1"/>
    <xf numFmtId="0" fontId="21" fillId="0" borderId="0" xfId="0" applyFont="1" applyBorder="1" applyAlignment="1">
      <alignment wrapText="1"/>
    </xf>
    <xf numFmtId="0" fontId="0" fillId="0" borderId="0" xfId="0" applyFont="1" applyBorder="1"/>
    <xf numFmtId="0" fontId="17" fillId="0" borderId="0" xfId="0" applyFont="1" applyBorder="1" applyAlignment="1">
      <alignment wrapText="1"/>
    </xf>
    <xf numFmtId="0" fontId="50" fillId="0" borderId="0" xfId="0" applyFont="1" applyBorder="1"/>
    <xf numFmtId="0" fontId="16" fillId="0" borderId="0" xfId="0" applyFont="1" applyBorder="1" applyAlignment="1">
      <alignment wrapText="1"/>
    </xf>
    <xf numFmtId="0" fontId="40" fillId="0" borderId="0" xfId="0" applyFont="1" applyBorder="1"/>
    <xf numFmtId="0" fontId="57" fillId="0" borderId="0" xfId="0" applyFont="1" applyBorder="1"/>
    <xf numFmtId="0" fontId="21" fillId="0" borderId="0" xfId="0" applyFont="1" applyBorder="1" applyAlignment="1">
      <alignment horizontal="center" wrapText="1"/>
    </xf>
    <xf numFmtId="0" fontId="16" fillId="0" borderId="0" xfId="0" applyFont="1" applyBorder="1" applyAlignment="1">
      <alignment horizontal="center" wrapText="1"/>
    </xf>
    <xf numFmtId="3" fontId="0" fillId="0" borderId="0" xfId="0" applyNumberFormat="1"/>
    <xf numFmtId="40" fontId="20" fillId="0" borderId="15" xfId="21" applyNumberFormat="1" applyFont="1" applyFill="1" applyBorder="1" applyAlignment="1">
      <alignment horizontal="right" vertical="center"/>
      <protection/>
    </xf>
    <xf numFmtId="38" fontId="20" fillId="0" borderId="99" xfId="21" applyNumberFormat="1" applyFont="1" applyFill="1" applyBorder="1" applyAlignment="1">
      <alignment horizontal="right" vertical="center"/>
      <protection/>
    </xf>
    <xf numFmtId="0" fontId="24" fillId="0" borderId="9" xfId="21" applyFont="1" applyBorder="1" applyAlignment="1">
      <alignment horizontal="center" vertical="center"/>
      <protection/>
    </xf>
    <xf numFmtId="0" fontId="20" fillId="0" borderId="9" xfId="21" applyFont="1" applyBorder="1" applyAlignment="1">
      <alignment horizontal="center"/>
      <protection/>
    </xf>
    <xf numFmtId="49" fontId="22" fillId="0" borderId="0" xfId="23" applyNumberFormat="1" applyFont="1" applyFill="1" applyBorder="1" applyAlignment="1">
      <alignment horizontal="centerContinuous"/>
      <protection/>
    </xf>
    <xf numFmtId="49" fontId="24" fillId="0" borderId="42" xfId="23" applyNumberFormat="1" applyFont="1" applyFill="1" applyBorder="1" applyAlignment="1">
      <alignment horizontal="center" wrapText="1"/>
      <protection/>
    </xf>
    <xf numFmtId="49" fontId="24" fillId="0" borderId="60" xfId="23" applyNumberFormat="1" applyFont="1" applyFill="1" applyBorder="1" applyAlignment="1">
      <alignment horizontal="center"/>
      <protection/>
    </xf>
    <xf numFmtId="5" fontId="20" fillId="0" borderId="44" xfId="23" applyNumberFormat="1" applyFont="1" applyFill="1" applyBorder="1" applyAlignment="1">
      <alignment vertical="center"/>
      <protection/>
    </xf>
    <xf numFmtId="5" fontId="20" fillId="0" borderId="42" xfId="23" applyNumberFormat="1" applyFont="1" applyFill="1" applyBorder="1" applyAlignment="1">
      <alignment vertical="center"/>
      <protection/>
    </xf>
    <xf numFmtId="171" fontId="20" fillId="0" borderId="0" xfId="23" applyFont="1" applyFill="1">
      <alignment/>
      <protection/>
    </xf>
    <xf numFmtId="49" fontId="24" fillId="0" borderId="0" xfId="23" applyNumberFormat="1" applyFont="1" applyFill="1" applyBorder="1" applyAlignment="1">
      <alignment horizontal="center" wrapText="1"/>
      <protection/>
    </xf>
    <xf numFmtId="49" fontId="24" fillId="0" borderId="53" xfId="23" applyNumberFormat="1" applyFont="1" applyFill="1" applyBorder="1" applyAlignment="1">
      <alignment horizontal="center"/>
      <protection/>
    </xf>
    <xf numFmtId="5" fontId="20" fillId="0" borderId="2" xfId="23" applyNumberFormat="1" applyFont="1" applyFill="1" applyBorder="1" applyAlignment="1">
      <alignment vertical="center"/>
      <protection/>
    </xf>
    <xf numFmtId="5" fontId="20" fillId="0" borderId="0" xfId="23" applyNumberFormat="1" applyFont="1" applyFill="1" applyBorder="1" applyAlignment="1">
      <alignment vertical="center"/>
      <protection/>
    </xf>
    <xf numFmtId="5" fontId="20" fillId="0" borderId="49" xfId="24" applyNumberFormat="1" applyFill="1" applyBorder="1">
      <alignment/>
      <protection/>
    </xf>
    <xf numFmtId="172" fontId="16" fillId="0" borderId="0" xfId="18" applyNumberFormat="1" applyFont="1"/>
    <xf numFmtId="172" fontId="17" fillId="0" borderId="0" xfId="18" applyNumberFormat="1" applyFont="1"/>
    <xf numFmtId="172" fontId="20" fillId="0" borderId="0" xfId="18" applyNumberFormat="1" applyFont="1"/>
    <xf numFmtId="172" fontId="21" fillId="0" borderId="0" xfId="18" applyNumberFormat="1" applyFont="1" applyAlignment="1">
      <alignment horizontal="center" wrapText="1"/>
    </xf>
    <xf numFmtId="172" fontId="20" fillId="0" borderId="0" xfId="18" applyNumberFormat="1" applyFont="1" applyFill="1"/>
    <xf numFmtId="41" fontId="24" fillId="0" borderId="0" xfId="21" applyNumberFormat="1" applyFont="1" applyBorder="1" applyAlignment="1">
      <alignment vertical="center"/>
      <protection/>
    </xf>
    <xf numFmtId="38" fontId="20" fillId="0" borderId="15" xfId="22" applyNumberFormat="1" applyFont="1" applyFill="1" applyBorder="1" applyAlignment="1">
      <alignment vertical="center"/>
    </xf>
    <xf numFmtId="38" fontId="24" fillId="0" borderId="0" xfId="21" applyNumberFormat="1" applyFont="1" applyBorder="1" applyAlignment="1">
      <alignment vertical="center"/>
      <protection/>
    </xf>
    <xf numFmtId="0" fontId="21" fillId="0" borderId="0" xfId="21" applyFont="1" applyFill="1" applyAlignment="1">
      <alignment horizontal="center" vertical="center"/>
      <protection/>
    </xf>
    <xf numFmtId="38" fontId="24" fillId="0" borderId="0" xfId="21" applyNumberFormat="1" applyFont="1" applyFill="1" applyBorder="1" applyAlignment="1">
      <alignment vertical="center"/>
      <protection/>
    </xf>
    <xf numFmtId="0" fontId="10" fillId="0" borderId="9" xfId="21" applyFill="1" applyBorder="1">
      <alignment/>
      <protection/>
    </xf>
    <xf numFmtId="0" fontId="10" fillId="0" borderId="0" xfId="21" applyFill="1">
      <alignment/>
      <protection/>
    </xf>
    <xf numFmtId="0" fontId="16" fillId="0" borderId="0" xfId="21" applyFont="1" applyFill="1" applyAlignment="1">
      <alignment horizontal="centerContinuous" vertical="center"/>
      <protection/>
    </xf>
    <xf numFmtId="166" fontId="21" fillId="0" borderId="0" xfId="21" applyNumberFormat="1" applyFont="1" applyFill="1" applyAlignment="1">
      <alignment horizontal="center" vertical="center"/>
      <protection/>
    </xf>
    <xf numFmtId="0" fontId="21" fillId="0" borderId="34" xfId="21" applyFont="1" applyFill="1" applyBorder="1" applyAlignment="1">
      <alignment horizontal="center" vertical="center"/>
      <protection/>
    </xf>
    <xf numFmtId="38" fontId="24" fillId="0" borderId="0" xfId="21" applyNumberFormat="1" applyFont="1" applyFill="1" applyAlignment="1">
      <alignment vertical="center"/>
      <protection/>
    </xf>
    <xf numFmtId="38" fontId="24" fillId="0" borderId="40" xfId="21" applyNumberFormat="1" applyFont="1" applyFill="1" applyBorder="1" applyAlignment="1">
      <alignment vertical="center"/>
      <protection/>
    </xf>
    <xf numFmtId="0" fontId="22" fillId="0" borderId="0" xfId="21" applyFont="1" applyFill="1">
      <alignment/>
      <protection/>
    </xf>
    <xf numFmtId="0" fontId="23" fillId="0" borderId="9" xfId="21" applyFont="1" applyBorder="1">
      <alignment/>
      <protection/>
    </xf>
    <xf numFmtId="0" fontId="23" fillId="0" borderId="17" xfId="21" applyFont="1" applyBorder="1">
      <alignment/>
      <protection/>
    </xf>
    <xf numFmtId="0" fontId="20" fillId="0" borderId="4" xfId="21" applyFont="1" applyBorder="1" applyAlignment="1">
      <alignment horizontal="center"/>
      <protection/>
    </xf>
    <xf numFmtId="0" fontId="21" fillId="3" borderId="100" xfId="21" applyFont="1" applyFill="1" applyBorder="1" applyAlignment="1">
      <alignment horizontal="centerContinuous" vertical="center"/>
      <protection/>
    </xf>
    <xf numFmtId="0" fontId="21" fillId="3" borderId="22" xfId="21" applyFont="1" applyFill="1" applyBorder="1" applyAlignment="1">
      <alignment horizontal="centerContinuous" vertical="center"/>
      <protection/>
    </xf>
    <xf numFmtId="0" fontId="21" fillId="3" borderId="101" xfId="21" applyFont="1" applyFill="1" applyBorder="1" applyAlignment="1">
      <alignment horizontal="centerContinuous" vertical="center"/>
      <protection/>
    </xf>
    <xf numFmtId="0" fontId="21" fillId="3" borderId="102" xfId="21" applyFont="1" applyFill="1" applyBorder="1" applyAlignment="1">
      <alignment horizontal="centerContinuous" vertical="center"/>
      <protection/>
    </xf>
    <xf numFmtId="166" fontId="21" fillId="0" borderId="103" xfId="21" applyNumberFormat="1" applyFont="1" applyBorder="1" applyAlignment="1">
      <alignment horizontal="center" vertical="center"/>
      <protection/>
    </xf>
    <xf numFmtId="0" fontId="21" fillId="0" borderId="5" xfId="21" applyFont="1" applyFill="1" applyBorder="1" applyAlignment="1">
      <alignment vertical="center"/>
      <protection/>
    </xf>
    <xf numFmtId="0" fontId="21" fillId="0" borderId="0" xfId="21" applyFont="1" applyFill="1" applyBorder="1" applyAlignment="1">
      <alignment horizontal="right" vertical="center" wrapText="1"/>
      <protection/>
    </xf>
    <xf numFmtId="38" fontId="21" fillId="0" borderId="104" xfId="21" applyNumberFormat="1" applyFont="1" applyFill="1" applyBorder="1" applyAlignment="1">
      <alignment vertical="center"/>
      <protection/>
    </xf>
    <xf numFmtId="38" fontId="21" fillId="0" borderId="0" xfId="21" applyNumberFormat="1" applyFont="1" applyFill="1" applyBorder="1" applyAlignment="1">
      <alignment vertical="center"/>
      <protection/>
    </xf>
    <xf numFmtId="167" fontId="20" fillId="0" borderId="0" xfId="21" applyNumberFormat="1" applyFont="1" applyFill="1" applyBorder="1" applyAlignment="1">
      <alignment horizontal="center" vertical="center"/>
      <protection/>
    </xf>
    <xf numFmtId="38" fontId="21" fillId="0" borderId="0" xfId="21" applyNumberFormat="1" applyFont="1" applyFill="1" applyBorder="1" applyAlignment="1">
      <alignment horizontal="right"/>
      <protection/>
    </xf>
    <xf numFmtId="167" fontId="20" fillId="0" borderId="0" xfId="21" applyNumberFormat="1" applyFont="1" applyFill="1" applyAlignment="1">
      <alignment horizontal="center" vertical="center"/>
      <protection/>
    </xf>
    <xf numFmtId="40" fontId="20" fillId="0" borderId="22" xfId="21" applyNumberFormat="1" applyFont="1" applyFill="1" applyBorder="1" applyAlignment="1">
      <alignment horizontal="right" vertical="center"/>
      <protection/>
    </xf>
    <xf numFmtId="0" fontId="20" fillId="0" borderId="0" xfId="21" applyFont="1" applyFill="1">
      <alignment/>
      <protection/>
    </xf>
    <xf numFmtId="0" fontId="21" fillId="0" borderId="0" xfId="21" applyFont="1" applyFill="1" applyAlignment="1">
      <alignment horizontal="center"/>
      <protection/>
    </xf>
    <xf numFmtId="0" fontId="21" fillId="0" borderId="53" xfId="24" applyFont="1" applyFill="1" applyBorder="1" applyAlignment="1">
      <alignment horizontal="center"/>
      <protection/>
    </xf>
    <xf numFmtId="5" fontId="4" fillId="0" borderId="53" xfId="0" applyNumberFormat="1" applyFont="1" applyBorder="1"/>
    <xf numFmtId="5" fontId="20" fillId="0" borderId="0" xfId="35" applyNumberFormat="1" applyFont="1">
      <alignment/>
      <protection/>
    </xf>
    <xf numFmtId="0" fontId="20" fillId="0" borderId="53" xfId="35" applyFont="1" applyFill="1" applyBorder="1">
      <alignment/>
      <protection/>
    </xf>
    <xf numFmtId="0" fontId="38" fillId="0" borderId="86" xfId="0" applyFont="1" applyFill="1" applyBorder="1" applyAlignment="1">
      <alignment horizontal="right"/>
    </xf>
    <xf numFmtId="171" fontId="20" fillId="0" borderId="43" xfId="23" applyFont="1" applyFill="1" applyBorder="1" applyAlignment="1">
      <alignment vertical="center"/>
      <protection/>
    </xf>
    <xf numFmtId="5" fontId="4" fillId="0" borderId="86" xfId="16" applyNumberFormat="1" applyFont="1" applyFill="1" applyBorder="1"/>
    <xf numFmtId="0" fontId="38" fillId="0" borderId="105" xfId="0" applyFont="1" applyFill="1" applyBorder="1" applyAlignment="1">
      <alignment horizontal="right"/>
    </xf>
    <xf numFmtId="171" fontId="20" fillId="0" borderId="63" xfId="23" applyFont="1" applyFill="1" applyBorder="1" applyAlignment="1">
      <alignment vertical="center"/>
      <protection/>
    </xf>
    <xf numFmtId="5" fontId="4" fillId="0" borderId="105" xfId="16" applyNumberFormat="1" applyFont="1" applyFill="1" applyBorder="1"/>
    <xf numFmtId="0" fontId="38" fillId="0" borderId="106" xfId="0" applyFont="1" applyFill="1" applyBorder="1" applyAlignment="1">
      <alignment horizontal="right"/>
    </xf>
    <xf numFmtId="171" fontId="21" fillId="0" borderId="107" xfId="23" applyFont="1" applyFill="1" applyBorder="1">
      <alignment/>
      <protection/>
    </xf>
    <xf numFmtId="171" fontId="21" fillId="0" borderId="108" xfId="23" applyFont="1" applyFill="1" applyBorder="1">
      <alignment/>
      <protection/>
    </xf>
    <xf numFmtId="5" fontId="4" fillId="0" borderId="75" xfId="16" applyNumberFormat="1" applyFont="1" applyFill="1" applyBorder="1"/>
    <xf numFmtId="5" fontId="4" fillId="0" borderId="107" xfId="16" applyNumberFormat="1" applyFont="1" applyFill="1" applyBorder="1"/>
    <xf numFmtId="5" fontId="4" fillId="0" borderId="109" xfId="16" applyNumberFormat="1" applyFont="1" applyFill="1" applyBorder="1"/>
    <xf numFmtId="5" fontId="4" fillId="0" borderId="108" xfId="16" applyNumberFormat="1" applyFont="1" applyFill="1" applyBorder="1"/>
    <xf numFmtId="5" fontId="21" fillId="0" borderId="87" xfId="23" applyNumberFormat="1" applyFont="1" applyFill="1" applyBorder="1" applyAlignment="1">
      <alignment vertical="center"/>
      <protection/>
    </xf>
    <xf numFmtId="5" fontId="21" fillId="0" borderId="69" xfId="23" applyNumberFormat="1" applyFont="1" applyFill="1" applyBorder="1" applyAlignment="1">
      <alignment vertical="center"/>
      <protection/>
    </xf>
    <xf numFmtId="0" fontId="0" fillId="0" borderId="56" xfId="0" applyFill="1" applyBorder="1" applyAlignment="1">
      <alignment horizontal="right"/>
    </xf>
    <xf numFmtId="173" fontId="0" fillId="0" borderId="0" xfId="15" applyNumberFormat="1" applyFont="1" applyFill="1" applyAlignment="1">
      <alignment horizontal="right"/>
    </xf>
    <xf numFmtId="0" fontId="0" fillId="0" borderId="0" xfId="0" applyFill="1"/>
    <xf numFmtId="172" fontId="20" fillId="0" borderId="48" xfId="18" applyNumberFormat="1" applyFont="1" applyFill="1" applyBorder="1" applyAlignment="1">
      <alignment horizontal="right"/>
    </xf>
    <xf numFmtId="173" fontId="20" fillId="0" borderId="110" xfId="15" applyNumberFormat="1" applyFont="1" applyFill="1" applyBorder="1" applyAlignment="1">
      <alignment horizontal="right"/>
    </xf>
    <xf numFmtId="5" fontId="20" fillId="0" borderId="46" xfId="24" applyNumberFormat="1" applyFill="1" applyBorder="1">
      <alignment/>
      <protection/>
    </xf>
    <xf numFmtId="5" fontId="20" fillId="0" borderId="45" xfId="18" applyNumberFormat="1" applyFont="1" applyFill="1" applyBorder="1"/>
    <xf numFmtId="173" fontId="0" fillId="0" borderId="0" xfId="15" applyNumberFormat="1" applyFont="1" applyFill="1"/>
    <xf numFmtId="5" fontId="20" fillId="0" borderId="49" xfId="25" applyNumberFormat="1" applyFill="1" applyBorder="1">
      <alignment/>
      <protection/>
    </xf>
    <xf numFmtId="5" fontId="20" fillId="0" borderId="46" xfId="18" applyNumberFormat="1" applyFont="1" applyFill="1" applyBorder="1"/>
    <xf numFmtId="37" fontId="20" fillId="0" borderId="47" xfId="24" applyNumberFormat="1" applyFill="1" applyBorder="1">
      <alignment/>
      <protection/>
    </xf>
    <xf numFmtId="37" fontId="20" fillId="0" borderId="46" xfId="24" applyNumberFormat="1" applyFill="1" applyBorder="1">
      <alignment/>
      <protection/>
    </xf>
    <xf numFmtId="5" fontId="21" fillId="0" borderId="69" xfId="47" applyNumberFormat="1" applyFont="1" applyFill="1" applyBorder="1">
      <alignment/>
      <protection/>
    </xf>
    <xf numFmtId="5" fontId="21" fillId="0" borderId="98" xfId="47" applyNumberFormat="1" applyFont="1" applyFill="1" applyBorder="1">
      <alignment/>
      <protection/>
    </xf>
    <xf numFmtId="169" fontId="20" fillId="0" borderId="26" xfId="47" applyNumberFormat="1" applyFont="1" applyFill="1" applyBorder="1" applyAlignment="1">
      <alignment horizontal="center" vertical="center"/>
      <protection/>
    </xf>
    <xf numFmtId="40" fontId="20" fillId="0" borderId="15" xfId="47" applyNumberFormat="1" applyFont="1" applyFill="1" applyBorder="1" applyAlignment="1">
      <alignment horizontal="center" vertical="center"/>
      <protection/>
    </xf>
    <xf numFmtId="0" fontId="21" fillId="0" borderId="5" xfId="21" applyFont="1" applyFill="1" applyBorder="1" applyAlignment="1">
      <alignment horizontal="center" vertical="center"/>
      <protection/>
    </xf>
    <xf numFmtId="0" fontId="21" fillId="0" borderId="0" xfId="21" applyFont="1" applyFill="1" applyAlignment="1">
      <alignment horizontal="left" vertical="center"/>
      <protection/>
    </xf>
    <xf numFmtId="0" fontId="20" fillId="0" borderId="8" xfId="21" applyFont="1" applyFill="1" applyBorder="1">
      <alignment/>
      <protection/>
    </xf>
    <xf numFmtId="0" fontId="20" fillId="0" borderId="9" xfId="21" applyFont="1" applyFill="1" applyBorder="1" applyAlignment="1">
      <alignment wrapText="1"/>
      <protection/>
    </xf>
    <xf numFmtId="0" fontId="20" fillId="0" borderId="34" xfId="21" applyFont="1" applyFill="1" applyBorder="1">
      <alignment/>
      <protection/>
    </xf>
    <xf numFmtId="0" fontId="20" fillId="0" borderId="34" xfId="21" applyFont="1" applyFill="1" applyBorder="1" applyAlignment="1">
      <alignment horizontal="center"/>
      <protection/>
    </xf>
    <xf numFmtId="49" fontId="20" fillId="0" borderId="34" xfId="21" applyNumberFormat="1" applyFont="1" applyFill="1" applyBorder="1" applyAlignment="1">
      <alignment horizontal="center"/>
      <protection/>
    </xf>
    <xf numFmtId="0" fontId="20" fillId="0" borderId="35" xfId="21" applyFont="1" applyFill="1" applyBorder="1" applyAlignment="1">
      <alignment horizontal="center"/>
      <protection/>
    </xf>
    <xf numFmtId="41" fontId="24" fillId="0" borderId="19" xfId="21" applyNumberFormat="1" applyFont="1" applyFill="1" applyBorder="1" applyAlignment="1">
      <alignment vertical="center"/>
      <protection/>
    </xf>
    <xf numFmtId="41" fontId="24" fillId="0" borderId="0" xfId="21" applyNumberFormat="1" applyFont="1" applyFill="1" applyAlignment="1">
      <alignment vertical="center"/>
      <protection/>
    </xf>
    <xf numFmtId="0" fontId="24" fillId="0" borderId="19" xfId="21" applyFont="1" applyFill="1" applyBorder="1" applyAlignment="1">
      <alignment horizontal="center"/>
      <protection/>
    </xf>
    <xf numFmtId="0" fontId="24" fillId="0" borderId="0" xfId="21" applyFont="1" applyFill="1" applyAlignment="1">
      <alignment horizontal="center"/>
      <protection/>
    </xf>
    <xf numFmtId="49" fontId="24" fillId="0" borderId="0" xfId="21" applyNumberFormat="1" applyFont="1" applyFill="1" applyAlignment="1">
      <alignment horizontal="center"/>
      <protection/>
    </xf>
    <xf numFmtId="0" fontId="24" fillId="0" borderId="22" xfId="21" applyFont="1" applyFill="1" applyBorder="1" applyAlignment="1">
      <alignment horizontal="center"/>
      <protection/>
    </xf>
    <xf numFmtId="38" fontId="20" fillId="0" borderId="15" xfId="21" applyNumberFormat="1" applyFont="1" applyFill="1" applyBorder="1" applyAlignment="1">
      <alignment vertical="center"/>
      <protection/>
    </xf>
    <xf numFmtId="40" fontId="20" fillId="0" borderId="23" xfId="21" applyNumberFormat="1" applyFont="1" applyFill="1" applyBorder="1" applyAlignment="1">
      <alignment horizontal="right" vertical="center"/>
      <protection/>
    </xf>
    <xf numFmtId="38" fontId="21" fillId="0" borderId="0" xfId="21" applyNumberFormat="1" applyFont="1" applyFill="1" applyBorder="1" applyAlignment="1">
      <alignment horizontal="right" vertical="center"/>
      <protection/>
    </xf>
    <xf numFmtId="167" fontId="21" fillId="0" borderId="19" xfId="21" applyNumberFormat="1" applyFont="1" applyFill="1" applyBorder="1" applyAlignment="1">
      <alignment horizontal="center" vertical="center"/>
      <protection/>
    </xf>
    <xf numFmtId="169" fontId="21" fillId="0" borderId="25" xfId="21" applyNumberFormat="1" applyFont="1" applyFill="1" applyBorder="1" applyAlignment="1">
      <alignment horizontal="center" vertical="center"/>
      <protection/>
    </xf>
    <xf numFmtId="40" fontId="21" fillId="0" borderId="25" xfId="21" applyNumberFormat="1" applyFont="1" applyFill="1" applyBorder="1" applyAlignment="1">
      <alignment horizontal="right" vertical="center"/>
      <protection/>
    </xf>
    <xf numFmtId="40" fontId="21" fillId="0" borderId="22" xfId="21" applyNumberFormat="1" applyFont="1" applyFill="1" applyBorder="1" applyAlignment="1">
      <alignment horizontal="right" vertical="center"/>
      <protection/>
    </xf>
    <xf numFmtId="38" fontId="20" fillId="0" borderId="19" xfId="21" applyNumberFormat="1" applyFont="1" applyFill="1" applyBorder="1" applyAlignment="1">
      <alignment vertical="center"/>
      <protection/>
    </xf>
    <xf numFmtId="38" fontId="20" fillId="0" borderId="0" xfId="21" applyNumberFormat="1" applyFont="1" applyFill="1" applyAlignment="1">
      <alignment vertical="center"/>
      <protection/>
    </xf>
    <xf numFmtId="167" fontId="20" fillId="0" borderId="19" xfId="21" applyNumberFormat="1" applyFont="1" applyFill="1" applyBorder="1" applyAlignment="1">
      <alignment horizontal="center" vertical="center"/>
      <protection/>
    </xf>
    <xf numFmtId="167" fontId="20" fillId="0" borderId="0" xfId="21" applyNumberFormat="1" applyFont="1" applyFill="1" applyAlignment="1">
      <alignment horizontal="right" vertical="center"/>
      <protection/>
    </xf>
    <xf numFmtId="169" fontId="20" fillId="0" borderId="0" xfId="21" applyNumberFormat="1" applyFont="1" applyFill="1" applyAlignment="1">
      <alignment horizontal="right" vertical="center"/>
      <protection/>
    </xf>
    <xf numFmtId="40" fontId="21" fillId="0" borderId="26" xfId="21" applyNumberFormat="1" applyFont="1" applyFill="1" applyBorder="1" applyAlignment="1">
      <alignment horizontal="right" vertical="center"/>
      <protection/>
    </xf>
    <xf numFmtId="38" fontId="20" fillId="0" borderId="15" xfId="21" applyNumberFormat="1" applyFont="1" applyFill="1" applyBorder="1" applyAlignment="1">
      <alignment horizontal="center" vertical="center"/>
      <protection/>
    </xf>
    <xf numFmtId="38" fontId="21" fillId="0" borderId="111" xfId="21" applyNumberFormat="1" applyFont="1" applyFill="1" applyBorder="1" applyAlignment="1">
      <alignment vertical="center"/>
      <protection/>
    </xf>
    <xf numFmtId="38" fontId="21" fillId="0" borderId="40" xfId="21" applyNumberFormat="1" applyFont="1" applyFill="1" applyBorder="1" applyAlignment="1">
      <alignment vertical="center"/>
      <protection/>
    </xf>
    <xf numFmtId="49" fontId="24" fillId="0" borderId="30" xfId="21" applyNumberFormat="1" applyFont="1" applyFill="1" applyBorder="1" applyAlignment="1">
      <alignment horizontal="center"/>
      <protection/>
    </xf>
    <xf numFmtId="38" fontId="20" fillId="0" borderId="24" xfId="21" applyNumberFormat="1" applyFont="1" applyFill="1" applyBorder="1" applyAlignment="1">
      <alignment vertical="center"/>
      <protection/>
    </xf>
    <xf numFmtId="38" fontId="20" fillId="0" borderId="112" xfId="21" applyNumberFormat="1" applyFont="1" applyFill="1" applyBorder="1" applyAlignment="1">
      <alignment horizontal="right" vertical="center"/>
      <protection/>
    </xf>
    <xf numFmtId="38" fontId="20" fillId="0" borderId="25" xfId="21" applyNumberFormat="1" applyFont="1" applyFill="1" applyBorder="1" applyAlignment="1">
      <alignment horizontal="right" vertical="center"/>
      <protection/>
    </xf>
    <xf numFmtId="38" fontId="20" fillId="0" borderId="113" xfId="21" applyNumberFormat="1" applyFont="1" applyFill="1" applyBorder="1" applyAlignment="1">
      <alignment horizontal="right" vertical="center"/>
      <protection/>
    </xf>
    <xf numFmtId="38" fontId="22" fillId="0" borderId="19" xfId="21" applyNumberFormat="1" applyFont="1" applyFill="1" applyBorder="1" applyAlignment="1">
      <alignment vertical="center"/>
      <protection/>
    </xf>
    <xf numFmtId="38" fontId="22" fillId="0" borderId="0" xfId="21" applyNumberFormat="1" applyFont="1" applyFill="1" applyAlignment="1">
      <alignment vertical="center"/>
      <protection/>
    </xf>
    <xf numFmtId="167" fontId="22" fillId="0" borderId="19" xfId="21" applyNumberFormat="1" applyFont="1" applyFill="1" applyBorder="1" applyAlignment="1">
      <alignment horizontal="center" vertical="center"/>
      <protection/>
    </xf>
    <xf numFmtId="167" fontId="22" fillId="0" borderId="22" xfId="21" applyNumberFormat="1" applyFont="1" applyFill="1" applyBorder="1" applyAlignment="1">
      <alignment horizontal="right" vertical="center"/>
      <protection/>
    </xf>
    <xf numFmtId="167" fontId="22" fillId="0" borderId="0" xfId="21" applyNumberFormat="1" applyFont="1" applyFill="1" applyAlignment="1">
      <alignment horizontal="right" vertical="center"/>
      <protection/>
    </xf>
    <xf numFmtId="49" fontId="24" fillId="0" borderId="114" xfId="21" applyNumberFormat="1" applyFont="1" applyFill="1" applyBorder="1" applyAlignment="1">
      <alignment horizontal="right" vertical="center"/>
      <protection/>
    </xf>
    <xf numFmtId="38" fontId="24" fillId="0" borderId="19" xfId="21" applyNumberFormat="1" applyFont="1" applyFill="1" applyBorder="1" applyAlignment="1">
      <alignment vertical="center"/>
      <protection/>
    </xf>
    <xf numFmtId="38" fontId="24" fillId="0" borderId="0" xfId="21" applyNumberFormat="1" applyFont="1" applyFill="1" applyAlignment="1">
      <alignment horizontal="right"/>
      <protection/>
    </xf>
    <xf numFmtId="38" fontId="24" fillId="0" borderId="111" xfId="21" applyNumberFormat="1" applyFont="1" applyFill="1" applyBorder="1" applyAlignment="1">
      <alignment vertical="center"/>
      <protection/>
    </xf>
    <xf numFmtId="0" fontId="24" fillId="0" borderId="40" xfId="21" applyFont="1" applyFill="1" applyBorder="1" applyAlignment="1">
      <alignment horizontal="center"/>
      <protection/>
    </xf>
    <xf numFmtId="0" fontId="21" fillId="0" borderId="5" xfId="21" applyFont="1" applyFill="1" applyBorder="1" applyAlignment="1">
      <alignment horizontal="right" vertical="center"/>
      <protection/>
    </xf>
    <xf numFmtId="0" fontId="21" fillId="0" borderId="0" xfId="21" applyFont="1" applyFill="1" applyAlignment="1">
      <alignment vertical="center"/>
      <protection/>
    </xf>
    <xf numFmtId="37" fontId="20" fillId="0" borderId="0" xfId="21" applyNumberFormat="1" applyFont="1" applyFill="1">
      <alignment/>
      <protection/>
    </xf>
    <xf numFmtId="0" fontId="20" fillId="0" borderId="0" xfId="21" applyFont="1" applyFill="1" applyAlignment="1">
      <alignment horizontal="center"/>
      <protection/>
    </xf>
    <xf numFmtId="0" fontId="20" fillId="0" borderId="16" xfId="0" applyFont="1" applyFill="1" applyBorder="1"/>
    <xf numFmtId="0" fontId="36" fillId="0" borderId="26" xfId="0" applyFont="1" applyFill="1" applyBorder="1"/>
    <xf numFmtId="177" fontId="24" fillId="0" borderId="0" xfId="18" applyNumberFormat="1" applyFont="1" applyFill="1"/>
    <xf numFmtId="0" fontId="24" fillId="0" borderId="6" xfId="0" applyFont="1" applyFill="1" applyBorder="1"/>
    <xf numFmtId="177" fontId="22" fillId="0" borderId="0" xfId="18" applyNumberFormat="1" applyFont="1" applyFill="1"/>
    <xf numFmtId="0" fontId="24" fillId="0" borderId="38" xfId="0" applyFont="1" applyFill="1" applyBorder="1"/>
    <xf numFmtId="177" fontId="24" fillId="0" borderId="0" xfId="18" applyNumberFormat="1" applyFont="1" applyFill="1" applyAlignment="1">
      <alignment horizontal="center"/>
    </xf>
    <xf numFmtId="38" fontId="24" fillId="0" borderId="53" xfId="21" applyNumberFormat="1" applyFont="1" applyFill="1" applyBorder="1" applyAlignment="1">
      <alignment vertical="center"/>
      <protection/>
    </xf>
    <xf numFmtId="0" fontId="22" fillId="0" borderId="73" xfId="21" applyFont="1" applyFill="1" applyBorder="1" applyAlignment="1">
      <alignment vertical="center"/>
      <protection/>
    </xf>
    <xf numFmtId="0" fontId="22" fillId="0" borderId="19" xfId="21" applyFont="1" applyFill="1" applyBorder="1" applyAlignment="1">
      <alignment horizontal="center"/>
      <protection/>
    </xf>
    <xf numFmtId="0" fontId="22" fillId="0" borderId="0" xfId="21" applyFont="1" applyFill="1" applyAlignment="1">
      <alignment horizontal="center"/>
      <protection/>
    </xf>
    <xf numFmtId="0" fontId="22" fillId="0" borderId="0" xfId="21" applyFont="1" applyFill="1" applyAlignment="1">
      <alignment horizontal="center" vertical="center"/>
      <protection/>
    </xf>
    <xf numFmtId="0" fontId="22" fillId="0" borderId="103" xfId="21" applyFont="1" applyFill="1" applyBorder="1" applyAlignment="1">
      <alignment horizontal="center"/>
      <protection/>
    </xf>
    <xf numFmtId="0" fontId="24" fillId="0" borderId="73" xfId="21" applyFont="1" applyFill="1" applyBorder="1" applyAlignment="1">
      <alignment vertical="center"/>
      <protection/>
    </xf>
    <xf numFmtId="167" fontId="24" fillId="0" borderId="0" xfId="21" applyNumberFormat="1" applyFont="1" applyFill="1" applyAlignment="1">
      <alignment horizontal="center"/>
      <protection/>
    </xf>
    <xf numFmtId="0" fontId="24" fillId="0" borderId="0" xfId="21" applyFont="1" applyFill="1" applyAlignment="1">
      <alignment horizontal="center" vertical="center"/>
      <protection/>
    </xf>
    <xf numFmtId="167" fontId="20" fillId="0" borderId="15" xfId="21" applyNumberFormat="1" applyFont="1" applyFill="1" applyBorder="1" applyAlignment="1">
      <alignment horizontal="center" vertical="center"/>
      <protection/>
    </xf>
    <xf numFmtId="167" fontId="24" fillId="0" borderId="0" xfId="21" applyNumberFormat="1" applyFont="1" applyFill="1" applyAlignment="1">
      <alignment horizontal="center" vertical="center"/>
      <protection/>
    </xf>
    <xf numFmtId="167" fontId="22" fillId="0" borderId="0" xfId="21" applyNumberFormat="1" applyFont="1" applyFill="1" applyAlignment="1">
      <alignment horizontal="center" vertical="center"/>
      <protection/>
    </xf>
    <xf numFmtId="167" fontId="20" fillId="0" borderId="27" xfId="21" applyNumberFormat="1" applyFont="1" applyFill="1" applyBorder="1" applyAlignment="1">
      <alignment vertical="center"/>
      <protection/>
    </xf>
    <xf numFmtId="38" fontId="21" fillId="3" borderId="46" xfId="21" applyNumberFormat="1" applyFont="1" applyFill="1" applyBorder="1" applyAlignment="1">
      <alignment vertical="center"/>
      <protection/>
    </xf>
    <xf numFmtId="38" fontId="21" fillId="3" borderId="46" xfId="21" applyNumberFormat="1" applyFont="1" applyFill="1" applyBorder="1" applyAlignment="1">
      <alignment horizontal="right" vertical="center"/>
      <protection/>
    </xf>
    <xf numFmtId="38" fontId="21" fillId="3" borderId="46" xfId="21" applyNumberFormat="1" applyFont="1" applyFill="1" applyBorder="1" applyAlignment="1">
      <alignment horizontal="right"/>
      <protection/>
    </xf>
    <xf numFmtId="38" fontId="21" fillId="3" borderId="83" xfId="21" applyNumberFormat="1" applyFont="1" applyFill="1" applyBorder="1" applyAlignment="1">
      <alignment horizontal="right" vertical="center"/>
      <protection/>
    </xf>
    <xf numFmtId="38" fontId="21" fillId="3" borderId="84" xfId="21" applyNumberFormat="1" applyFont="1" applyFill="1" applyBorder="1" applyAlignment="1">
      <alignment horizontal="right" vertical="center"/>
      <protection/>
    </xf>
    <xf numFmtId="38" fontId="24" fillId="3" borderId="83" xfId="21" applyNumberFormat="1" applyFont="1" applyFill="1" applyBorder="1" applyAlignment="1">
      <alignment horizontal="right" vertical="center"/>
      <protection/>
    </xf>
    <xf numFmtId="38" fontId="24" fillId="3" borderId="46" xfId="21" applyNumberFormat="1" applyFont="1" applyFill="1" applyBorder="1" applyAlignment="1">
      <alignment horizontal="right" vertical="center"/>
      <protection/>
    </xf>
    <xf numFmtId="38" fontId="24" fillId="3" borderId="84" xfId="21" applyNumberFormat="1" applyFont="1" applyFill="1" applyBorder="1" applyAlignment="1">
      <alignment horizontal="right" vertical="center"/>
      <protection/>
    </xf>
    <xf numFmtId="38" fontId="24" fillId="3" borderId="0" xfId="21" applyNumberFormat="1" applyFont="1" applyFill="1" applyBorder="1" applyAlignment="1">
      <alignment horizontal="right" vertical="center"/>
      <protection/>
    </xf>
    <xf numFmtId="167" fontId="24" fillId="3" borderId="19" xfId="21" applyNumberFormat="1" applyFont="1" applyFill="1" applyBorder="1" applyAlignment="1">
      <alignment horizontal="center" vertical="center"/>
      <protection/>
    </xf>
    <xf numFmtId="38" fontId="24" fillId="3" borderId="115" xfId="21" applyNumberFormat="1" applyFont="1" applyFill="1" applyBorder="1" applyAlignment="1">
      <alignment horizontal="right" vertical="center"/>
      <protection/>
    </xf>
    <xf numFmtId="38" fontId="24" fillId="3" borderId="116" xfId="21" applyNumberFormat="1" applyFont="1" applyFill="1" applyBorder="1" applyAlignment="1">
      <alignment horizontal="right" vertical="center"/>
      <protection/>
    </xf>
    <xf numFmtId="167" fontId="20" fillId="3" borderId="24" xfId="21" applyNumberFormat="1" applyFont="1" applyFill="1" applyBorder="1" applyAlignment="1">
      <alignment horizontal="center" vertical="center"/>
      <protection/>
    </xf>
    <xf numFmtId="38" fontId="24" fillId="3" borderId="117" xfId="21" applyNumberFormat="1" applyFont="1" applyFill="1" applyBorder="1" applyAlignment="1">
      <alignment horizontal="right" vertical="center"/>
      <protection/>
    </xf>
    <xf numFmtId="0" fontId="20" fillId="0" borderId="118" xfId="21" applyFont="1" applyBorder="1" applyAlignment="1" applyProtection="1">
      <alignment horizontal="fill" vertical="center"/>
      <protection locked="0"/>
    </xf>
    <xf numFmtId="0" fontId="20" fillId="0" borderId="118" xfId="0" applyFont="1" applyFill="1" applyBorder="1"/>
    <xf numFmtId="0" fontId="20" fillId="0" borderId="4" xfId="0" applyFont="1" applyFill="1" applyBorder="1"/>
    <xf numFmtId="0" fontId="20" fillId="0" borderId="119" xfId="0" applyFont="1" applyFill="1" applyBorder="1"/>
    <xf numFmtId="38" fontId="20" fillId="0" borderId="14" xfId="22" applyNumberFormat="1" applyFont="1" applyFill="1" applyBorder="1" applyAlignment="1">
      <alignment horizontal="center" vertical="center"/>
    </xf>
    <xf numFmtId="38" fontId="20" fillId="0" borderId="120" xfId="22" applyNumberFormat="1" applyFont="1" applyFill="1" applyBorder="1" applyAlignment="1">
      <alignment horizontal="center" vertical="center"/>
    </xf>
    <xf numFmtId="41" fontId="24" fillId="0" borderId="103" xfId="21" applyNumberFormat="1" applyFont="1" applyBorder="1" applyAlignment="1">
      <alignment horizontal="center" vertical="center"/>
      <protection/>
    </xf>
    <xf numFmtId="38" fontId="24" fillId="3" borderId="121" xfId="21" applyNumberFormat="1" applyFont="1" applyFill="1" applyBorder="1" applyAlignment="1">
      <alignment horizontal="right" vertical="center"/>
      <protection/>
    </xf>
    <xf numFmtId="38" fontId="22" fillId="0" borderId="0" xfId="21" applyNumberFormat="1" applyFont="1" applyFill="1" applyBorder="1" applyAlignment="1">
      <alignment vertical="center"/>
      <protection/>
    </xf>
    <xf numFmtId="38" fontId="20" fillId="0" borderId="27" xfId="22" applyNumberFormat="1" applyFont="1" applyFill="1" applyBorder="1" applyAlignment="1">
      <alignment vertical="center"/>
    </xf>
    <xf numFmtId="38" fontId="20" fillId="0" borderId="122" xfId="22" applyNumberFormat="1" applyFont="1" applyFill="1" applyBorder="1" applyAlignment="1">
      <alignment vertical="center"/>
    </xf>
    <xf numFmtId="38" fontId="24" fillId="3" borderId="123" xfId="21" applyNumberFormat="1" applyFont="1" applyFill="1" applyBorder="1" applyAlignment="1">
      <alignment horizontal="right" vertical="center"/>
      <protection/>
    </xf>
    <xf numFmtId="0" fontId="24" fillId="0" borderId="11" xfId="21" applyFont="1" applyBorder="1" applyAlignment="1">
      <alignment vertical="center"/>
      <protection/>
    </xf>
    <xf numFmtId="0" fontId="24" fillId="2" borderId="4" xfId="21" applyFont="1" applyFill="1" applyBorder="1" applyAlignment="1">
      <alignment vertical="center"/>
      <protection/>
    </xf>
    <xf numFmtId="0" fontId="20" fillId="0" borderId="14" xfId="21" applyFont="1" applyBorder="1" applyAlignment="1">
      <alignment horizontal="left" vertical="center"/>
      <protection/>
    </xf>
    <xf numFmtId="0" fontId="24" fillId="0" borderId="4" xfId="21" applyFont="1" applyBorder="1" applyAlignment="1">
      <alignment horizontal="right" vertical="center"/>
      <protection/>
    </xf>
    <xf numFmtId="0" fontId="24" fillId="2" borderId="124" xfId="21" applyFont="1" applyFill="1" applyBorder="1" applyAlignment="1">
      <alignment horizontal="right" vertical="center"/>
      <protection/>
    </xf>
    <xf numFmtId="0" fontId="24" fillId="0" borderId="4" xfId="21" applyFont="1" applyBorder="1" applyAlignment="1">
      <alignment vertical="center" wrapText="1"/>
      <protection/>
    </xf>
    <xf numFmtId="0" fontId="24" fillId="2" borderId="4" xfId="21" applyFont="1" applyFill="1" applyBorder="1" applyAlignment="1">
      <alignment horizontal="right" vertical="center"/>
      <protection/>
    </xf>
    <xf numFmtId="38" fontId="24" fillId="3" borderId="84" xfId="21" applyNumberFormat="1" applyFont="1" applyFill="1" applyBorder="1" applyAlignment="1">
      <alignment vertical="center"/>
      <protection/>
    </xf>
    <xf numFmtId="38" fontId="24" fillId="3" borderId="2" xfId="21" applyNumberFormat="1" applyFont="1" applyFill="1" applyBorder="1" applyAlignment="1">
      <alignment vertical="center"/>
      <protection/>
    </xf>
    <xf numFmtId="38" fontId="24" fillId="3" borderId="125" xfId="21" applyNumberFormat="1" applyFont="1" applyFill="1" applyBorder="1" applyAlignment="1">
      <alignment vertical="center"/>
      <protection/>
    </xf>
    <xf numFmtId="38" fontId="24" fillId="0" borderId="126" xfId="21" applyNumberFormat="1" applyFont="1" applyFill="1" applyBorder="1" applyAlignment="1">
      <alignment vertical="center"/>
      <protection/>
    </xf>
    <xf numFmtId="0" fontId="2" fillId="0" borderId="0" xfId="0" applyFont="1" applyAlignment="1">
      <alignment horizontal="left" wrapText="1"/>
    </xf>
    <xf numFmtId="0" fontId="15" fillId="0" borderId="0" xfId="0" applyFont="1" applyAlignment="1">
      <alignment horizontal="center"/>
    </xf>
    <xf numFmtId="0" fontId="16" fillId="0" borderId="0" xfId="0" applyFont="1" applyAlignment="1">
      <alignment horizontal="right"/>
    </xf>
    <xf numFmtId="164" fontId="48" fillId="0" borderId="0" xfId="0" applyNumberFormat="1" applyFont="1" applyAlignment="1">
      <alignment horizontal="center"/>
    </xf>
    <xf numFmtId="0" fontId="52" fillId="0" borderId="0" xfId="0" applyFont="1" applyAlignment="1">
      <alignment horizontal="center"/>
    </xf>
    <xf numFmtId="0" fontId="20" fillId="0" borderId="15" xfId="0" applyFont="1" applyFill="1" applyBorder="1" applyAlignment="1">
      <alignment horizontal="center"/>
    </xf>
    <xf numFmtId="0" fontId="20" fillId="0" borderId="122" xfId="0" applyFont="1" applyFill="1" applyBorder="1" applyAlignment="1">
      <alignment horizontal="center"/>
    </xf>
    <xf numFmtId="0" fontId="20" fillId="0" borderId="127" xfId="0" applyFont="1" applyFill="1" applyBorder="1" applyAlignment="1">
      <alignment horizontal="center"/>
    </xf>
    <xf numFmtId="0" fontId="24" fillId="5" borderId="5" xfId="21" applyFont="1" applyFill="1" applyBorder="1" applyAlignment="1">
      <alignment horizontal="center" vertical="center"/>
      <protection/>
    </xf>
    <xf numFmtId="0" fontId="24" fillId="5" borderId="0" xfId="21" applyFont="1" applyFill="1" applyBorder="1" applyAlignment="1">
      <alignment horizontal="center" vertical="center"/>
      <protection/>
    </xf>
    <xf numFmtId="0" fontId="24" fillId="5" borderId="4" xfId="21" applyFont="1" applyFill="1" applyBorder="1" applyAlignment="1">
      <alignment horizontal="center" vertical="center"/>
      <protection/>
    </xf>
    <xf numFmtId="0" fontId="16" fillId="0" borderId="0" xfId="21" applyFont="1" applyAlignment="1">
      <alignment horizontal="center" vertical="center"/>
      <protection/>
    </xf>
    <xf numFmtId="0" fontId="18" fillId="0" borderId="0" xfId="21" applyFont="1" applyAlignment="1">
      <alignment horizontal="center" vertical="center"/>
      <protection/>
    </xf>
    <xf numFmtId="0" fontId="20" fillId="0" borderId="0" xfId="21" applyFont="1" applyAlignment="1">
      <alignment horizontal="center" vertical="center"/>
      <protection/>
    </xf>
    <xf numFmtId="0" fontId="21" fillId="0" borderId="0" xfId="21" applyFont="1" applyAlignment="1">
      <alignment horizontal="center" vertical="center"/>
      <protection/>
    </xf>
    <xf numFmtId="0" fontId="20" fillId="0" borderId="128" xfId="0" applyFont="1" applyFill="1" applyBorder="1" applyAlignment="1">
      <alignment horizontal="center"/>
    </xf>
    <xf numFmtId="0" fontId="20" fillId="0" borderId="129" xfId="0" applyFont="1" applyFill="1" applyBorder="1" applyAlignment="1">
      <alignment horizontal="center"/>
    </xf>
    <xf numFmtId="0" fontId="24" fillId="5" borderId="130" xfId="21" applyFont="1" applyFill="1" applyBorder="1" applyAlignment="1">
      <alignment horizontal="center" vertical="center"/>
      <protection/>
    </xf>
    <xf numFmtId="0" fontId="24" fillId="5" borderId="131" xfId="21" applyFont="1" applyFill="1" applyBorder="1" applyAlignment="1">
      <alignment horizontal="center" vertical="center"/>
      <protection/>
    </xf>
    <xf numFmtId="0" fontId="24" fillId="5" borderId="132" xfId="21" applyFont="1" applyFill="1" applyBorder="1" applyAlignment="1">
      <alignment horizontal="center" vertical="center"/>
      <protection/>
    </xf>
    <xf numFmtId="0" fontId="20" fillId="0" borderId="133" xfId="0" applyFont="1" applyFill="1" applyBorder="1" applyAlignment="1">
      <alignment horizontal="center"/>
    </xf>
    <xf numFmtId="0" fontId="20" fillId="0" borderId="134" xfId="0" applyFont="1" applyFill="1" applyBorder="1" applyAlignment="1">
      <alignment horizontal="center"/>
    </xf>
    <xf numFmtId="0" fontId="20" fillId="0" borderId="25" xfId="0" applyFont="1" applyFill="1" applyBorder="1" applyAlignment="1">
      <alignment horizontal="center"/>
    </xf>
    <xf numFmtId="0" fontId="20" fillId="0" borderId="135" xfId="0" applyFont="1" applyFill="1" applyBorder="1" applyAlignment="1">
      <alignment horizontal="center"/>
    </xf>
    <xf numFmtId="0" fontId="20" fillId="0" borderId="24" xfId="0" applyFont="1" applyFill="1" applyBorder="1" applyAlignment="1">
      <alignment horizontal="center"/>
    </xf>
    <xf numFmtId="0" fontId="20" fillId="0" borderId="136" xfId="0" applyFont="1" applyFill="1" applyBorder="1" applyAlignment="1">
      <alignment horizontal="center"/>
    </xf>
    <xf numFmtId="167" fontId="20" fillId="0" borderId="53" xfId="21" applyNumberFormat="1" applyFont="1" applyFill="1" applyBorder="1" applyAlignment="1">
      <alignment horizontal="center" vertical="center"/>
      <protection/>
    </xf>
    <xf numFmtId="0" fontId="24" fillId="0" borderId="9" xfId="21" applyFont="1" applyBorder="1" applyAlignment="1">
      <alignment horizontal="center" vertical="center"/>
      <protection/>
    </xf>
    <xf numFmtId="0" fontId="24" fillId="0" borderId="137" xfId="21" applyFont="1" applyBorder="1" applyAlignment="1">
      <alignment horizontal="center" vertical="center"/>
      <protection/>
    </xf>
    <xf numFmtId="0" fontId="23" fillId="0" borderId="0" xfId="21" applyFont="1" applyAlignment="1">
      <alignment horizontal="center"/>
      <protection/>
    </xf>
    <xf numFmtId="0" fontId="23" fillId="0" borderId="22" xfId="21" applyFont="1" applyBorder="1" applyAlignment="1">
      <alignment horizontal="center"/>
      <protection/>
    </xf>
    <xf numFmtId="0" fontId="23" fillId="0" borderId="9" xfId="21" applyFont="1" applyBorder="1" applyAlignment="1">
      <alignment horizontal="center"/>
      <protection/>
    </xf>
    <xf numFmtId="0" fontId="23" fillId="0" borderId="137" xfId="21" applyFont="1" applyBorder="1" applyAlignment="1">
      <alignment horizontal="center"/>
      <protection/>
    </xf>
    <xf numFmtId="0" fontId="24" fillId="5" borderId="70" xfId="21" applyFont="1" applyFill="1" applyBorder="1" applyAlignment="1">
      <alignment horizontal="center" vertical="center"/>
      <protection/>
    </xf>
    <xf numFmtId="0" fontId="24" fillId="5" borderId="64" xfId="21" applyFont="1" applyFill="1" applyBorder="1" applyAlignment="1">
      <alignment horizontal="center" vertical="center"/>
      <protection/>
    </xf>
    <xf numFmtId="0" fontId="24" fillId="5" borderId="71" xfId="21" applyFont="1" applyFill="1" applyBorder="1" applyAlignment="1">
      <alignment horizontal="center" vertical="center"/>
      <protection/>
    </xf>
    <xf numFmtId="0" fontId="24" fillId="5" borderId="138" xfId="21" applyFont="1" applyFill="1" applyBorder="1" applyAlignment="1">
      <alignment horizontal="center" vertical="center"/>
      <protection/>
    </xf>
    <xf numFmtId="0" fontId="24" fillId="5" borderId="32" xfId="21" applyFont="1" applyFill="1" applyBorder="1" applyAlignment="1">
      <alignment horizontal="center" vertical="center"/>
      <protection/>
    </xf>
    <xf numFmtId="0" fontId="24" fillId="5" borderId="139" xfId="21" applyFont="1" applyFill="1" applyBorder="1" applyAlignment="1">
      <alignment horizontal="center" vertical="center"/>
      <protection/>
    </xf>
    <xf numFmtId="0" fontId="24" fillId="0" borderId="67" xfId="21" applyFont="1" applyBorder="1" applyAlignment="1">
      <alignment horizontal="center" vertical="center"/>
      <protection/>
    </xf>
    <xf numFmtId="0" fontId="24" fillId="0" borderId="68" xfId="21" applyFont="1" applyBorder="1" applyAlignment="1">
      <alignment horizontal="center" vertical="center"/>
      <protection/>
    </xf>
    <xf numFmtId="0" fontId="24" fillId="0" borderId="0" xfId="21" applyFont="1" applyAlignment="1">
      <alignment horizontal="center" vertical="center"/>
      <protection/>
    </xf>
    <xf numFmtId="0" fontId="24" fillId="0" borderId="22" xfId="21" applyFont="1" applyBorder="1" applyAlignment="1">
      <alignment horizontal="center" vertical="center"/>
      <protection/>
    </xf>
    <xf numFmtId="0" fontId="22" fillId="0" borderId="9" xfId="21" applyFont="1" applyBorder="1" applyAlignment="1">
      <alignment wrapText="1"/>
      <protection/>
    </xf>
    <xf numFmtId="0" fontId="22" fillId="0" borderId="9" xfId="21" applyFont="1" applyBorder="1" applyAlignment="1">
      <alignment/>
      <protection/>
    </xf>
    <xf numFmtId="0" fontId="22" fillId="0" borderId="17" xfId="21" applyFont="1" applyBorder="1" applyAlignment="1">
      <alignment/>
      <protection/>
    </xf>
    <xf numFmtId="0" fontId="21" fillId="0" borderId="9" xfId="21" applyFont="1" applyBorder="1" applyAlignment="1">
      <alignment horizontal="center" vertical="center"/>
      <protection/>
    </xf>
    <xf numFmtId="0" fontId="20" fillId="0" borderId="9" xfId="21" applyFont="1" applyBorder="1" applyAlignment="1">
      <alignment horizontal="center"/>
      <protection/>
    </xf>
    <xf numFmtId="0" fontId="21" fillId="3" borderId="130" xfId="21" applyFont="1" applyFill="1" applyBorder="1" applyAlignment="1">
      <alignment horizontal="center" vertical="center" wrapText="1"/>
      <protection/>
    </xf>
    <xf numFmtId="0" fontId="21" fillId="3" borderId="140" xfId="21" applyFont="1" applyFill="1" applyBorder="1" applyAlignment="1">
      <alignment horizontal="center" vertical="center" wrapText="1"/>
      <protection/>
    </xf>
    <xf numFmtId="0" fontId="21" fillId="3" borderId="141" xfId="21" applyFont="1" applyFill="1" applyBorder="1" applyAlignment="1">
      <alignment horizontal="center" vertical="center" wrapText="1"/>
      <protection/>
    </xf>
    <xf numFmtId="0" fontId="21" fillId="3" borderId="131" xfId="21" applyFont="1" applyFill="1" applyBorder="1" applyAlignment="1">
      <alignment horizontal="center" vertical="center" wrapText="1"/>
      <protection/>
    </xf>
    <xf numFmtId="0" fontId="21" fillId="3" borderId="132" xfId="21" applyFont="1" applyFill="1" applyBorder="1" applyAlignment="1">
      <alignment horizontal="center" vertical="center" wrapText="1"/>
      <protection/>
    </xf>
    <xf numFmtId="0" fontId="21" fillId="3" borderId="142" xfId="21" applyFont="1" applyFill="1" applyBorder="1" applyAlignment="1">
      <alignment horizontal="center" vertical="center"/>
      <protection/>
    </xf>
    <xf numFmtId="0" fontId="21" fillId="3" borderId="143" xfId="21" applyFont="1" applyFill="1" applyBorder="1" applyAlignment="1">
      <alignment horizontal="center" vertical="center"/>
      <protection/>
    </xf>
    <xf numFmtId="0" fontId="21" fillId="3" borderId="144" xfId="21" applyFont="1" applyFill="1" applyBorder="1" applyAlignment="1">
      <alignment horizontal="center" vertical="center"/>
      <protection/>
    </xf>
    <xf numFmtId="0" fontId="21" fillId="8" borderId="18" xfId="47" applyFont="1" applyFill="1" applyBorder="1" applyAlignment="1">
      <alignment horizontal="center" vertical="center"/>
      <protection/>
    </xf>
    <xf numFmtId="0" fontId="21" fillId="8" borderId="67" xfId="47" applyFont="1" applyFill="1" applyBorder="1" applyAlignment="1">
      <alignment horizontal="center" vertical="center"/>
      <protection/>
    </xf>
    <xf numFmtId="0" fontId="21" fillId="8" borderId="68" xfId="47" applyFont="1" applyFill="1" applyBorder="1" applyAlignment="1">
      <alignment horizontal="center" vertical="center"/>
      <protection/>
    </xf>
    <xf numFmtId="0" fontId="49" fillId="0" borderId="0" xfId="0" applyFont="1" applyAlignment="1">
      <alignment horizontal="center"/>
    </xf>
    <xf numFmtId="0" fontId="46" fillId="0" borderId="0" xfId="0" applyFont="1" applyAlignment="1">
      <alignment horizontal="center"/>
    </xf>
    <xf numFmtId="0" fontId="38" fillId="0" borderId="0" xfId="0" applyFont="1" applyAlignment="1">
      <alignment horizontal="center"/>
    </xf>
    <xf numFmtId="0" fontId="47" fillId="0" borderId="0" xfId="0" applyFont="1" applyAlignment="1">
      <alignment horizontal="center"/>
    </xf>
    <xf numFmtId="0" fontId="51" fillId="0" borderId="0" xfId="0" applyFont="1" applyAlignment="1">
      <alignment horizontal="center"/>
    </xf>
    <xf numFmtId="0" fontId="31" fillId="0" borderId="0" xfId="0" applyFont="1" applyAlignment="1">
      <alignment horizontal="center"/>
    </xf>
    <xf numFmtId="0" fontId="21" fillId="5" borderId="145" xfId="24" applyFont="1" applyFill="1" applyBorder="1" applyAlignment="1">
      <alignment horizontal="center"/>
      <protection/>
    </xf>
    <xf numFmtId="0" fontId="21" fillId="5" borderId="104" xfId="24" applyFont="1" applyFill="1" applyBorder="1" applyAlignment="1">
      <alignment horizontal="center"/>
      <protection/>
    </xf>
    <xf numFmtId="0" fontId="21" fillId="5" borderId="146" xfId="24" applyFont="1" applyFill="1" applyBorder="1" applyAlignment="1">
      <alignment horizontal="center"/>
      <protection/>
    </xf>
    <xf numFmtId="0" fontId="18" fillId="0" borderId="0" xfId="18" applyNumberFormat="1" applyFont="1" applyAlignment="1">
      <alignment horizontal="center"/>
    </xf>
    <xf numFmtId="0" fontId="20" fillId="0" borderId="0" xfId="18" applyNumberFormat="1" applyFont="1" applyAlignment="1">
      <alignment horizontal="center"/>
    </xf>
    <xf numFmtId="49" fontId="16" fillId="0" borderId="0" xfId="18" applyNumberFormat="1" applyFont="1" applyAlignment="1">
      <alignment horizontal="center"/>
    </xf>
    <xf numFmtId="1" fontId="16" fillId="0" borderId="0" xfId="18" applyNumberFormat="1" applyFont="1" applyAlignment="1">
      <alignment horizontal="center"/>
    </xf>
    <xf numFmtId="0" fontId="18" fillId="0" borderId="0" xfId="18" applyNumberFormat="1" applyFont="1" applyBorder="1" applyAlignment="1">
      <alignment horizontal="center"/>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147" xfId="0" applyFont="1" applyBorder="1" applyAlignment="1">
      <alignment horizontal="left" vertical="center" wrapText="1"/>
    </xf>
    <xf numFmtId="0" fontId="20" fillId="0" borderId="79" xfId="0" applyFont="1" applyBorder="1" applyAlignment="1">
      <alignment horizontal="left" vertical="center" wrapText="1"/>
    </xf>
    <xf numFmtId="0" fontId="21"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20" fillId="0" borderId="148" xfId="0" applyFont="1" applyBorder="1" applyAlignment="1">
      <alignment horizontal="left" vertical="center" wrapText="1"/>
    </xf>
    <xf numFmtId="0" fontId="20" fillId="0" borderId="29" xfId="30" applyFont="1" applyBorder="1" applyAlignment="1">
      <alignment horizontal="left" vertical="center" wrapText="1"/>
      <protection/>
    </xf>
    <xf numFmtId="0" fontId="20" fillId="0" borderId="147" xfId="30" applyFont="1" applyBorder="1" applyAlignment="1">
      <alignment horizontal="left" vertical="center" wrapText="1"/>
      <protection/>
    </xf>
    <xf numFmtId="0" fontId="20" fillId="0" borderId="29" xfId="0" applyFont="1" applyBorder="1" applyAlignment="1">
      <alignment horizontal="left" wrapText="1"/>
    </xf>
    <xf numFmtId="0" fontId="20" fillId="0" borderId="147" xfId="0" applyFont="1" applyBorder="1" applyAlignment="1">
      <alignment horizontal="left" wrapText="1"/>
    </xf>
    <xf numFmtId="5" fontId="20" fillId="0" borderId="29" xfId="0" applyNumberFormat="1" applyFont="1" applyBorder="1" applyAlignment="1">
      <alignment horizontal="center" vertical="center" wrapText="1"/>
    </xf>
    <xf numFmtId="5" fontId="20" fillId="0" borderId="30" xfId="0" applyNumberFormat="1" applyFont="1" applyBorder="1" applyAlignment="1">
      <alignment horizontal="center" vertical="center" wrapText="1"/>
    </xf>
    <xf numFmtId="5" fontId="20" fillId="0" borderId="147" xfId="0" applyNumberFormat="1" applyFont="1" applyBorder="1" applyAlignment="1">
      <alignment horizontal="center" vertical="center" wrapText="1"/>
    </xf>
    <xf numFmtId="0" fontId="20" fillId="0" borderId="30" xfId="30" applyFont="1" applyBorder="1" applyAlignment="1">
      <alignment horizontal="left" vertical="center" wrapText="1"/>
      <protection/>
    </xf>
    <xf numFmtId="0" fontId="20" fillId="0" borderId="36" xfId="30" applyFont="1" applyBorder="1" applyAlignment="1">
      <alignment horizontal="left" vertical="center" wrapText="1"/>
      <protection/>
    </xf>
    <xf numFmtId="5" fontId="20" fillId="0" borderId="29" xfId="0" applyNumberFormat="1" applyFont="1" applyBorder="1" applyAlignment="1">
      <alignment horizontal="left" vertical="center" wrapText="1"/>
    </xf>
    <xf numFmtId="5" fontId="20" fillId="0" borderId="30" xfId="0" applyNumberFormat="1" applyFont="1" applyBorder="1" applyAlignment="1">
      <alignment horizontal="left" vertical="center" wrapText="1"/>
    </xf>
    <xf numFmtId="5" fontId="20" fillId="0" borderId="147" xfId="0" applyNumberFormat="1" applyFont="1" applyBorder="1" applyAlignment="1">
      <alignment horizontal="left" vertical="center" wrapText="1"/>
    </xf>
    <xf numFmtId="0" fontId="20" fillId="0" borderId="14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147" xfId="0" applyFont="1" applyBorder="1" applyAlignment="1">
      <alignment horizontal="center" vertical="center" wrapText="1"/>
    </xf>
    <xf numFmtId="0" fontId="21" fillId="0" borderId="0" xfId="18" applyNumberFormat="1" applyFont="1" applyAlignment="1">
      <alignment horizontal="center"/>
    </xf>
    <xf numFmtId="0" fontId="20" fillId="0" borderId="29" xfId="30" applyFont="1" applyBorder="1" applyAlignment="1">
      <alignment horizontal="left" wrapText="1"/>
      <protection/>
    </xf>
    <xf numFmtId="0" fontId="20" fillId="0" borderId="30" xfId="30" applyFont="1" applyBorder="1" applyAlignment="1">
      <alignment horizontal="left" wrapText="1"/>
      <protection/>
    </xf>
    <xf numFmtId="0" fontId="20" fillId="0" borderId="147" xfId="30" applyFont="1" applyBorder="1" applyAlignment="1">
      <alignment horizontal="left" wrapText="1"/>
      <protection/>
    </xf>
    <xf numFmtId="0" fontId="20" fillId="0" borderId="149" xfId="0" applyFont="1" applyBorder="1" applyAlignment="1">
      <alignment horizontal="left" vertical="center" wrapText="1"/>
    </xf>
    <xf numFmtId="0" fontId="20" fillId="0" borderId="36" xfId="0" applyFont="1" applyBorder="1" applyAlignment="1">
      <alignment horizontal="left" vertical="center" wrapText="1"/>
    </xf>
    <xf numFmtId="0" fontId="20" fillId="0" borderId="79" xfId="30" applyFont="1" applyBorder="1" applyAlignment="1">
      <alignment horizontal="left" vertical="center" wrapText="1"/>
      <protection/>
    </xf>
    <xf numFmtId="0" fontId="20" fillId="0" borderId="29" xfId="0" applyFont="1" applyBorder="1" applyAlignment="1">
      <alignment horizontal="center" vertical="center" wrapText="1"/>
    </xf>
    <xf numFmtId="0" fontId="18" fillId="0" borderId="145" xfId="18" applyNumberFormat="1" applyFont="1" applyBorder="1" applyAlignment="1">
      <alignment horizontal="center"/>
    </xf>
    <xf numFmtId="0" fontId="18" fillId="0" borderId="104" xfId="18" applyNumberFormat="1" applyFont="1" applyBorder="1" applyAlignment="1">
      <alignment horizontal="center"/>
    </xf>
    <xf numFmtId="0" fontId="18" fillId="0" borderId="146" xfId="18" applyNumberFormat="1" applyFont="1" applyBorder="1" applyAlignment="1">
      <alignment horizontal="center"/>
    </xf>
    <xf numFmtId="0" fontId="20" fillId="0" borderId="56" xfId="18" applyNumberFormat="1" applyFont="1" applyBorder="1" applyAlignment="1">
      <alignment horizontal="center"/>
    </xf>
    <xf numFmtId="0" fontId="20" fillId="0" borderId="0" xfId="18" applyNumberFormat="1" applyFont="1" applyBorder="1" applyAlignment="1">
      <alignment horizontal="center"/>
    </xf>
    <xf numFmtId="0" fontId="20" fillId="0" borderId="49" xfId="18" applyNumberFormat="1" applyFont="1" applyBorder="1" applyAlignment="1">
      <alignment horizontal="center"/>
    </xf>
    <xf numFmtId="49" fontId="16" fillId="0" borderId="56" xfId="18" applyNumberFormat="1" applyFont="1" applyBorder="1" applyAlignment="1">
      <alignment horizontal="center"/>
    </xf>
    <xf numFmtId="49" fontId="16" fillId="0" borderId="0" xfId="18" applyNumberFormat="1" applyFont="1" applyBorder="1" applyAlignment="1">
      <alignment horizontal="center"/>
    </xf>
    <xf numFmtId="49" fontId="16" fillId="0" borderId="49" xfId="18" applyNumberFormat="1" applyFont="1" applyBorder="1" applyAlignment="1">
      <alignment horizontal="center"/>
    </xf>
    <xf numFmtId="1" fontId="16" fillId="0" borderId="56" xfId="18" applyNumberFormat="1" applyFont="1" applyBorder="1" applyAlignment="1">
      <alignment horizontal="center"/>
    </xf>
    <xf numFmtId="1" fontId="16" fillId="0" borderId="0" xfId="18" applyNumberFormat="1" applyFont="1" applyBorder="1" applyAlignment="1">
      <alignment horizontal="center"/>
    </xf>
    <xf numFmtId="1" fontId="16" fillId="0" borderId="49" xfId="18" applyNumberFormat="1" applyFont="1" applyBorder="1" applyAlignment="1">
      <alignment horizontal="center"/>
    </xf>
    <xf numFmtId="0" fontId="21" fillId="0" borderId="56" xfId="18" applyNumberFormat="1" applyFont="1" applyBorder="1" applyAlignment="1">
      <alignment horizontal="center"/>
    </xf>
    <xf numFmtId="0" fontId="21" fillId="0" borderId="0" xfId="18" applyNumberFormat="1" applyFont="1" applyBorder="1" applyAlignment="1">
      <alignment horizontal="center"/>
    </xf>
    <xf numFmtId="0" fontId="21" fillId="0" borderId="49" xfId="18" applyNumberFormat="1" applyFont="1" applyBorder="1" applyAlignment="1">
      <alignment horizontal="center"/>
    </xf>
    <xf numFmtId="49" fontId="24" fillId="0" borderId="91" xfId="23" applyNumberFormat="1" applyFont="1" applyFill="1" applyBorder="1" applyAlignment="1" quotePrefix="1">
      <alignment horizontal="center" wrapText="1"/>
      <protection/>
    </xf>
    <xf numFmtId="49" fontId="24" fillId="0" borderId="90" xfId="23" applyNumberFormat="1" applyFont="1" applyFill="1" applyBorder="1" applyAlignment="1" quotePrefix="1">
      <alignment horizontal="center" wrapText="1"/>
      <protection/>
    </xf>
    <xf numFmtId="49" fontId="24" fillId="0" borderId="42" xfId="23" applyNumberFormat="1" applyFont="1" applyFill="1" applyBorder="1" applyAlignment="1" quotePrefix="1">
      <alignment horizontal="center" wrapText="1"/>
      <protection/>
    </xf>
    <xf numFmtId="49" fontId="24" fillId="0" borderId="63" xfId="23" applyNumberFormat="1" applyFont="1" applyFill="1" applyBorder="1" applyAlignment="1" quotePrefix="1">
      <alignment horizontal="center" wrapText="1"/>
      <protection/>
    </xf>
    <xf numFmtId="0" fontId="18" fillId="0" borderId="0" xfId="23" applyNumberFormat="1" applyFont="1" applyBorder="1" applyAlignment="1">
      <alignment horizontal="center"/>
      <protection/>
    </xf>
    <xf numFmtId="0" fontId="20" fillId="0" borderId="0" xfId="23" applyNumberFormat="1" applyFont="1" applyBorder="1" applyAlignment="1">
      <alignment horizontal="center"/>
      <protection/>
    </xf>
    <xf numFmtId="0" fontId="16" fillId="0" borderId="0" xfId="23" applyNumberFormat="1" applyFont="1" applyBorder="1" applyAlignment="1">
      <alignment horizontal="center"/>
      <protection/>
    </xf>
    <xf numFmtId="0" fontId="32" fillId="0" borderId="0" xfId="23" applyNumberFormat="1" applyFont="1" applyBorder="1" applyAlignment="1">
      <alignment horizontal="center"/>
      <protection/>
    </xf>
    <xf numFmtId="0" fontId="21" fillId="0" borderId="0" xfId="30" applyFont="1" applyAlignment="1">
      <alignment horizontal="center" wrapText="1"/>
      <protection/>
    </xf>
    <xf numFmtId="0" fontId="16" fillId="0" borderId="0" xfId="30" applyFont="1" applyAlignment="1">
      <alignment horizontal="center"/>
      <protection/>
    </xf>
    <xf numFmtId="175" fontId="16" fillId="0" borderId="0" xfId="30" applyNumberFormat="1" applyFont="1" applyAlignment="1">
      <alignment horizontal="center"/>
      <protection/>
    </xf>
    <xf numFmtId="0" fontId="18" fillId="0" borderId="0" xfId="31" applyFont="1" applyAlignment="1">
      <alignment horizontal="center"/>
      <protection/>
    </xf>
    <xf numFmtId="175" fontId="30" fillId="0" borderId="0" xfId="30" applyNumberFormat="1" applyFont="1" applyAlignment="1">
      <alignment horizontal="center"/>
      <protection/>
    </xf>
    <xf numFmtId="0" fontId="16" fillId="0" borderId="0" xfId="35" applyFont="1" applyAlignment="1">
      <alignment horizontal="center"/>
      <protection/>
    </xf>
    <xf numFmtId="175" fontId="21" fillId="0" borderId="0" xfId="30" applyNumberFormat="1" applyFont="1" applyAlignment="1">
      <alignment horizontal="center"/>
      <protection/>
    </xf>
    <xf numFmtId="175" fontId="18" fillId="0" borderId="0" xfId="30" applyNumberFormat="1" applyFont="1" applyAlignment="1">
      <alignment horizontal="center"/>
      <protection/>
    </xf>
  </cellXfs>
  <cellStyles count="34">
    <cellStyle name="Normal" xfId="0" builtinId="0"/>
    <cellStyle name="Percent" xfId="15" builtinId="5"/>
    <cellStyle name="Currency" xfId="16" builtinId="4"/>
    <cellStyle name="Currency [0]" xfId="17" builtinId="7"/>
    <cellStyle name="Comma" xfId="18" builtinId="3"/>
    <cellStyle name="Comma [0]" xfId="19" builtinId="6"/>
    <cellStyle name="Hyperlink" xfId="20" builtinId="8"/>
    <cellStyle name="Normal 3" xfId="21"/>
    <cellStyle name="Comma 6" xfId="22"/>
    <cellStyle name="Normal_1999 MONTHLY PROJECTION SCHEDULES" xfId="23"/>
    <cellStyle name="Normal_FERC2002 update 4_8_03" xfId="24"/>
    <cellStyle name="Normal_FERC2002 update 4_8_03 2" xfId="25"/>
    <cellStyle name="Comma 3 2" xfId="26"/>
    <cellStyle name="Normal 2" xfId="27"/>
    <cellStyle name="Percent 2" xfId="28"/>
    <cellStyle name="Comma 2" xfId="29"/>
    <cellStyle name="Normal 4" xfId="30"/>
    <cellStyle name="Normal 5" xfId="31"/>
    <cellStyle name="Currency 3" xfId="32"/>
    <cellStyle name="Currency 2" xfId="33"/>
    <cellStyle name="Comma 4" xfId="34"/>
    <cellStyle name="Normal 6" xfId="35"/>
    <cellStyle name="Comma 3" xfId="36"/>
    <cellStyle name="Normal 2 4" xfId="37"/>
    <cellStyle name="Comma 2 3" xfId="38"/>
    <cellStyle name="Normal 2 2" xfId="39"/>
    <cellStyle name="Percent 2 2" xfId="40"/>
    <cellStyle name="Comma 2 2" xfId="41"/>
    <cellStyle name="Normal 5 3" xfId="42"/>
    <cellStyle name="Currency 2 2" xfId="43"/>
    <cellStyle name="Normal 5 2" xfId="44"/>
    <cellStyle name="Normal 2 3" xfId="45"/>
    <cellStyle name="Normal 4 2" xfId="46"/>
    <cellStyle name="Normal 95" xfId="47"/>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36" Type="http://schemas.openxmlformats.org/officeDocument/2006/relationships/calcChain" Target="calcChain.xml" /><Relationship Id="rId34" Type="http://schemas.openxmlformats.org/officeDocument/2006/relationships/externalLink" Target="externalLinks/externalLink1.xml" /><Relationship Id="rId35" Type="http://schemas.openxmlformats.org/officeDocument/2006/relationships/externalLink" Target="externalLinks/externalLink2.xml" /><Relationship Id="rId6" Type="http://schemas.openxmlformats.org/officeDocument/2006/relationships/worksheet" Target="worksheets/sheet5.xml" /><Relationship Id="rId5" Type="http://schemas.openxmlformats.org/officeDocument/2006/relationships/worksheet" Target="worksheets/sheet4.xml" /><Relationship Id="rId31" Type="http://schemas.openxmlformats.org/officeDocument/2006/relationships/styles" Target="styles.xml" /><Relationship Id="rId4" Type="http://schemas.openxmlformats.org/officeDocument/2006/relationships/worksheet" Target="worksheets/sheet3.xml" /><Relationship Id="rId33" Type="http://schemas.openxmlformats.org/officeDocument/2006/relationships/customXml" Target="../customXml/item1.xml" /><Relationship Id="rId27" Type="http://schemas.openxmlformats.org/officeDocument/2006/relationships/worksheet" Target="worksheets/sheet26.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30" Type="http://schemas.openxmlformats.org/officeDocument/2006/relationships/worksheet" Target="worksheets/sheet29.xml" /><Relationship Id="rId21" Type="http://schemas.openxmlformats.org/officeDocument/2006/relationships/worksheet" Target="worksheets/sheet20.xml" /><Relationship Id="rId32" Type="http://schemas.openxmlformats.org/officeDocument/2006/relationships/sharedStrings" Target="sharedStrings.xml" /><Relationship Id="rId16" Type="http://schemas.openxmlformats.org/officeDocument/2006/relationships/worksheet" Target="worksheets/sheet15.xml" /><Relationship Id="rId22" Type="http://schemas.openxmlformats.org/officeDocument/2006/relationships/worksheet" Target="worksheets/sheet21.xml" /><Relationship Id="rId24" Type="http://schemas.openxmlformats.org/officeDocument/2006/relationships/worksheet" Target="worksheets/sheet23.xml" /><Relationship Id="rId14" Type="http://schemas.openxmlformats.org/officeDocument/2006/relationships/worksheet" Target="worksheets/sheet13.xml" /><Relationship Id="rId28" Type="http://schemas.openxmlformats.org/officeDocument/2006/relationships/worksheet" Target="worksheets/sheet27.xml" /><Relationship Id="rId29" Type="http://schemas.openxmlformats.org/officeDocument/2006/relationships/worksheet" Target="worksheets/sheet28.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worksheet" Target="worksheets/sheet22.xml" /><Relationship Id="rId25" Type="http://schemas.openxmlformats.org/officeDocument/2006/relationships/worksheet" Target="worksheets/sheet24.xml" /><Relationship Id="rId26" Type="http://schemas.openxmlformats.org/officeDocument/2006/relationships/worksheet" Target="worksheets/sheet25.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https://chpk.sharepoint.com/Users/bmaitre/Desktop/Copy%20of%2012.31.18%20UpdatedCFG%20Plantbook%20Backup%202017_v1.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W:\Sharp%20Cash%20Reports\2015\2015%20Allentown%20Cash%20Receipt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ummary"/>
      <sheetName val="GL Balances"/>
      <sheetName val="Sheet1"/>
      <sheetName val="averages"/>
      <sheetName val="3761-Plastic Main"/>
      <sheetName val="3762-Steel Mains"/>
      <sheetName val="376G"/>
      <sheetName val="378"/>
      <sheetName val="379"/>
      <sheetName val="3801-Plastic Services"/>
      <sheetName val="3802-Steel"/>
      <sheetName val="380G"/>
      <sheetName val="390A"/>
      <sheetName val="3810-Meters"/>
      <sheetName val="3811 Summary"/>
      <sheetName val="382-Meter Installations"/>
      <sheetName val="383"/>
      <sheetName val="387"/>
      <sheetName val="Sheet3"/>
      <sheetName val="391"/>
      <sheetName val="391A"/>
      <sheetName val="391S"/>
      <sheetName val="3912"/>
      <sheetName val="3913"/>
      <sheetName val="392Summ"/>
      <sheetName val="3921"/>
      <sheetName val="3922"/>
      <sheetName val="3923"/>
      <sheetName val="3924"/>
      <sheetName val="397"/>
      <sheetName val="397 (2)"/>
      <sheetName val="301"/>
      <sheetName val="302"/>
      <sheetName val="303"/>
      <sheetName val="305"/>
      <sheetName val="374"/>
      <sheetName val="375"/>
      <sheetName val="376"/>
      <sheetName val="3800"/>
      <sheetName val="381.20"/>
      <sheetName val="381.25"/>
      <sheetName val="381.30"/>
      <sheetName val="381.35"/>
      <sheetName val="381.36"/>
      <sheetName val="381.37"/>
      <sheetName val="381.39"/>
      <sheetName val="381.40"/>
      <sheetName val="381.41"/>
      <sheetName val="381.45"/>
      <sheetName val="381.50"/>
      <sheetName val="381.55"/>
      <sheetName val="381.60"/>
      <sheetName val="381.61"/>
      <sheetName val="381.62"/>
      <sheetName val="381.63"/>
      <sheetName val="381.64"/>
      <sheetName val="381.65"/>
      <sheetName val="381.70"/>
      <sheetName val="381.71"/>
      <sheetName val="381.80"/>
      <sheetName val="381.81"/>
      <sheetName val="381.85"/>
      <sheetName val="3821"/>
      <sheetName val="382.10"/>
      <sheetName val="382.20"/>
      <sheetName val="382.30"/>
      <sheetName val="382.40"/>
      <sheetName val="382.50"/>
      <sheetName val="384"/>
      <sheetName val="385"/>
      <sheetName val="386"/>
      <sheetName val="389"/>
      <sheetName val="389A"/>
      <sheetName val="390-S&amp;I"/>
      <sheetName val="391.1-DP"/>
      <sheetName val="391.2-OF"/>
      <sheetName val="391.3-OE"/>
      <sheetName val="391.4-VSE"/>
      <sheetName val="391.1 - old"/>
      <sheetName val="391.2 - old"/>
      <sheetName val="391.3 - old"/>
      <sheetName val="391.4 - old"/>
      <sheetName val="FGT-lateral"/>
      <sheetName val="392.10"/>
      <sheetName val="392.20"/>
      <sheetName val="392.30"/>
      <sheetName val="394"/>
      <sheetName val="395"/>
      <sheetName val="396"/>
      <sheetName val="397.1"/>
      <sheetName val="398"/>
      <sheetName val="398A"/>
      <sheetName val="390 - old"/>
      <sheetName val="Sheet2"/>
    </sheetNames>
    <sheetDataSet>
      <sheetData sheetId="0">
        <row r="41">
          <cell r="B41">
            <v>370631.26</v>
          </cell>
        </row>
      </sheetData>
      <sheetData sheetId="1">
        <row r="1">
          <cell r="H1" t="str">
            <v>Row Labels</v>
          </cell>
          <cell r="I1" t="str">
            <v>Sum of Ending Balance</v>
          </cell>
        </row>
        <row r="2">
          <cell r="H2" t="str">
            <v>3010</v>
          </cell>
          <cell r="I2">
            <v>23328.06</v>
          </cell>
        </row>
        <row r="3">
          <cell r="H3" t="str">
            <v>3020</v>
          </cell>
          <cell r="I3">
            <v>14132.29</v>
          </cell>
        </row>
        <row r="4">
          <cell r="H4" t="str">
            <v>3030</v>
          </cell>
          <cell r="I4">
            <v>0</v>
          </cell>
        </row>
        <row r="5">
          <cell r="H5" t="str">
            <v>3740</v>
          </cell>
          <cell r="I5">
            <v>212190.55</v>
          </cell>
        </row>
        <row r="6">
          <cell r="H6" t="str">
            <v>3750</v>
          </cell>
          <cell r="I6">
            <v>693612.27</v>
          </cell>
        </row>
        <row r="7">
          <cell r="H7" t="str">
            <v>3760</v>
          </cell>
          <cell r="I7">
            <v>0</v>
          </cell>
        </row>
        <row r="8">
          <cell r="H8" t="str">
            <v>3761</v>
          </cell>
          <cell r="I8">
            <v>28949494.07</v>
          </cell>
        </row>
        <row r="9">
          <cell r="H9" t="str">
            <v>3762</v>
          </cell>
          <cell r="I9">
            <v>21860293.98</v>
          </cell>
        </row>
        <row r="10">
          <cell r="H10" t="str">
            <v>376G</v>
          </cell>
          <cell r="I10">
            <v>28199967.61</v>
          </cell>
        </row>
        <row r="11">
          <cell r="H11" t="str">
            <v>3780</v>
          </cell>
          <cell r="I11">
            <v>2607972.57</v>
          </cell>
        </row>
        <row r="12">
          <cell r="H12" t="str">
            <v>3790</v>
          </cell>
          <cell r="I12">
            <v>7254374.93</v>
          </cell>
        </row>
        <row r="13">
          <cell r="H13" t="str">
            <v>3800</v>
          </cell>
          <cell r="I13">
            <v>5.0931703299284E-10</v>
          </cell>
        </row>
        <row r="14">
          <cell r="H14" t="str">
            <v>3801</v>
          </cell>
          <cell r="I14">
            <v>13136162.11</v>
          </cell>
        </row>
        <row r="15">
          <cell r="H15" t="str">
            <v>3802</v>
          </cell>
          <cell r="I15">
            <v>0.00999999980649591</v>
          </cell>
        </row>
        <row r="16">
          <cell r="H16" t="str">
            <v>380G</v>
          </cell>
          <cell r="I16">
            <v>2728921.6</v>
          </cell>
        </row>
        <row r="17">
          <cell r="H17" t="str">
            <v>3810</v>
          </cell>
          <cell r="I17">
            <v>4279300.68</v>
          </cell>
        </row>
        <row r="18">
          <cell r="H18" t="str">
            <v>3811</v>
          </cell>
          <cell r="I18">
            <v>2216410.76</v>
          </cell>
        </row>
        <row r="19">
          <cell r="H19" t="str">
            <v>3820</v>
          </cell>
          <cell r="I19">
            <v>4384819.27</v>
          </cell>
        </row>
        <row r="20">
          <cell r="H20" t="str">
            <v>3821</v>
          </cell>
          <cell r="I20">
            <v>593040.09</v>
          </cell>
        </row>
        <row r="21">
          <cell r="H21" t="str">
            <v>3830</v>
          </cell>
          <cell r="I21">
            <v>1659312.42</v>
          </cell>
        </row>
        <row r="22">
          <cell r="H22" t="str">
            <v>3840</v>
          </cell>
          <cell r="I22">
            <v>0</v>
          </cell>
        </row>
        <row r="23">
          <cell r="H23" t="str">
            <v>3850</v>
          </cell>
          <cell r="I23">
            <v>1693687.28</v>
          </cell>
        </row>
        <row r="24">
          <cell r="H24" t="str">
            <v>3870</v>
          </cell>
          <cell r="I24">
            <v>1081710.86</v>
          </cell>
        </row>
        <row r="25">
          <cell r="H25" t="str">
            <v>3890</v>
          </cell>
          <cell r="I25">
            <v>0</v>
          </cell>
        </row>
        <row r="26">
          <cell r="H26" t="str">
            <v>389A</v>
          </cell>
          <cell r="I26">
            <v>16463.04</v>
          </cell>
        </row>
        <row r="27">
          <cell r="H27" t="str">
            <v>3900</v>
          </cell>
          <cell r="I27">
            <v>68679.0599999999</v>
          </cell>
        </row>
        <row r="28">
          <cell r="H28" t="str">
            <v>390A</v>
          </cell>
          <cell r="I28">
            <v>52132.36</v>
          </cell>
        </row>
        <row r="29">
          <cell r="H29" t="str">
            <v>3910</v>
          </cell>
          <cell r="I29">
            <v>321446.489999999</v>
          </cell>
        </row>
        <row r="30">
          <cell r="H30" t="str">
            <v>3912</v>
          </cell>
          <cell r="I30">
            <v>307076.75</v>
          </cell>
        </row>
        <row r="31">
          <cell r="H31" t="str">
            <v>3913</v>
          </cell>
          <cell r="I31">
            <v>424761.89</v>
          </cell>
        </row>
        <row r="32">
          <cell r="H32" t="str">
            <v>3914</v>
          </cell>
          <cell r="I32">
            <v>385907.32</v>
          </cell>
        </row>
        <row r="33">
          <cell r="H33" t="str">
            <v>391A</v>
          </cell>
          <cell r="I33">
            <v>-9.09494701772928E-13</v>
          </cell>
        </row>
        <row r="34">
          <cell r="H34" t="str">
            <v>391S</v>
          </cell>
          <cell r="I34">
            <v>175105.77</v>
          </cell>
        </row>
        <row r="35">
          <cell r="H35" t="str">
            <v>3920</v>
          </cell>
          <cell r="I35">
            <v>4.93315610583522E-10</v>
          </cell>
        </row>
        <row r="36">
          <cell r="H36" t="str">
            <v>3921</v>
          </cell>
          <cell r="I36">
            <v>19778.85</v>
          </cell>
        </row>
        <row r="37">
          <cell r="H37" t="str">
            <v>3922</v>
          </cell>
          <cell r="I37">
            <v>786367.89</v>
          </cell>
        </row>
        <row r="38">
          <cell r="H38" t="str">
            <v>3923</v>
          </cell>
          <cell r="I38">
            <v>0</v>
          </cell>
        </row>
        <row r="39">
          <cell r="H39" t="str">
            <v>3924</v>
          </cell>
          <cell r="I39">
            <v>14757.53</v>
          </cell>
        </row>
        <row r="40">
          <cell r="H40" t="str">
            <v>3940</v>
          </cell>
          <cell r="I40">
            <v>370631.26</v>
          </cell>
        </row>
        <row r="41">
          <cell r="H41" t="str">
            <v>3960</v>
          </cell>
          <cell r="I41">
            <v>492255.06</v>
          </cell>
        </row>
        <row r="42">
          <cell r="H42" t="str">
            <v>3970</v>
          </cell>
          <cell r="I42">
            <v>1171906.19</v>
          </cell>
        </row>
        <row r="43">
          <cell r="H43" t="str">
            <v>3971</v>
          </cell>
          <cell r="I43">
            <v>20124.7400000001</v>
          </cell>
        </row>
        <row r="44">
          <cell r="H44" t="str">
            <v>3980</v>
          </cell>
          <cell r="I44">
            <v>67711.89</v>
          </cell>
        </row>
        <row r="45">
          <cell r="H45" t="str">
            <v>398A</v>
          </cell>
          <cell r="I45">
            <v>19074.7</v>
          </cell>
        </row>
        <row r="46">
          <cell r="H46" t="str">
            <v>Grand Total</v>
          </cell>
          <cell r="I46">
            <v>126302912.2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74">
          <cell r="T274" t="str">
            <v>GL Balance as of 12/31/18</v>
          </cell>
        </row>
      </sheetData>
      <sheetData sheetId="25"/>
      <sheetData sheetId="26"/>
      <sheetData sheetId="27"/>
      <sheetData sheetId="28"/>
      <sheetData sheetId="29"/>
      <sheetData sheetId="30"/>
      <sheetData sheetId="31">
        <row r="3">
          <cell r="A3" t="str">
            <v>GL Balance as of 12/31/18</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3">
          <cell r="A3" t="str">
            <v>GL Balance as of 12/31/18</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3">
          <cell r="A3" t="str">
            <v>GL Balance as of 12/31/18</v>
          </cell>
        </row>
      </sheetData>
      <sheetData sheetId="89">
        <row r="53">
          <cell r="E53" t="str">
            <v>GL Balance as of 12/31/18</v>
          </cell>
        </row>
      </sheetData>
      <sheetData sheetId="90"/>
      <sheetData sheetId="91"/>
      <sheetData sheetId="92"/>
      <sheetData sheetId="9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January"/>
      <sheetName val="February"/>
      <sheetName val="March"/>
      <sheetName val="April"/>
      <sheetName val="May"/>
      <sheetName val="June"/>
      <sheetName val="July"/>
      <sheetName val="August"/>
      <sheetName val="September"/>
      <sheetName val="October"/>
      <sheetName val="November"/>
      <sheetName val="December"/>
      <sheetName val="Daily Print File Jan - Jun"/>
      <sheetName val="Daily Print File Jul - Dec"/>
      <sheetName val="WEEKD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v>1</v>
          </cell>
          <cell r="B1" t="str">
            <v>Sun</v>
          </cell>
        </row>
        <row r="2">
          <cell r="A2">
            <v>2</v>
          </cell>
          <cell r="B2" t="str">
            <v>Mon</v>
          </cell>
        </row>
        <row r="3">
          <cell r="A3">
            <v>3</v>
          </cell>
          <cell r="B3" t="str">
            <v>Tues</v>
          </cell>
        </row>
        <row r="4">
          <cell r="A4">
            <v>4</v>
          </cell>
          <cell r="B4" t="str">
            <v>Wed</v>
          </cell>
        </row>
        <row r="5">
          <cell r="A5">
            <v>5</v>
          </cell>
          <cell r="B5" t="str">
            <v>Thurs</v>
          </cell>
        </row>
        <row r="6">
          <cell r="A6">
            <v>6</v>
          </cell>
          <cell r="B6" t="str">
            <v>Fri</v>
          </cell>
        </row>
        <row r="7">
          <cell r="A7">
            <v>7</v>
          </cell>
          <cell r="B7" t="str">
            <v>Sat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 standalone="yes"?><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 standalone="yes"?><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1"/>
  <sheetViews>
    <sheetView workbookViewId="0" topLeftCell="A1">
      <selection pane="topLeft" activeCell="C14" sqref="C14"/>
    </sheetView>
  </sheetViews>
  <sheetFormatPr defaultColWidth="8.71428571428571" defaultRowHeight="15"/>
  <cols>
    <col min="1" max="1" width="16.5714285714286" style="7" customWidth="1"/>
    <col min="2" max="2" width="60.4285714285714" style="13" bestFit="1" customWidth="1"/>
    <col min="3" max="3" width="12.4285714285714" style="1" bestFit="1" customWidth="1"/>
    <col min="4" max="16384" width="8.71428571428571" style="7"/>
  </cols>
  <sheetData>
    <row r="1" spans="1:3" s="1" customFormat="1" ht="15">
      <c r="A1" s="852" t="s">
        <v>0</v>
      </c>
      <c r="B1" s="852"/>
      <c r="C1" s="1">
        <v>2018</v>
      </c>
    </row>
    <row r="2" spans="1:2" s="1" customFormat="1" ht="15">
      <c r="A2" s="2"/>
      <c r="B2" s="3"/>
    </row>
    <row r="3" spans="1:3" s="1" customFormat="1" ht="45">
      <c r="A3" s="4" t="s">
        <v>1</v>
      </c>
      <c r="B3" s="5" t="str">
        <f>CONCATENATE(B4,", ",Input!$B$5,", ",Input!$B$6,", ",Input!$B$7,", ",Input!$B$8)</f>
        <v>FPUC, FPUC - Common, FPUC - Indiantown, Florida Division of Chesapeake Utilities Corporation, FPUC - Ft Meade</v>
      </c>
      <c r="C3" s="5"/>
    </row>
    <row r="4" spans="1:3" ht="15">
      <c r="A4" s="1" t="s">
        <v>2</v>
      </c>
      <c r="B4" s="5" t="s">
        <v>3</v>
      </c>
      <c r="C4" s="6" t="s">
        <v>3</v>
      </c>
    </row>
    <row r="5" spans="2:3" ht="15">
      <c r="B5" s="5" t="s">
        <v>4</v>
      </c>
      <c r="C5" s="6" t="s">
        <v>5</v>
      </c>
    </row>
    <row r="6" spans="2:3" ht="15">
      <c r="B6" s="5" t="s">
        <v>6</v>
      </c>
      <c r="C6" s="6" t="s">
        <v>7</v>
      </c>
    </row>
    <row r="7" spans="2:3" ht="15">
      <c r="B7" s="5" t="s">
        <v>8</v>
      </c>
      <c r="C7" s="6" t="s">
        <v>9</v>
      </c>
    </row>
    <row r="8" spans="2:3" ht="15">
      <c r="B8" s="5" t="s">
        <v>10</v>
      </c>
      <c r="C8" s="6" t="s">
        <v>11</v>
      </c>
    </row>
    <row r="9" spans="2:3" ht="15">
      <c r="B9" s="5"/>
      <c r="C9" s="6"/>
    </row>
    <row r="10" spans="1:3" ht="15">
      <c r="A10" s="1"/>
      <c r="B10" s="8" t="s">
        <v>12</v>
      </c>
      <c r="C10" s="9">
        <v>44561</v>
      </c>
    </row>
    <row r="11" spans="1:11" ht="15">
      <c r="A11" s="1"/>
      <c r="B11" s="8" t="s">
        <v>13</v>
      </c>
      <c r="C11" s="10">
        <v>12</v>
      </c>
      <c r="D11" s="11"/>
      <c r="E11" s="11"/>
      <c r="F11" s="11"/>
      <c r="G11" s="11"/>
      <c r="H11" s="11"/>
      <c r="I11" s="11"/>
      <c r="J11" s="11"/>
      <c r="K11" s="11"/>
    </row>
    <row r="13" spans="1:3" ht="15">
      <c r="A13" s="12"/>
      <c r="B13" s="8" t="s">
        <v>14</v>
      </c>
      <c r="C13" s="315">
        <v>2021</v>
      </c>
    </row>
    <row r="14" spans="2:3" ht="15">
      <c r="B14" s="8" t="s">
        <v>15</v>
      </c>
      <c r="C14" s="315">
        <v>2022</v>
      </c>
    </row>
    <row r="20" spans="2:2" ht="15">
      <c r="B20" s="5"/>
    </row>
    <row r="21" spans="2:2" ht="15">
      <c r="B21" s="5"/>
    </row>
    <row r="22" spans="2:2" ht="15">
      <c r="B22" s="5"/>
    </row>
    <row r="23" spans="2:2" ht="15">
      <c r="B23" s="7"/>
    </row>
    <row r="24" spans="2:2" ht="15">
      <c r="B24" s="7"/>
    </row>
    <row r="25" spans="2:2" ht="15">
      <c r="B25" s="7"/>
    </row>
    <row r="26" spans="2:2" ht="15">
      <c r="B26" s="7"/>
    </row>
    <row r="27" spans="1:2" ht="15">
      <c r="A27" s="14"/>
      <c r="B27" s="7"/>
    </row>
    <row r="28" spans="1:2" ht="15">
      <c r="A28"/>
      <c r="B28" s="7"/>
    </row>
    <row r="29" spans="1:2" ht="15">
      <c r="A29" s="15"/>
      <c r="B29" s="7"/>
    </row>
    <row r="30" spans="1:2" ht="24">
      <c r="A30" s="16" t="s">
        <v>16</v>
      </c>
      <c r="B30" s="7"/>
    </row>
    <row r="31" spans="1:2" ht="15">
      <c r="A31" s="17"/>
      <c r="B31" s="7"/>
    </row>
    <row r="32" spans="1:2" ht="72">
      <c r="A32" s="18" t="s">
        <v>17</v>
      </c>
      <c r="B32" s="7"/>
    </row>
    <row r="33" spans="2:2" ht="15">
      <c r="B33" s="7"/>
    </row>
    <row r="34" spans="2:2" ht="15">
      <c r="B34" s="7"/>
    </row>
    <row r="35" spans="2:2" ht="15">
      <c r="B35" s="7"/>
    </row>
    <row r="36" spans="2:2" ht="15">
      <c r="B36" s="7"/>
    </row>
    <row r="37" spans="2:2" ht="15">
      <c r="B37" s="7"/>
    </row>
    <row r="38" spans="2:2" ht="15">
      <c r="B38" s="7"/>
    </row>
    <row r="41" spans="2:2" ht="15">
      <c r="B41" s="13" t="s">
        <v>18</v>
      </c>
    </row>
  </sheetData>
  <mergeCells count="1">
    <mergeCell ref="A1:B1"/>
  </mergeCells>
  <pageMargins left="0.5" right="0.5" top="1.25" bottom="0.5" header="0.5" footer="0.2"/>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U89"/>
  <sheetViews>
    <sheetView zoomScale="64" zoomScaleNormal="64" workbookViewId="0" topLeftCell="A1">
      <pane xSplit="2" ySplit="5" topLeftCell="C62" activePane="bottomRight" state="frozen"/>
      <selection pane="topLeft" activeCell="AP10" sqref="AP10"/>
      <selection pane="bottomLeft" activeCell="AP10" sqref="AP10"/>
      <selection pane="topRight" activeCell="AP10" sqref="AP10"/>
      <selection pane="bottomRight" activeCell="A1" sqref="A1:XFD1048576"/>
    </sheetView>
  </sheetViews>
  <sheetFormatPr defaultColWidth="8.71428571428571" defaultRowHeight="14.25"/>
  <cols>
    <col min="1" max="1" width="6.85714285714286" style="7" bestFit="1" customWidth="1"/>
    <col min="2" max="2" width="5.71428571428571" style="7" bestFit="1" customWidth="1"/>
    <col min="3" max="3" width="5.71428571428571" style="7" hidden="1" customWidth="1"/>
    <col min="4" max="4" width="9.85714285714286" style="7" hidden="1" customWidth="1"/>
    <col min="5" max="5" width="9.42857142857143" style="7" bestFit="1" customWidth="1"/>
    <col min="6" max="6" width="12.1428571428571" style="7" bestFit="1" customWidth="1"/>
    <col min="7" max="7" width="8.42857142857143" style="7" bestFit="1" customWidth="1"/>
    <col min="8" max="8" width="11" style="7" bestFit="1" customWidth="1"/>
    <col min="9" max="9" width="9.42857142857143" style="7" bestFit="1" customWidth="1"/>
    <col min="10" max="10" width="11" style="7" bestFit="1" customWidth="1"/>
    <col min="11" max="11" width="6.28571428571429" style="7" hidden="1" customWidth="1"/>
    <col min="12" max="12" width="9.85714285714286" style="7" hidden="1" customWidth="1"/>
    <col min="13" max="13" width="4.57142857142857" style="7" hidden="1" customWidth="1"/>
    <col min="14" max="14" width="9.85714285714286" style="7" hidden="1" customWidth="1"/>
    <col min="15" max="15" width="4.57142857142857" style="7" hidden="1" customWidth="1"/>
    <col min="16" max="16" width="9.85714285714286" style="7" hidden="1" customWidth="1"/>
    <col min="17" max="17" width="9.42857142857143" style="7" bestFit="1" customWidth="1"/>
    <col min="18" max="18" width="12.1428571428571" style="7" bestFit="1" customWidth="1"/>
    <col min="19" max="19" width="8.42857142857143" style="7" bestFit="1" customWidth="1"/>
    <col min="20" max="20" width="11" style="7" bestFit="1" customWidth="1"/>
    <col min="21" max="21" width="6.28571428571429" style="7" hidden="1" customWidth="1"/>
    <col min="22" max="22" width="9.85714285714286" style="7" hidden="1" customWidth="1"/>
    <col min="23" max="23" width="9.42857142857143" style="7" bestFit="1" customWidth="1"/>
    <col min="24" max="24" width="11" style="7" bestFit="1" customWidth="1"/>
    <col min="25" max="25" width="5.71428571428571" style="7" hidden="1" customWidth="1"/>
    <col min="26" max="26" width="9.85714285714286" style="7" hidden="1" customWidth="1"/>
    <col min="27" max="27" width="4.57142857142857" style="7" hidden="1" customWidth="1"/>
    <col min="28" max="28" width="9.85714285714286" style="7" hidden="1" customWidth="1"/>
    <col min="29" max="29" width="5.71428571428571" style="7" hidden="1" customWidth="1"/>
    <col min="30" max="30" width="9.85714285714286" style="7" hidden="1" customWidth="1"/>
    <col min="31" max="31" width="8.42857142857143" style="7" bestFit="1" customWidth="1"/>
    <col min="32" max="32" width="9.85714285714286" style="7" bestFit="1" customWidth="1"/>
    <col min="33" max="33" width="4.57142857142857" style="7" hidden="1" customWidth="1"/>
    <col min="34" max="34" width="9.85714285714286" style="7" hidden="1" customWidth="1"/>
    <col min="35" max="35" width="4.57142857142857" style="7" hidden="1" customWidth="1"/>
    <col min="36" max="36" width="9.85714285714286" style="7" hidden="1" customWidth="1"/>
    <col min="37" max="37" width="8.42857142857143" style="7" bestFit="1" customWidth="1"/>
    <col min="38" max="38" width="11" style="7" bestFit="1" customWidth="1"/>
    <col min="39" max="39" width="9.42857142857143" style="7" bestFit="1" customWidth="1"/>
    <col min="40" max="40" width="11" style="7" bestFit="1" customWidth="1"/>
    <col min="41" max="41" width="8.42857142857143" style="7" bestFit="1" customWidth="1"/>
    <col min="42" max="42" width="9.85714285714286" style="7" bestFit="1" customWidth="1"/>
    <col min="43" max="43" width="9.42857142857143" style="7" bestFit="1" customWidth="1"/>
    <col min="44" max="44" width="12.1428571428571" style="7" bestFit="1" customWidth="1"/>
    <col min="45" max="45" width="8.42857142857143" style="7" bestFit="1" customWidth="1"/>
    <col min="46" max="47" width="11" style="7" bestFit="1" customWidth="1"/>
    <col min="48" max="48" width="12.1428571428571" style="7" bestFit="1" customWidth="1"/>
    <col min="49" max="49" width="5.71428571428571" style="7" hidden="1" customWidth="1"/>
    <col min="50" max="50" width="9.85714285714286" style="7" hidden="1" customWidth="1"/>
    <col min="51" max="51" width="9.42857142857143" style="7" customWidth="1"/>
    <col min="52" max="52" width="11" style="7" bestFit="1" customWidth="1"/>
    <col min="53" max="53" width="5.71428571428571" style="7" hidden="1" customWidth="1"/>
    <col min="54" max="54" width="9.85714285714286" style="7" hidden="1" customWidth="1"/>
    <col min="55" max="55" width="5.71428571428571" style="7" hidden="1" customWidth="1"/>
    <col min="56" max="56" width="9.85714285714286" style="7" hidden="1" customWidth="1"/>
    <col min="57" max="57" width="5.71428571428571" style="7" hidden="1" customWidth="1"/>
    <col min="58" max="58" width="9.85714285714286" style="7" hidden="1" customWidth="1"/>
    <col min="59" max="59" width="8.42857142857143" style="7" bestFit="1" customWidth="1"/>
    <col min="60" max="60" width="11" style="7" bestFit="1" customWidth="1"/>
    <col min="61" max="61" width="5.71428571428571" style="7" hidden="1" customWidth="1"/>
    <col min="62" max="62" width="9.85714285714286" style="7" hidden="1" customWidth="1"/>
    <col min="63" max="63" width="8.42857142857143" style="7" bestFit="1" customWidth="1"/>
    <col min="64" max="64" width="9.85714285714286" style="7" bestFit="1" customWidth="1"/>
    <col min="65" max="65" width="9.42857142857143" style="7" bestFit="1" customWidth="1"/>
    <col min="66" max="66" width="11" style="7" bestFit="1" customWidth="1"/>
    <col min="67" max="67" width="8.42857142857143" style="7" bestFit="1" customWidth="1"/>
    <col min="68" max="68" width="9.85714285714286" style="7" bestFit="1" customWidth="1"/>
    <col min="69" max="69" width="8.42857142857143" style="7" customWidth="1"/>
    <col min="70" max="70" width="9.85714285714286" style="7" bestFit="1" customWidth="1"/>
    <col min="71" max="71" width="2.85714285714286" style="7" customWidth="1"/>
    <col min="72" max="72" width="11" style="7" bestFit="1" customWidth="1"/>
    <col min="73" max="73" width="13.1428571428571" style="7" bestFit="1" customWidth="1"/>
    <col min="74" max="16384" width="8.71428571428571" style="7"/>
  </cols>
  <sheetData>
    <row r="1" spans="5:73" s="520" customFormat="1" ht="18">
      <c r="E1" s="912" t="s">
        <v>56</v>
      </c>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523"/>
      <c r="AH1" s="523"/>
      <c r="AI1" s="523"/>
      <c r="AJ1" s="523"/>
      <c r="AK1" s="912" t="str">
        <f>E1</f>
        <v>FLORIDA PUBLIC UTILITIES - CONSOLIDATED NATURAL GAS</v>
      </c>
      <c r="AL1" s="912"/>
      <c r="AM1" s="912"/>
      <c r="AN1" s="912"/>
      <c r="AO1" s="912"/>
      <c r="AP1" s="912"/>
      <c r="AQ1" s="912"/>
      <c r="AR1" s="912"/>
      <c r="AS1" s="912"/>
      <c r="AT1" s="912"/>
      <c r="AU1" s="912"/>
      <c r="AV1" s="912"/>
      <c r="AW1" s="912"/>
      <c r="AX1" s="912"/>
      <c r="AY1" s="912"/>
      <c r="AZ1" s="912"/>
      <c r="BA1" s="523"/>
      <c r="BB1" s="523"/>
      <c r="BC1" s="523"/>
      <c r="BD1" s="523"/>
      <c r="BE1" s="523"/>
      <c r="BF1" s="523"/>
      <c r="BG1" s="912" t="str">
        <f>AK1</f>
        <v>FLORIDA PUBLIC UTILITIES - CONSOLIDATED NATURAL GAS</v>
      </c>
      <c r="BH1" s="912"/>
      <c r="BI1" s="912"/>
      <c r="BJ1" s="912"/>
      <c r="BK1" s="912"/>
      <c r="BL1" s="912"/>
      <c r="BM1" s="912"/>
      <c r="BN1" s="912"/>
      <c r="BO1" s="912"/>
      <c r="BP1" s="912"/>
      <c r="BQ1" s="912"/>
      <c r="BR1" s="912"/>
      <c r="BS1" s="912"/>
      <c r="BT1" s="912"/>
      <c r="BU1" s="912"/>
    </row>
    <row r="2" spans="5:73" s="379" customFormat="1" ht="14.45" customHeight="1">
      <c r="E2" s="913" t="s">
        <v>649</v>
      </c>
      <c r="F2" s="913"/>
      <c r="G2" s="913"/>
      <c r="H2" s="913"/>
      <c r="I2" s="913"/>
      <c r="J2" s="913"/>
      <c r="K2" s="913"/>
      <c r="L2" s="913"/>
      <c r="M2" s="913"/>
      <c r="N2" s="913"/>
      <c r="O2" s="913"/>
      <c r="P2" s="913"/>
      <c r="Q2" s="913"/>
      <c r="R2" s="913"/>
      <c r="S2" s="913"/>
      <c r="T2" s="913"/>
      <c r="U2" s="913"/>
      <c r="V2" s="913"/>
      <c r="W2" s="913"/>
      <c r="X2" s="913"/>
      <c r="Y2" s="913"/>
      <c r="Z2" s="913"/>
      <c r="AA2" s="913"/>
      <c r="AB2" s="913"/>
      <c r="AC2" s="913"/>
      <c r="AD2" s="913"/>
      <c r="AE2" s="913"/>
      <c r="AF2" s="913"/>
      <c r="AG2" s="524"/>
      <c r="AH2" s="524"/>
      <c r="AI2" s="524"/>
      <c r="AJ2" s="524"/>
      <c r="AK2" s="913" t="str">
        <f>E2</f>
        <v xml:space="preserve">FPUC, FPUC - Common, FPUC - Indiantown, Florida Division of Chesapeake Utilities Corporation, FPUC - Ft Meade      </v>
      </c>
      <c r="AL2" s="913"/>
      <c r="AM2" s="913"/>
      <c r="AN2" s="913"/>
      <c r="AO2" s="913"/>
      <c r="AP2" s="913"/>
      <c r="AQ2" s="913"/>
      <c r="AR2" s="913"/>
      <c r="AS2" s="913"/>
      <c r="AT2" s="913"/>
      <c r="AU2" s="913"/>
      <c r="AV2" s="913"/>
      <c r="AW2" s="913"/>
      <c r="AX2" s="913"/>
      <c r="AY2" s="913"/>
      <c r="AZ2" s="913"/>
      <c r="BA2" s="524"/>
      <c r="BB2" s="524"/>
      <c r="BC2" s="524"/>
      <c r="BD2" s="524"/>
      <c r="BE2" s="524"/>
      <c r="BF2" s="524"/>
      <c r="BG2" s="913" t="str">
        <f>AK2</f>
        <v xml:space="preserve">FPUC, FPUC - Common, FPUC - Indiantown, Florida Division of Chesapeake Utilities Corporation, FPUC - Ft Meade      </v>
      </c>
      <c r="BH2" s="913"/>
      <c r="BI2" s="913"/>
      <c r="BJ2" s="913"/>
      <c r="BK2" s="913"/>
      <c r="BL2" s="913"/>
      <c r="BM2" s="913"/>
      <c r="BN2" s="913"/>
      <c r="BO2" s="913"/>
      <c r="BP2" s="913"/>
      <c r="BQ2" s="913"/>
      <c r="BR2" s="913"/>
      <c r="BS2" s="913"/>
      <c r="BT2" s="913"/>
      <c r="BU2" s="913"/>
    </row>
    <row r="3" spans="5:73" s="521" customFormat="1" ht="15.75">
      <c r="E3" s="911" t="s">
        <v>652</v>
      </c>
      <c r="F3" s="911"/>
      <c r="G3" s="911"/>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525"/>
      <c r="AH3" s="525"/>
      <c r="AI3" s="525"/>
      <c r="AJ3" s="525"/>
      <c r="AK3" s="911" t="str">
        <f>E3</f>
        <v>ACTUAL 2020 RETIREMENTS</v>
      </c>
      <c r="AL3" s="911"/>
      <c r="AM3" s="911"/>
      <c r="AN3" s="911"/>
      <c r="AO3" s="911"/>
      <c r="AP3" s="911"/>
      <c r="AQ3" s="911"/>
      <c r="AR3" s="911"/>
      <c r="AS3" s="911"/>
      <c r="AT3" s="911"/>
      <c r="AU3" s="911"/>
      <c r="AV3" s="911"/>
      <c r="AW3" s="911"/>
      <c r="AX3" s="911"/>
      <c r="AY3" s="911"/>
      <c r="AZ3" s="911"/>
      <c r="BA3" s="525"/>
      <c r="BB3" s="525"/>
      <c r="BC3" s="525"/>
      <c r="BD3" s="525"/>
      <c r="BE3" s="525"/>
      <c r="BF3" s="525"/>
      <c r="BG3" s="911" t="str">
        <f>AK3</f>
        <v>ACTUAL 2020 RETIREMENTS</v>
      </c>
      <c r="BH3" s="911"/>
      <c r="BI3" s="911"/>
      <c r="BJ3" s="911"/>
      <c r="BK3" s="911"/>
      <c r="BL3" s="911"/>
      <c r="BM3" s="911"/>
      <c r="BN3" s="911"/>
      <c r="BO3" s="911"/>
      <c r="BP3" s="911"/>
      <c r="BQ3" s="911"/>
      <c r="BR3" s="911"/>
      <c r="BS3" s="911"/>
      <c r="BT3" s="911"/>
      <c r="BU3" s="911"/>
    </row>
    <row r="5" spans="1:73" ht="15.75">
      <c r="A5" s="247" t="s">
        <v>169</v>
      </c>
      <c r="B5" s="246" t="s">
        <v>72</v>
      </c>
      <c r="C5" s="243">
        <v>3741</v>
      </c>
      <c r="D5" s="242" t="s">
        <v>170</v>
      </c>
      <c r="E5" s="243">
        <v>375</v>
      </c>
      <c r="F5" s="242" t="s">
        <v>170</v>
      </c>
      <c r="G5" s="243">
        <v>3761</v>
      </c>
      <c r="H5" s="242" t="s">
        <v>170</v>
      </c>
      <c r="I5" s="243">
        <v>3762</v>
      </c>
      <c r="J5" s="242" t="s">
        <v>170</v>
      </c>
      <c r="K5" s="243" t="s">
        <v>87</v>
      </c>
      <c r="L5" s="242" t="s">
        <v>170</v>
      </c>
      <c r="M5" s="243">
        <v>378</v>
      </c>
      <c r="N5" s="242" t="s">
        <v>170</v>
      </c>
      <c r="O5" s="243">
        <v>379</v>
      </c>
      <c r="P5" s="242" t="s">
        <v>170</v>
      </c>
      <c r="Q5" s="243">
        <v>3801</v>
      </c>
      <c r="R5" s="242" t="s">
        <v>170</v>
      </c>
      <c r="S5" s="243">
        <v>3802</v>
      </c>
      <c r="T5" s="242" t="s">
        <v>170</v>
      </c>
      <c r="U5" s="243" t="s">
        <v>95</v>
      </c>
      <c r="V5" s="242" t="s">
        <v>170</v>
      </c>
      <c r="W5" s="245">
        <v>381</v>
      </c>
      <c r="X5" s="242" t="s">
        <v>170</v>
      </c>
      <c r="Y5" s="245">
        <v>3811</v>
      </c>
      <c r="Z5" s="242" t="s">
        <v>170</v>
      </c>
      <c r="AA5" s="243">
        <v>382</v>
      </c>
      <c r="AB5" s="242" t="s">
        <v>170</v>
      </c>
      <c r="AC5" s="243">
        <v>3821</v>
      </c>
      <c r="AD5" s="242" t="s">
        <v>170</v>
      </c>
      <c r="AE5" s="243">
        <v>383</v>
      </c>
      <c r="AF5" s="242" t="s">
        <v>170</v>
      </c>
      <c r="AG5" s="243">
        <v>384</v>
      </c>
      <c r="AH5" s="242" t="s">
        <v>170</v>
      </c>
      <c r="AI5" s="243">
        <v>385</v>
      </c>
      <c r="AJ5" s="242" t="s">
        <v>170</v>
      </c>
      <c r="AK5" s="243">
        <v>387</v>
      </c>
      <c r="AL5" s="242" t="s">
        <v>170</v>
      </c>
      <c r="AM5" s="243">
        <v>390</v>
      </c>
      <c r="AN5" s="242" t="s">
        <v>170</v>
      </c>
      <c r="AO5" s="243">
        <v>3910</v>
      </c>
      <c r="AP5" s="242" t="s">
        <v>170</v>
      </c>
      <c r="AQ5" s="243">
        <v>3912</v>
      </c>
      <c r="AR5" s="242" t="s">
        <v>170</v>
      </c>
      <c r="AS5" s="243">
        <v>3913</v>
      </c>
      <c r="AT5" s="242" t="s">
        <v>170</v>
      </c>
      <c r="AU5" s="243">
        <v>3914</v>
      </c>
      <c r="AV5" s="242" t="s">
        <v>170</v>
      </c>
      <c r="AW5" s="243">
        <v>3921</v>
      </c>
      <c r="AX5" s="242" t="s">
        <v>170</v>
      </c>
      <c r="AY5" s="243">
        <v>3922</v>
      </c>
      <c r="AZ5" s="242" t="s">
        <v>170</v>
      </c>
      <c r="BA5" s="243">
        <v>3923</v>
      </c>
      <c r="BB5" s="242" t="s">
        <v>170</v>
      </c>
      <c r="BC5" s="243">
        <v>3924</v>
      </c>
      <c r="BD5" s="242" t="s">
        <v>170</v>
      </c>
      <c r="BE5" s="243">
        <v>3930</v>
      </c>
      <c r="BF5" s="242" t="s">
        <v>170</v>
      </c>
      <c r="BG5" s="243">
        <v>3940</v>
      </c>
      <c r="BH5" s="242" t="s">
        <v>170</v>
      </c>
      <c r="BI5" s="243">
        <v>3950</v>
      </c>
      <c r="BJ5" s="242" t="s">
        <v>170</v>
      </c>
      <c r="BK5" s="243">
        <v>3960</v>
      </c>
      <c r="BL5" s="242" t="s">
        <v>170</v>
      </c>
      <c r="BM5" s="243">
        <v>3970</v>
      </c>
      <c r="BN5" s="242" t="s">
        <v>170</v>
      </c>
      <c r="BO5" s="243">
        <v>398</v>
      </c>
      <c r="BP5" s="242" t="s">
        <v>170</v>
      </c>
      <c r="BQ5" s="243">
        <v>399</v>
      </c>
      <c r="BR5" s="242" t="s">
        <v>170</v>
      </c>
      <c r="BS5" s="244"/>
      <c r="BT5" s="243" t="s">
        <v>171</v>
      </c>
      <c r="BU5" s="242" t="s">
        <v>170</v>
      </c>
    </row>
    <row r="6" spans="1:73" ht="14.25">
      <c r="A6" s="241">
        <v>1940</v>
      </c>
      <c r="B6" s="240">
        <f t="shared" si="0" ref="B6:B37">$A$86-A6+0.5</f>
        <v>80.5</v>
      </c>
      <c r="C6" s="193">
        <v>0</v>
      </c>
      <c r="D6" s="238">
        <f>+C6*$B6</f>
        <v>0</v>
      </c>
      <c r="E6" s="193">
        <v>0</v>
      </c>
      <c r="F6" s="238">
        <f>+E6*$B6</f>
        <v>0</v>
      </c>
      <c r="G6" s="193">
        <v>0</v>
      </c>
      <c r="H6" s="238">
        <f>+G6*$B6</f>
        <v>0</v>
      </c>
      <c r="I6" s="193">
        <v>17941.41</v>
      </c>
      <c r="J6" s="238">
        <f>+I6*$B6</f>
        <v>1444283.5049999999</v>
      </c>
      <c r="K6" s="193">
        <v>0</v>
      </c>
      <c r="L6" s="238">
        <f>+K6*$B6</f>
        <v>0</v>
      </c>
      <c r="M6" s="193">
        <v>0</v>
      </c>
      <c r="N6" s="238">
        <f>+M6*$B6</f>
        <v>0</v>
      </c>
      <c r="O6" s="193">
        <v>0</v>
      </c>
      <c r="P6" s="238">
        <f>+O6*$B6</f>
        <v>0</v>
      </c>
      <c r="Q6" s="193">
        <v>0</v>
      </c>
      <c r="R6" s="238">
        <f>+Q6*$B6</f>
        <v>0</v>
      </c>
      <c r="S6" s="193">
        <v>269.38</v>
      </c>
      <c r="T6" s="238">
        <f>+S6*$B6</f>
        <v>21685.09</v>
      </c>
      <c r="U6" s="193">
        <v>0</v>
      </c>
      <c r="V6" s="238">
        <f>+U6*$B6</f>
        <v>0</v>
      </c>
      <c r="W6" s="193">
        <v>0</v>
      </c>
      <c r="X6" s="238">
        <f>+W6*$B6</f>
        <v>0</v>
      </c>
      <c r="Y6" s="193">
        <v>0</v>
      </c>
      <c r="Z6" s="238">
        <f>+Y6*$B6</f>
        <v>0</v>
      </c>
      <c r="AA6" s="193">
        <v>0</v>
      </c>
      <c r="AB6" s="238">
        <f>+AA6*$B6</f>
        <v>0</v>
      </c>
      <c r="AC6" s="193">
        <v>0</v>
      </c>
      <c r="AD6" s="238">
        <f>+AC6*$B6</f>
        <v>0</v>
      </c>
      <c r="AE6" s="193">
        <v>0</v>
      </c>
      <c r="AF6" s="238">
        <f>+AE6*$B6</f>
        <v>0</v>
      </c>
      <c r="AG6" s="193">
        <v>0</v>
      </c>
      <c r="AH6" s="238">
        <f>+AG6*$B6</f>
        <v>0</v>
      </c>
      <c r="AI6" s="193">
        <v>0</v>
      </c>
      <c r="AJ6" s="238">
        <f>+AI6*$B6</f>
        <v>0</v>
      </c>
      <c r="AK6" s="193">
        <v>0</v>
      </c>
      <c r="AL6" s="238">
        <f>+AK6*$B6</f>
        <v>0</v>
      </c>
      <c r="AM6" s="193">
        <v>0</v>
      </c>
      <c r="AN6" s="238">
        <f>+AM6*$B6</f>
        <v>0</v>
      </c>
      <c r="AO6" s="193">
        <v>0</v>
      </c>
      <c r="AP6" s="238">
        <f>+AO6*$B6</f>
        <v>0</v>
      </c>
      <c r="AQ6" s="193">
        <v>0</v>
      </c>
      <c r="AR6" s="238">
        <f>+AQ6*$B6</f>
        <v>0</v>
      </c>
      <c r="AS6" s="193">
        <v>0</v>
      </c>
      <c r="AT6" s="238">
        <f>+AS6*$B6</f>
        <v>0</v>
      </c>
      <c r="AU6" s="193">
        <v>0</v>
      </c>
      <c r="AV6" s="238">
        <f>+AU6*$B6</f>
        <v>0</v>
      </c>
      <c r="AW6" s="193">
        <v>0</v>
      </c>
      <c r="AX6" s="238">
        <f>+AW6*$B6</f>
        <v>0</v>
      </c>
      <c r="AY6" s="193">
        <v>0</v>
      </c>
      <c r="AZ6" s="238">
        <f>+AY6*$B6</f>
        <v>0</v>
      </c>
      <c r="BA6" s="193">
        <v>0</v>
      </c>
      <c r="BB6" s="238">
        <f>+BA6*$B6</f>
        <v>0</v>
      </c>
      <c r="BC6" s="193">
        <v>0</v>
      </c>
      <c r="BD6" s="238">
        <f>+BC6*$B6</f>
        <v>0</v>
      </c>
      <c r="BE6" s="193">
        <v>0</v>
      </c>
      <c r="BF6" s="238">
        <f>+BE6*$B6</f>
        <v>0</v>
      </c>
      <c r="BG6" s="193">
        <v>0</v>
      </c>
      <c r="BH6" s="238">
        <f>+BG6*$B6</f>
        <v>0</v>
      </c>
      <c r="BI6" s="193">
        <v>0</v>
      </c>
      <c r="BJ6" s="238">
        <f>+BI6*$B6</f>
        <v>0</v>
      </c>
      <c r="BK6" s="193">
        <v>0</v>
      </c>
      <c r="BL6" s="238">
        <f>+BK6*$B6</f>
        <v>0</v>
      </c>
      <c r="BM6" s="193">
        <v>0</v>
      </c>
      <c r="BN6" s="238">
        <f>+BM6*$B6</f>
        <v>0</v>
      </c>
      <c r="BO6" s="193">
        <v>0</v>
      </c>
      <c r="BP6" s="238">
        <f>+BO6*$B6</f>
        <v>0</v>
      </c>
      <c r="BQ6" s="193">
        <v>0</v>
      </c>
      <c r="BR6" s="238">
        <f>+BQ6*$B6</f>
        <v>0</v>
      </c>
      <c r="BS6" s="225"/>
      <c r="BT6" s="239">
        <f>+BO6+BM6+BK6+BG6+BE6+BC6+AY6+AW6+AS6+AQ6+AO6+AM6+AK6+AI6+AG6+AE6+AA6+C6+E6+G6+I6+M6+O6+Q6+S6+W6+BQ6+AC6+Y6+BI6+BA6+K6+U6+AU6</f>
        <v>18210.790000000001</v>
      </c>
      <c r="BU6" s="238">
        <f t="shared" si="1" ref="BU6:BU37">+BT6*$B6</f>
        <v>1465968.595</v>
      </c>
    </row>
    <row r="7" spans="1:73" ht="14.25">
      <c r="A7" s="241">
        <v>1941</v>
      </c>
      <c r="B7" s="240">
        <f t="shared" si="0"/>
        <v>79.5</v>
      </c>
      <c r="C7" s="193">
        <v>0</v>
      </c>
      <c r="D7" s="238">
        <f t="shared" si="2" ref="D7:D70">+C7*$B7</f>
        <v>0</v>
      </c>
      <c r="E7" s="193">
        <v>0</v>
      </c>
      <c r="F7" s="238">
        <f t="shared" si="3" ref="F7:F70">+E7*$B7</f>
        <v>0</v>
      </c>
      <c r="G7" s="193">
        <v>0</v>
      </c>
      <c r="H7" s="238">
        <f t="shared" si="4" ref="H7:H70">+G7*$B7</f>
        <v>0</v>
      </c>
      <c r="I7" s="193">
        <v>0</v>
      </c>
      <c r="J7" s="238">
        <f t="shared" si="5" ref="J7:J70">+I7*$B7</f>
        <v>0</v>
      </c>
      <c r="K7" s="193">
        <v>0</v>
      </c>
      <c r="L7" s="238">
        <f t="shared" si="6" ref="L7:L70">+K7*$B7</f>
        <v>0</v>
      </c>
      <c r="M7" s="193">
        <v>0</v>
      </c>
      <c r="N7" s="238">
        <f t="shared" si="7" ref="N7:N70">+M7*$B7</f>
        <v>0</v>
      </c>
      <c r="O7" s="193">
        <v>0</v>
      </c>
      <c r="P7" s="238">
        <f t="shared" si="8" ref="P7:P70">+O7*$B7</f>
        <v>0</v>
      </c>
      <c r="Q7" s="193">
        <v>0</v>
      </c>
      <c r="R7" s="238">
        <f t="shared" si="9" ref="R7:R70">+Q7*$B7</f>
        <v>0</v>
      </c>
      <c r="S7" s="193">
        <v>0</v>
      </c>
      <c r="T7" s="238">
        <f t="shared" si="10" ref="T7:T70">+S7*$B7</f>
        <v>0</v>
      </c>
      <c r="U7" s="193">
        <v>0</v>
      </c>
      <c r="V7" s="238">
        <f t="shared" si="11" ref="V7:V70">+U7*$B7</f>
        <v>0</v>
      </c>
      <c r="W7" s="193">
        <v>0</v>
      </c>
      <c r="X7" s="238">
        <f t="shared" si="12" ref="X7:X70">+W7*$B7</f>
        <v>0</v>
      </c>
      <c r="Y7" s="193">
        <v>0</v>
      </c>
      <c r="Z7" s="238">
        <f t="shared" si="13" ref="Z7:Z70">+Y7*$B7</f>
        <v>0</v>
      </c>
      <c r="AA7" s="193">
        <v>0</v>
      </c>
      <c r="AB7" s="238">
        <f t="shared" si="14" ref="AB7:AB70">+AA7*$B7</f>
        <v>0</v>
      </c>
      <c r="AC7" s="193">
        <v>0</v>
      </c>
      <c r="AD7" s="238">
        <f t="shared" si="15" ref="AD7:AD70">+AC7*$B7</f>
        <v>0</v>
      </c>
      <c r="AE7" s="193">
        <v>0</v>
      </c>
      <c r="AF7" s="238">
        <f t="shared" si="16" ref="AF7:AF70">+AE7*$B7</f>
        <v>0</v>
      </c>
      <c r="AG7" s="193">
        <v>0</v>
      </c>
      <c r="AH7" s="238">
        <f t="shared" si="17" ref="AH7:AH70">+AG7*$B7</f>
        <v>0</v>
      </c>
      <c r="AI7" s="193">
        <v>0</v>
      </c>
      <c r="AJ7" s="238">
        <f t="shared" si="18" ref="AJ7:AJ70">+AI7*$B7</f>
        <v>0</v>
      </c>
      <c r="AK7" s="193">
        <v>0</v>
      </c>
      <c r="AL7" s="238">
        <f t="shared" si="19" ref="AL7:AL70">+AK7*$B7</f>
        <v>0</v>
      </c>
      <c r="AM7" s="193">
        <v>0</v>
      </c>
      <c r="AN7" s="238">
        <f t="shared" si="20" ref="AN7:AN70">+AM7*$B7</f>
        <v>0</v>
      </c>
      <c r="AO7" s="193">
        <v>0</v>
      </c>
      <c r="AP7" s="238">
        <f t="shared" si="21" ref="AP7:AP70">+AO7*$B7</f>
        <v>0</v>
      </c>
      <c r="AQ7" s="193">
        <v>0</v>
      </c>
      <c r="AR7" s="238">
        <f t="shared" si="22" ref="AR7:AR70">+AQ7*$B7</f>
        <v>0</v>
      </c>
      <c r="AS7" s="193">
        <v>0</v>
      </c>
      <c r="AT7" s="238">
        <f t="shared" si="23" ref="AT7:AT70">+AS7*$B7</f>
        <v>0</v>
      </c>
      <c r="AU7" s="193">
        <v>0</v>
      </c>
      <c r="AV7" s="238">
        <f t="shared" si="24" ref="AV7:AV70">+AU7*$B7</f>
        <v>0</v>
      </c>
      <c r="AW7" s="193">
        <v>0</v>
      </c>
      <c r="AX7" s="238">
        <f t="shared" si="25" ref="AX7:AX70">+AW7*$B7</f>
        <v>0</v>
      </c>
      <c r="AY7" s="193">
        <v>0</v>
      </c>
      <c r="AZ7" s="238">
        <f t="shared" si="26" ref="AZ7:AZ70">+AY7*$B7</f>
        <v>0</v>
      </c>
      <c r="BA7" s="193">
        <v>0</v>
      </c>
      <c r="BB7" s="238">
        <f t="shared" si="27" ref="BB7:BB70">+BA7*$B7</f>
        <v>0</v>
      </c>
      <c r="BC7" s="193">
        <v>0</v>
      </c>
      <c r="BD7" s="238">
        <f t="shared" si="28" ref="BD7:BD70">+BC7*$B7</f>
        <v>0</v>
      </c>
      <c r="BE7" s="193">
        <v>0</v>
      </c>
      <c r="BF7" s="238">
        <f t="shared" si="29" ref="BF7:BF70">+BE7*$B7</f>
        <v>0</v>
      </c>
      <c r="BG7" s="193">
        <v>0</v>
      </c>
      <c r="BH7" s="238">
        <f t="shared" si="30" ref="BH7:BH70">+BG7*$B7</f>
        <v>0</v>
      </c>
      <c r="BI7" s="193">
        <v>0</v>
      </c>
      <c r="BJ7" s="238">
        <f t="shared" si="31" ref="BJ7:BJ70">+BI7*$B7</f>
        <v>0</v>
      </c>
      <c r="BK7" s="193">
        <v>0</v>
      </c>
      <c r="BL7" s="238">
        <f t="shared" si="32" ref="BL7:BL70">+BK7*$B7</f>
        <v>0</v>
      </c>
      <c r="BM7" s="193">
        <v>0</v>
      </c>
      <c r="BN7" s="238">
        <f t="shared" si="33" ref="BN7:BN70">+BM7*$B7</f>
        <v>0</v>
      </c>
      <c r="BO7" s="193">
        <v>0</v>
      </c>
      <c r="BP7" s="238">
        <f t="shared" si="34" ref="BP7:BP70">+BO7*$B7</f>
        <v>0</v>
      </c>
      <c r="BQ7" s="193">
        <v>0</v>
      </c>
      <c r="BR7" s="238">
        <f t="shared" si="35" ref="BR7:BR70">+BQ7*$B7</f>
        <v>0</v>
      </c>
      <c r="BS7" s="225"/>
      <c r="BT7" s="239">
        <f t="shared" si="36" ref="BT7:BT70">+BO7+BM7+BK7+BG7+BE7+BC7+AY7+AW7+AS7+AQ7+AO7+AM7+AK7+AI7+AG7+AE7+AA7+C7+E7+G7+I7+M7+O7+Q7+S7+W7+BQ7+AC7+Y7+BI7+BA7+K7+U7+AU7</f>
        <v>0</v>
      </c>
      <c r="BU7" s="238">
        <f t="shared" si="1"/>
        <v>0</v>
      </c>
    </row>
    <row r="8" spans="1:73" ht="14.25">
      <c r="A8" s="241">
        <v>1942</v>
      </c>
      <c r="B8" s="240">
        <f t="shared" si="0"/>
        <v>78.5</v>
      </c>
      <c r="C8" s="193">
        <v>0</v>
      </c>
      <c r="D8" s="238">
        <f t="shared" si="2"/>
        <v>0</v>
      </c>
      <c r="E8" s="193">
        <v>0</v>
      </c>
      <c r="F8" s="238">
        <f t="shared" si="3"/>
        <v>0</v>
      </c>
      <c r="G8" s="193">
        <v>0</v>
      </c>
      <c r="H8" s="238">
        <f t="shared" si="4"/>
        <v>0</v>
      </c>
      <c r="I8" s="193">
        <v>0</v>
      </c>
      <c r="J8" s="238">
        <f t="shared" si="5"/>
        <v>0</v>
      </c>
      <c r="K8" s="193">
        <v>0</v>
      </c>
      <c r="L8" s="238">
        <f t="shared" si="6"/>
        <v>0</v>
      </c>
      <c r="M8" s="193">
        <v>0</v>
      </c>
      <c r="N8" s="238">
        <f t="shared" si="7"/>
        <v>0</v>
      </c>
      <c r="O8" s="193">
        <v>0</v>
      </c>
      <c r="P8" s="238">
        <f t="shared" si="8"/>
        <v>0</v>
      </c>
      <c r="Q8" s="193">
        <v>0</v>
      </c>
      <c r="R8" s="238">
        <f t="shared" si="9"/>
        <v>0</v>
      </c>
      <c r="S8" s="193">
        <v>0</v>
      </c>
      <c r="T8" s="238">
        <f t="shared" si="10"/>
        <v>0</v>
      </c>
      <c r="U8" s="193">
        <v>0</v>
      </c>
      <c r="V8" s="238">
        <f t="shared" si="11"/>
        <v>0</v>
      </c>
      <c r="W8" s="193">
        <v>0</v>
      </c>
      <c r="X8" s="238">
        <f t="shared" si="12"/>
        <v>0</v>
      </c>
      <c r="Y8" s="193">
        <v>0</v>
      </c>
      <c r="Z8" s="238">
        <f t="shared" si="13"/>
        <v>0</v>
      </c>
      <c r="AA8" s="193">
        <v>0</v>
      </c>
      <c r="AB8" s="238">
        <f t="shared" si="14"/>
        <v>0</v>
      </c>
      <c r="AC8" s="193">
        <v>0</v>
      </c>
      <c r="AD8" s="238">
        <f t="shared" si="15"/>
        <v>0</v>
      </c>
      <c r="AE8" s="193">
        <v>0</v>
      </c>
      <c r="AF8" s="238">
        <f t="shared" si="16"/>
        <v>0</v>
      </c>
      <c r="AG8" s="193">
        <v>0</v>
      </c>
      <c r="AH8" s="238">
        <f t="shared" si="17"/>
        <v>0</v>
      </c>
      <c r="AI8" s="193">
        <v>0</v>
      </c>
      <c r="AJ8" s="238">
        <f t="shared" si="18"/>
        <v>0</v>
      </c>
      <c r="AK8" s="193">
        <v>0</v>
      </c>
      <c r="AL8" s="238">
        <f t="shared" si="19"/>
        <v>0</v>
      </c>
      <c r="AM8" s="193">
        <v>0</v>
      </c>
      <c r="AN8" s="238">
        <f t="shared" si="20"/>
        <v>0</v>
      </c>
      <c r="AO8" s="193">
        <v>0</v>
      </c>
      <c r="AP8" s="238">
        <f t="shared" si="21"/>
        <v>0</v>
      </c>
      <c r="AQ8" s="193">
        <v>0</v>
      </c>
      <c r="AR8" s="238">
        <f t="shared" si="22"/>
        <v>0</v>
      </c>
      <c r="AS8" s="193">
        <v>0</v>
      </c>
      <c r="AT8" s="238">
        <f t="shared" si="23"/>
        <v>0</v>
      </c>
      <c r="AU8" s="193">
        <v>0</v>
      </c>
      <c r="AV8" s="238">
        <f t="shared" si="24"/>
        <v>0</v>
      </c>
      <c r="AW8" s="193">
        <v>0</v>
      </c>
      <c r="AX8" s="238">
        <f t="shared" si="25"/>
        <v>0</v>
      </c>
      <c r="AY8" s="193">
        <v>0</v>
      </c>
      <c r="AZ8" s="238">
        <f t="shared" si="26"/>
        <v>0</v>
      </c>
      <c r="BA8" s="193">
        <v>0</v>
      </c>
      <c r="BB8" s="238">
        <f t="shared" si="27"/>
        <v>0</v>
      </c>
      <c r="BC8" s="193">
        <v>0</v>
      </c>
      <c r="BD8" s="238">
        <f t="shared" si="28"/>
        <v>0</v>
      </c>
      <c r="BE8" s="193">
        <v>0</v>
      </c>
      <c r="BF8" s="238">
        <f t="shared" si="29"/>
        <v>0</v>
      </c>
      <c r="BG8" s="193">
        <v>0</v>
      </c>
      <c r="BH8" s="238">
        <f t="shared" si="30"/>
        <v>0</v>
      </c>
      <c r="BI8" s="193">
        <v>0</v>
      </c>
      <c r="BJ8" s="238">
        <f t="shared" si="31"/>
        <v>0</v>
      </c>
      <c r="BK8" s="193">
        <v>0</v>
      </c>
      <c r="BL8" s="238">
        <f t="shared" si="32"/>
        <v>0</v>
      </c>
      <c r="BM8" s="193">
        <v>0</v>
      </c>
      <c r="BN8" s="238">
        <f t="shared" si="33"/>
        <v>0</v>
      </c>
      <c r="BO8" s="193">
        <v>0</v>
      </c>
      <c r="BP8" s="238">
        <f t="shared" si="34"/>
        <v>0</v>
      </c>
      <c r="BQ8" s="193">
        <v>0</v>
      </c>
      <c r="BR8" s="238">
        <f t="shared" si="35"/>
        <v>0</v>
      </c>
      <c r="BS8" s="225"/>
      <c r="BT8" s="239">
        <f t="shared" si="36"/>
        <v>0</v>
      </c>
      <c r="BU8" s="238">
        <f t="shared" si="1"/>
        <v>0</v>
      </c>
    </row>
    <row r="9" spans="1:73" ht="14.25">
      <c r="A9" s="241">
        <v>1943</v>
      </c>
      <c r="B9" s="240">
        <f t="shared" si="0"/>
        <v>77.5</v>
      </c>
      <c r="C9" s="193">
        <v>0</v>
      </c>
      <c r="D9" s="238">
        <f t="shared" si="2"/>
        <v>0</v>
      </c>
      <c r="E9" s="193">
        <v>0</v>
      </c>
      <c r="F9" s="238">
        <f t="shared" si="3"/>
        <v>0</v>
      </c>
      <c r="G9" s="193">
        <v>0</v>
      </c>
      <c r="H9" s="238">
        <f t="shared" si="4"/>
        <v>0</v>
      </c>
      <c r="I9" s="193">
        <v>0</v>
      </c>
      <c r="J9" s="238">
        <f t="shared" si="5"/>
        <v>0</v>
      </c>
      <c r="K9" s="193">
        <v>0</v>
      </c>
      <c r="L9" s="238">
        <f t="shared" si="6"/>
        <v>0</v>
      </c>
      <c r="M9" s="193">
        <v>0</v>
      </c>
      <c r="N9" s="238">
        <f t="shared" si="7"/>
        <v>0</v>
      </c>
      <c r="O9" s="193">
        <v>0</v>
      </c>
      <c r="P9" s="238">
        <f t="shared" si="8"/>
        <v>0</v>
      </c>
      <c r="Q9" s="193">
        <v>0</v>
      </c>
      <c r="R9" s="238">
        <f t="shared" si="9"/>
        <v>0</v>
      </c>
      <c r="S9" s="193">
        <v>0</v>
      </c>
      <c r="T9" s="238">
        <f t="shared" si="10"/>
        <v>0</v>
      </c>
      <c r="U9" s="193">
        <v>0</v>
      </c>
      <c r="V9" s="238">
        <f t="shared" si="11"/>
        <v>0</v>
      </c>
      <c r="W9" s="193">
        <v>0</v>
      </c>
      <c r="X9" s="238">
        <f t="shared" si="12"/>
        <v>0</v>
      </c>
      <c r="Y9" s="193">
        <v>0</v>
      </c>
      <c r="Z9" s="238">
        <f t="shared" si="13"/>
        <v>0</v>
      </c>
      <c r="AA9" s="193">
        <v>0</v>
      </c>
      <c r="AB9" s="238">
        <f t="shared" si="14"/>
        <v>0</v>
      </c>
      <c r="AC9" s="193">
        <v>0</v>
      </c>
      <c r="AD9" s="238">
        <f t="shared" si="15"/>
        <v>0</v>
      </c>
      <c r="AE9" s="193">
        <v>0</v>
      </c>
      <c r="AF9" s="238">
        <f t="shared" si="16"/>
        <v>0</v>
      </c>
      <c r="AG9" s="193">
        <v>0</v>
      </c>
      <c r="AH9" s="238">
        <f t="shared" si="17"/>
        <v>0</v>
      </c>
      <c r="AI9" s="193">
        <v>0</v>
      </c>
      <c r="AJ9" s="238">
        <f t="shared" si="18"/>
        <v>0</v>
      </c>
      <c r="AK9" s="193">
        <v>0</v>
      </c>
      <c r="AL9" s="238">
        <f t="shared" si="19"/>
        <v>0</v>
      </c>
      <c r="AM9" s="193">
        <v>0</v>
      </c>
      <c r="AN9" s="238">
        <f t="shared" si="20"/>
        <v>0</v>
      </c>
      <c r="AO9" s="193">
        <v>0</v>
      </c>
      <c r="AP9" s="238">
        <f t="shared" si="21"/>
        <v>0</v>
      </c>
      <c r="AQ9" s="193">
        <v>0</v>
      </c>
      <c r="AR9" s="238">
        <f t="shared" si="22"/>
        <v>0</v>
      </c>
      <c r="AS9" s="193">
        <v>0</v>
      </c>
      <c r="AT9" s="238">
        <f t="shared" si="23"/>
        <v>0</v>
      </c>
      <c r="AU9" s="193">
        <v>0</v>
      </c>
      <c r="AV9" s="238">
        <f t="shared" si="24"/>
        <v>0</v>
      </c>
      <c r="AW9" s="193">
        <v>0</v>
      </c>
      <c r="AX9" s="238">
        <f t="shared" si="25"/>
        <v>0</v>
      </c>
      <c r="AY9" s="193">
        <v>0</v>
      </c>
      <c r="AZ9" s="238">
        <f t="shared" si="26"/>
        <v>0</v>
      </c>
      <c r="BA9" s="193">
        <v>0</v>
      </c>
      <c r="BB9" s="238">
        <f t="shared" si="27"/>
        <v>0</v>
      </c>
      <c r="BC9" s="193">
        <v>0</v>
      </c>
      <c r="BD9" s="238">
        <f t="shared" si="28"/>
        <v>0</v>
      </c>
      <c r="BE9" s="193">
        <v>0</v>
      </c>
      <c r="BF9" s="238">
        <f t="shared" si="29"/>
        <v>0</v>
      </c>
      <c r="BG9" s="193">
        <v>0</v>
      </c>
      <c r="BH9" s="238">
        <f t="shared" si="30"/>
        <v>0</v>
      </c>
      <c r="BI9" s="193">
        <v>0</v>
      </c>
      <c r="BJ9" s="238">
        <f t="shared" si="31"/>
        <v>0</v>
      </c>
      <c r="BK9" s="193">
        <v>0</v>
      </c>
      <c r="BL9" s="238">
        <f t="shared" si="32"/>
        <v>0</v>
      </c>
      <c r="BM9" s="193">
        <v>0</v>
      </c>
      <c r="BN9" s="238">
        <f t="shared" si="33"/>
        <v>0</v>
      </c>
      <c r="BO9" s="193">
        <v>0</v>
      </c>
      <c r="BP9" s="238">
        <f t="shared" si="34"/>
        <v>0</v>
      </c>
      <c r="BQ9" s="193">
        <v>0</v>
      </c>
      <c r="BR9" s="238">
        <f t="shared" si="35"/>
        <v>0</v>
      </c>
      <c r="BS9" s="225"/>
      <c r="BT9" s="239">
        <f t="shared" si="36"/>
        <v>0</v>
      </c>
      <c r="BU9" s="238">
        <f t="shared" si="1"/>
        <v>0</v>
      </c>
    </row>
    <row r="10" spans="1:73" ht="14.25">
      <c r="A10" s="241">
        <v>1944</v>
      </c>
      <c r="B10" s="240">
        <f t="shared" si="0"/>
        <v>76.5</v>
      </c>
      <c r="C10" s="193">
        <v>0</v>
      </c>
      <c r="D10" s="238">
        <f t="shared" si="2"/>
        <v>0</v>
      </c>
      <c r="E10" s="193">
        <v>0</v>
      </c>
      <c r="F10" s="238">
        <f t="shared" si="3"/>
        <v>0</v>
      </c>
      <c r="G10" s="193">
        <v>0</v>
      </c>
      <c r="H10" s="238">
        <f t="shared" si="4"/>
        <v>0</v>
      </c>
      <c r="I10" s="193">
        <v>0</v>
      </c>
      <c r="J10" s="238">
        <f t="shared" si="5"/>
        <v>0</v>
      </c>
      <c r="K10" s="193">
        <v>0</v>
      </c>
      <c r="L10" s="238">
        <f t="shared" si="6"/>
        <v>0</v>
      </c>
      <c r="M10" s="193">
        <v>0</v>
      </c>
      <c r="N10" s="238">
        <f t="shared" si="7"/>
        <v>0</v>
      </c>
      <c r="O10" s="193">
        <v>0</v>
      </c>
      <c r="P10" s="238">
        <f t="shared" si="8"/>
        <v>0</v>
      </c>
      <c r="Q10" s="193">
        <v>0</v>
      </c>
      <c r="R10" s="238">
        <f t="shared" si="9"/>
        <v>0</v>
      </c>
      <c r="S10" s="193">
        <v>46</v>
      </c>
      <c r="T10" s="238">
        <f t="shared" si="10"/>
        <v>3519</v>
      </c>
      <c r="U10" s="193">
        <v>0</v>
      </c>
      <c r="V10" s="238">
        <f t="shared" si="11"/>
        <v>0</v>
      </c>
      <c r="W10" s="193">
        <v>0</v>
      </c>
      <c r="X10" s="238">
        <f t="shared" si="12"/>
        <v>0</v>
      </c>
      <c r="Y10" s="193">
        <v>0</v>
      </c>
      <c r="Z10" s="238">
        <f t="shared" si="13"/>
        <v>0</v>
      </c>
      <c r="AA10" s="193">
        <v>0</v>
      </c>
      <c r="AB10" s="238">
        <f t="shared" si="14"/>
        <v>0</v>
      </c>
      <c r="AC10" s="193">
        <v>0</v>
      </c>
      <c r="AD10" s="238">
        <f t="shared" si="15"/>
        <v>0</v>
      </c>
      <c r="AE10" s="193">
        <v>0</v>
      </c>
      <c r="AF10" s="238">
        <f t="shared" si="16"/>
        <v>0</v>
      </c>
      <c r="AG10" s="193">
        <v>0</v>
      </c>
      <c r="AH10" s="238">
        <f t="shared" si="17"/>
        <v>0</v>
      </c>
      <c r="AI10" s="193">
        <v>0</v>
      </c>
      <c r="AJ10" s="238">
        <f t="shared" si="18"/>
        <v>0</v>
      </c>
      <c r="AK10" s="193">
        <v>0</v>
      </c>
      <c r="AL10" s="238">
        <f t="shared" si="19"/>
        <v>0</v>
      </c>
      <c r="AM10" s="193">
        <v>0</v>
      </c>
      <c r="AN10" s="238">
        <f t="shared" si="20"/>
        <v>0</v>
      </c>
      <c r="AO10" s="193">
        <v>0</v>
      </c>
      <c r="AP10" s="238">
        <f t="shared" si="21"/>
        <v>0</v>
      </c>
      <c r="AQ10" s="193">
        <v>0</v>
      </c>
      <c r="AR10" s="238">
        <f t="shared" si="22"/>
        <v>0</v>
      </c>
      <c r="AS10" s="193">
        <v>0</v>
      </c>
      <c r="AT10" s="238">
        <f t="shared" si="23"/>
        <v>0</v>
      </c>
      <c r="AU10" s="193">
        <v>0</v>
      </c>
      <c r="AV10" s="238">
        <f t="shared" si="24"/>
        <v>0</v>
      </c>
      <c r="AW10" s="193">
        <v>0</v>
      </c>
      <c r="AX10" s="238">
        <f t="shared" si="25"/>
        <v>0</v>
      </c>
      <c r="AY10" s="193">
        <v>0</v>
      </c>
      <c r="AZ10" s="238">
        <f t="shared" si="26"/>
        <v>0</v>
      </c>
      <c r="BA10" s="193">
        <v>0</v>
      </c>
      <c r="BB10" s="238">
        <f t="shared" si="27"/>
        <v>0</v>
      </c>
      <c r="BC10" s="193">
        <v>0</v>
      </c>
      <c r="BD10" s="238">
        <f t="shared" si="28"/>
        <v>0</v>
      </c>
      <c r="BE10" s="193">
        <v>0</v>
      </c>
      <c r="BF10" s="238">
        <f t="shared" si="29"/>
        <v>0</v>
      </c>
      <c r="BG10" s="193">
        <v>0</v>
      </c>
      <c r="BH10" s="238">
        <f t="shared" si="30"/>
        <v>0</v>
      </c>
      <c r="BI10" s="193">
        <v>0</v>
      </c>
      <c r="BJ10" s="238">
        <f t="shared" si="31"/>
        <v>0</v>
      </c>
      <c r="BK10" s="193">
        <v>0</v>
      </c>
      <c r="BL10" s="238">
        <f t="shared" si="32"/>
        <v>0</v>
      </c>
      <c r="BM10" s="193">
        <v>0</v>
      </c>
      <c r="BN10" s="238">
        <f t="shared" si="33"/>
        <v>0</v>
      </c>
      <c r="BO10" s="193">
        <v>0</v>
      </c>
      <c r="BP10" s="238">
        <f t="shared" si="34"/>
        <v>0</v>
      </c>
      <c r="BQ10" s="193">
        <v>0</v>
      </c>
      <c r="BR10" s="238">
        <f t="shared" si="35"/>
        <v>0</v>
      </c>
      <c r="BS10" s="225"/>
      <c r="BT10" s="239">
        <f t="shared" si="36"/>
        <v>46</v>
      </c>
      <c r="BU10" s="238">
        <f t="shared" si="1"/>
        <v>3519</v>
      </c>
    </row>
    <row r="11" spans="1:73" ht="14.25">
      <c r="A11" s="241">
        <v>1945</v>
      </c>
      <c r="B11" s="240">
        <f t="shared" si="0"/>
        <v>75.5</v>
      </c>
      <c r="C11" s="193">
        <v>0</v>
      </c>
      <c r="D11" s="238">
        <f t="shared" si="2"/>
        <v>0</v>
      </c>
      <c r="E11" s="193">
        <v>0</v>
      </c>
      <c r="F11" s="238">
        <f t="shared" si="3"/>
        <v>0</v>
      </c>
      <c r="G11" s="193">
        <v>0</v>
      </c>
      <c r="H11" s="238">
        <f t="shared" si="4"/>
        <v>0</v>
      </c>
      <c r="I11" s="193">
        <v>0</v>
      </c>
      <c r="J11" s="238">
        <f t="shared" si="5"/>
        <v>0</v>
      </c>
      <c r="K11" s="193">
        <v>0</v>
      </c>
      <c r="L11" s="238">
        <f t="shared" si="6"/>
        <v>0</v>
      </c>
      <c r="M11" s="193">
        <v>0</v>
      </c>
      <c r="N11" s="238">
        <f t="shared" si="7"/>
        <v>0</v>
      </c>
      <c r="O11" s="193">
        <v>0</v>
      </c>
      <c r="P11" s="238">
        <f t="shared" si="8"/>
        <v>0</v>
      </c>
      <c r="Q11" s="193">
        <v>0</v>
      </c>
      <c r="R11" s="238">
        <f t="shared" si="9"/>
        <v>0</v>
      </c>
      <c r="S11" s="193">
        <v>137.83000000000001</v>
      </c>
      <c r="T11" s="238">
        <f t="shared" si="10"/>
        <v>10406.165000000001</v>
      </c>
      <c r="U11" s="193">
        <v>0</v>
      </c>
      <c r="V11" s="238">
        <f t="shared" si="11"/>
        <v>0</v>
      </c>
      <c r="W11" s="193">
        <v>0</v>
      </c>
      <c r="X11" s="238">
        <f t="shared" si="12"/>
        <v>0</v>
      </c>
      <c r="Y11" s="193">
        <v>0</v>
      </c>
      <c r="Z11" s="238">
        <f t="shared" si="13"/>
        <v>0</v>
      </c>
      <c r="AA11" s="193">
        <v>0</v>
      </c>
      <c r="AB11" s="238">
        <f t="shared" si="14"/>
        <v>0</v>
      </c>
      <c r="AC11" s="193">
        <v>0</v>
      </c>
      <c r="AD11" s="238">
        <f t="shared" si="15"/>
        <v>0</v>
      </c>
      <c r="AE11" s="193">
        <v>0</v>
      </c>
      <c r="AF11" s="238">
        <f t="shared" si="16"/>
        <v>0</v>
      </c>
      <c r="AG11" s="193">
        <v>0</v>
      </c>
      <c r="AH11" s="238">
        <f t="shared" si="17"/>
        <v>0</v>
      </c>
      <c r="AI11" s="193">
        <v>0</v>
      </c>
      <c r="AJ11" s="238">
        <f t="shared" si="18"/>
        <v>0</v>
      </c>
      <c r="AK11" s="193">
        <v>0</v>
      </c>
      <c r="AL11" s="238">
        <f t="shared" si="19"/>
        <v>0</v>
      </c>
      <c r="AM11" s="193">
        <v>0</v>
      </c>
      <c r="AN11" s="238">
        <f t="shared" si="20"/>
        <v>0</v>
      </c>
      <c r="AO11" s="193">
        <v>0</v>
      </c>
      <c r="AP11" s="238">
        <f t="shared" si="21"/>
        <v>0</v>
      </c>
      <c r="AQ11" s="193">
        <v>0</v>
      </c>
      <c r="AR11" s="238">
        <f t="shared" si="22"/>
        <v>0</v>
      </c>
      <c r="AS11" s="193">
        <v>0</v>
      </c>
      <c r="AT11" s="238">
        <f t="shared" si="23"/>
        <v>0</v>
      </c>
      <c r="AU11" s="193">
        <v>0</v>
      </c>
      <c r="AV11" s="238">
        <f t="shared" si="24"/>
        <v>0</v>
      </c>
      <c r="AW11" s="193">
        <v>0</v>
      </c>
      <c r="AX11" s="238">
        <f t="shared" si="25"/>
        <v>0</v>
      </c>
      <c r="AY11" s="193">
        <v>0</v>
      </c>
      <c r="AZ11" s="238">
        <f t="shared" si="26"/>
        <v>0</v>
      </c>
      <c r="BA11" s="193">
        <v>0</v>
      </c>
      <c r="BB11" s="238">
        <f t="shared" si="27"/>
        <v>0</v>
      </c>
      <c r="BC11" s="193">
        <v>0</v>
      </c>
      <c r="BD11" s="238">
        <f t="shared" si="28"/>
        <v>0</v>
      </c>
      <c r="BE11" s="193">
        <v>0</v>
      </c>
      <c r="BF11" s="238">
        <f t="shared" si="29"/>
        <v>0</v>
      </c>
      <c r="BG11" s="193">
        <v>0</v>
      </c>
      <c r="BH11" s="238">
        <f t="shared" si="30"/>
        <v>0</v>
      </c>
      <c r="BI11" s="193">
        <v>0</v>
      </c>
      <c r="BJ11" s="238">
        <f t="shared" si="31"/>
        <v>0</v>
      </c>
      <c r="BK11" s="193">
        <v>0</v>
      </c>
      <c r="BL11" s="238">
        <f t="shared" si="32"/>
        <v>0</v>
      </c>
      <c r="BM11" s="193">
        <v>0</v>
      </c>
      <c r="BN11" s="238">
        <f t="shared" si="33"/>
        <v>0</v>
      </c>
      <c r="BO11" s="193">
        <v>0</v>
      </c>
      <c r="BP11" s="238">
        <f t="shared" si="34"/>
        <v>0</v>
      </c>
      <c r="BQ11" s="193">
        <v>0</v>
      </c>
      <c r="BR11" s="238">
        <f t="shared" si="35"/>
        <v>0</v>
      </c>
      <c r="BS11" s="225"/>
      <c r="BT11" s="239">
        <f t="shared" si="36"/>
        <v>137.83000000000001</v>
      </c>
      <c r="BU11" s="238">
        <f t="shared" si="1"/>
        <v>10406.165000000001</v>
      </c>
    </row>
    <row r="12" spans="1:73" ht="14.25">
      <c r="A12" s="241">
        <v>1946</v>
      </c>
      <c r="B12" s="240">
        <f t="shared" si="0"/>
        <v>74.5</v>
      </c>
      <c r="C12" s="193">
        <v>0</v>
      </c>
      <c r="D12" s="238">
        <f t="shared" si="2"/>
        <v>0</v>
      </c>
      <c r="E12" s="193">
        <v>0</v>
      </c>
      <c r="F12" s="238">
        <f t="shared" si="3"/>
        <v>0</v>
      </c>
      <c r="G12" s="193">
        <v>0</v>
      </c>
      <c r="H12" s="238">
        <f t="shared" si="4"/>
        <v>0</v>
      </c>
      <c r="I12" s="193">
        <v>0</v>
      </c>
      <c r="J12" s="238">
        <f t="shared" si="5"/>
        <v>0</v>
      </c>
      <c r="K12" s="193">
        <v>0</v>
      </c>
      <c r="L12" s="238">
        <f t="shared" si="6"/>
        <v>0</v>
      </c>
      <c r="M12" s="193">
        <v>0</v>
      </c>
      <c r="N12" s="238">
        <f t="shared" si="7"/>
        <v>0</v>
      </c>
      <c r="O12" s="193">
        <v>0</v>
      </c>
      <c r="P12" s="238">
        <f t="shared" si="8"/>
        <v>0</v>
      </c>
      <c r="Q12" s="193">
        <v>0</v>
      </c>
      <c r="R12" s="238">
        <f t="shared" si="9"/>
        <v>0</v>
      </c>
      <c r="S12" s="193">
        <v>303.38999999999999</v>
      </c>
      <c r="T12" s="238">
        <f t="shared" si="10"/>
        <v>22602.555</v>
      </c>
      <c r="U12" s="193">
        <v>0</v>
      </c>
      <c r="V12" s="238">
        <f t="shared" si="11"/>
        <v>0</v>
      </c>
      <c r="W12" s="193">
        <v>0</v>
      </c>
      <c r="X12" s="238">
        <f t="shared" si="12"/>
        <v>0</v>
      </c>
      <c r="Y12" s="193">
        <v>0</v>
      </c>
      <c r="Z12" s="238">
        <f t="shared" si="13"/>
        <v>0</v>
      </c>
      <c r="AA12" s="193">
        <v>0</v>
      </c>
      <c r="AB12" s="238">
        <f t="shared" si="14"/>
        <v>0</v>
      </c>
      <c r="AC12" s="193">
        <v>0</v>
      </c>
      <c r="AD12" s="238">
        <f t="shared" si="15"/>
        <v>0</v>
      </c>
      <c r="AE12" s="193">
        <v>0</v>
      </c>
      <c r="AF12" s="238">
        <f t="shared" si="16"/>
        <v>0</v>
      </c>
      <c r="AG12" s="193">
        <v>0</v>
      </c>
      <c r="AH12" s="238">
        <f t="shared" si="17"/>
        <v>0</v>
      </c>
      <c r="AI12" s="193">
        <v>0</v>
      </c>
      <c r="AJ12" s="238">
        <f t="shared" si="18"/>
        <v>0</v>
      </c>
      <c r="AK12" s="193">
        <v>0</v>
      </c>
      <c r="AL12" s="238">
        <f t="shared" si="19"/>
        <v>0</v>
      </c>
      <c r="AM12" s="193">
        <v>0</v>
      </c>
      <c r="AN12" s="238">
        <f t="shared" si="20"/>
        <v>0</v>
      </c>
      <c r="AO12" s="193">
        <v>0</v>
      </c>
      <c r="AP12" s="238">
        <f t="shared" si="21"/>
        <v>0</v>
      </c>
      <c r="AQ12" s="193">
        <v>0</v>
      </c>
      <c r="AR12" s="238">
        <f t="shared" si="22"/>
        <v>0</v>
      </c>
      <c r="AS12" s="193">
        <v>0</v>
      </c>
      <c r="AT12" s="238">
        <f t="shared" si="23"/>
        <v>0</v>
      </c>
      <c r="AU12" s="193">
        <v>0</v>
      </c>
      <c r="AV12" s="238">
        <f t="shared" si="24"/>
        <v>0</v>
      </c>
      <c r="AW12" s="193">
        <v>0</v>
      </c>
      <c r="AX12" s="238">
        <f t="shared" si="25"/>
        <v>0</v>
      </c>
      <c r="AY12" s="193">
        <v>0</v>
      </c>
      <c r="AZ12" s="238">
        <f t="shared" si="26"/>
        <v>0</v>
      </c>
      <c r="BA12" s="193">
        <v>0</v>
      </c>
      <c r="BB12" s="238">
        <f t="shared" si="27"/>
        <v>0</v>
      </c>
      <c r="BC12" s="193">
        <v>0</v>
      </c>
      <c r="BD12" s="238">
        <f t="shared" si="28"/>
        <v>0</v>
      </c>
      <c r="BE12" s="193">
        <v>0</v>
      </c>
      <c r="BF12" s="238">
        <f t="shared" si="29"/>
        <v>0</v>
      </c>
      <c r="BG12" s="193">
        <v>0</v>
      </c>
      <c r="BH12" s="238">
        <f t="shared" si="30"/>
        <v>0</v>
      </c>
      <c r="BI12" s="193">
        <v>0</v>
      </c>
      <c r="BJ12" s="238">
        <f t="shared" si="31"/>
        <v>0</v>
      </c>
      <c r="BK12" s="193">
        <v>0</v>
      </c>
      <c r="BL12" s="238">
        <f t="shared" si="32"/>
        <v>0</v>
      </c>
      <c r="BM12" s="193">
        <v>0</v>
      </c>
      <c r="BN12" s="238">
        <f t="shared" si="33"/>
        <v>0</v>
      </c>
      <c r="BO12" s="193">
        <v>0</v>
      </c>
      <c r="BP12" s="238">
        <f t="shared" si="34"/>
        <v>0</v>
      </c>
      <c r="BQ12" s="193">
        <v>0</v>
      </c>
      <c r="BR12" s="238">
        <f t="shared" si="35"/>
        <v>0</v>
      </c>
      <c r="BS12" s="225"/>
      <c r="BT12" s="239">
        <f t="shared" si="36"/>
        <v>303.38999999999999</v>
      </c>
      <c r="BU12" s="238">
        <f t="shared" si="1"/>
        <v>22602.555</v>
      </c>
    </row>
    <row r="13" spans="1:73" ht="14.25">
      <c r="A13" s="241">
        <v>1947</v>
      </c>
      <c r="B13" s="240">
        <f t="shared" si="0"/>
        <v>73.5</v>
      </c>
      <c r="C13" s="193">
        <v>0</v>
      </c>
      <c r="D13" s="238">
        <f t="shared" si="2"/>
        <v>0</v>
      </c>
      <c r="E13" s="193">
        <v>0</v>
      </c>
      <c r="F13" s="238">
        <f t="shared" si="3"/>
        <v>0</v>
      </c>
      <c r="G13" s="193">
        <v>0</v>
      </c>
      <c r="H13" s="238">
        <f t="shared" si="4"/>
        <v>0</v>
      </c>
      <c r="I13" s="193">
        <v>292.47000000000003</v>
      </c>
      <c r="J13" s="238">
        <f t="shared" si="5"/>
        <v>21496.545000000002</v>
      </c>
      <c r="K13" s="193">
        <v>0</v>
      </c>
      <c r="L13" s="238">
        <f t="shared" si="6"/>
        <v>0</v>
      </c>
      <c r="M13" s="193">
        <v>0</v>
      </c>
      <c r="N13" s="238">
        <f t="shared" si="7"/>
        <v>0</v>
      </c>
      <c r="O13" s="193">
        <v>0</v>
      </c>
      <c r="P13" s="238">
        <f t="shared" si="8"/>
        <v>0</v>
      </c>
      <c r="Q13" s="193">
        <v>0</v>
      </c>
      <c r="R13" s="238">
        <f t="shared" si="9"/>
        <v>0</v>
      </c>
      <c r="S13" s="193">
        <v>292.69999999999999</v>
      </c>
      <c r="T13" s="238">
        <f t="shared" si="10"/>
        <v>21513.450000000001</v>
      </c>
      <c r="U13" s="193">
        <v>0</v>
      </c>
      <c r="V13" s="238">
        <f t="shared" si="11"/>
        <v>0</v>
      </c>
      <c r="W13" s="193">
        <v>0</v>
      </c>
      <c r="X13" s="238">
        <f t="shared" si="12"/>
        <v>0</v>
      </c>
      <c r="Y13" s="193">
        <v>0</v>
      </c>
      <c r="Z13" s="238">
        <f t="shared" si="13"/>
        <v>0</v>
      </c>
      <c r="AA13" s="193">
        <v>0</v>
      </c>
      <c r="AB13" s="238">
        <f t="shared" si="14"/>
        <v>0</v>
      </c>
      <c r="AC13" s="193">
        <v>0</v>
      </c>
      <c r="AD13" s="238">
        <f t="shared" si="15"/>
        <v>0</v>
      </c>
      <c r="AE13" s="193">
        <v>0</v>
      </c>
      <c r="AF13" s="238">
        <f t="shared" si="16"/>
        <v>0</v>
      </c>
      <c r="AG13" s="193">
        <v>0</v>
      </c>
      <c r="AH13" s="238">
        <f t="shared" si="17"/>
        <v>0</v>
      </c>
      <c r="AI13" s="193">
        <v>0</v>
      </c>
      <c r="AJ13" s="238">
        <f t="shared" si="18"/>
        <v>0</v>
      </c>
      <c r="AK13" s="193">
        <v>0</v>
      </c>
      <c r="AL13" s="238">
        <f t="shared" si="19"/>
        <v>0</v>
      </c>
      <c r="AM13" s="193">
        <v>0</v>
      </c>
      <c r="AN13" s="238">
        <f t="shared" si="20"/>
        <v>0</v>
      </c>
      <c r="AO13" s="193">
        <v>0</v>
      </c>
      <c r="AP13" s="238">
        <f t="shared" si="21"/>
        <v>0</v>
      </c>
      <c r="AQ13" s="193">
        <v>0</v>
      </c>
      <c r="AR13" s="238">
        <f t="shared" si="22"/>
        <v>0</v>
      </c>
      <c r="AS13" s="193">
        <v>0</v>
      </c>
      <c r="AT13" s="238">
        <f t="shared" si="23"/>
        <v>0</v>
      </c>
      <c r="AU13" s="193">
        <v>0</v>
      </c>
      <c r="AV13" s="238">
        <f t="shared" si="24"/>
        <v>0</v>
      </c>
      <c r="AW13" s="193">
        <v>0</v>
      </c>
      <c r="AX13" s="238">
        <f t="shared" si="25"/>
        <v>0</v>
      </c>
      <c r="AY13" s="193">
        <v>0</v>
      </c>
      <c r="AZ13" s="238">
        <f t="shared" si="26"/>
        <v>0</v>
      </c>
      <c r="BA13" s="193">
        <v>0</v>
      </c>
      <c r="BB13" s="238">
        <f t="shared" si="27"/>
        <v>0</v>
      </c>
      <c r="BC13" s="193">
        <v>0</v>
      </c>
      <c r="BD13" s="238">
        <f t="shared" si="28"/>
        <v>0</v>
      </c>
      <c r="BE13" s="193">
        <v>0</v>
      </c>
      <c r="BF13" s="238">
        <f t="shared" si="29"/>
        <v>0</v>
      </c>
      <c r="BG13" s="193">
        <v>0</v>
      </c>
      <c r="BH13" s="238">
        <f t="shared" si="30"/>
        <v>0</v>
      </c>
      <c r="BI13" s="193">
        <v>0</v>
      </c>
      <c r="BJ13" s="238">
        <f t="shared" si="31"/>
        <v>0</v>
      </c>
      <c r="BK13" s="193">
        <v>0</v>
      </c>
      <c r="BL13" s="238">
        <f t="shared" si="32"/>
        <v>0</v>
      </c>
      <c r="BM13" s="193">
        <v>0</v>
      </c>
      <c r="BN13" s="238">
        <f t="shared" si="33"/>
        <v>0</v>
      </c>
      <c r="BO13" s="193">
        <v>0</v>
      </c>
      <c r="BP13" s="238">
        <f t="shared" si="34"/>
        <v>0</v>
      </c>
      <c r="BQ13" s="193">
        <v>0</v>
      </c>
      <c r="BR13" s="238">
        <f t="shared" si="35"/>
        <v>0</v>
      </c>
      <c r="BS13" s="225"/>
      <c r="BT13" s="239">
        <f t="shared" si="36"/>
        <v>585.17000000000007</v>
      </c>
      <c r="BU13" s="238">
        <f t="shared" si="1"/>
        <v>43009.995000000003</v>
      </c>
    </row>
    <row r="14" spans="1:73" ht="14.25">
      <c r="A14" s="241">
        <v>1948</v>
      </c>
      <c r="B14" s="240">
        <f t="shared" si="0"/>
        <v>72.5</v>
      </c>
      <c r="C14" s="193">
        <v>0</v>
      </c>
      <c r="D14" s="238">
        <f t="shared" si="2"/>
        <v>0</v>
      </c>
      <c r="E14" s="193">
        <v>0</v>
      </c>
      <c r="F14" s="238">
        <f t="shared" si="3"/>
        <v>0</v>
      </c>
      <c r="G14" s="193">
        <v>0</v>
      </c>
      <c r="H14" s="238">
        <f t="shared" si="4"/>
        <v>0</v>
      </c>
      <c r="I14" s="193">
        <v>0</v>
      </c>
      <c r="J14" s="238">
        <f t="shared" si="5"/>
        <v>0</v>
      </c>
      <c r="K14" s="193">
        <v>0</v>
      </c>
      <c r="L14" s="238">
        <f t="shared" si="6"/>
        <v>0</v>
      </c>
      <c r="M14" s="193">
        <v>0</v>
      </c>
      <c r="N14" s="238">
        <f t="shared" si="7"/>
        <v>0</v>
      </c>
      <c r="O14" s="193">
        <v>0</v>
      </c>
      <c r="P14" s="238">
        <f t="shared" si="8"/>
        <v>0</v>
      </c>
      <c r="Q14" s="193">
        <v>0</v>
      </c>
      <c r="R14" s="238">
        <f t="shared" si="9"/>
        <v>0</v>
      </c>
      <c r="S14" s="193">
        <v>944.39999999999998</v>
      </c>
      <c r="T14" s="238">
        <f t="shared" si="10"/>
        <v>68469</v>
      </c>
      <c r="U14" s="193">
        <v>0</v>
      </c>
      <c r="V14" s="238">
        <f t="shared" si="11"/>
        <v>0</v>
      </c>
      <c r="W14" s="193">
        <v>0</v>
      </c>
      <c r="X14" s="238">
        <f t="shared" si="12"/>
        <v>0</v>
      </c>
      <c r="Y14" s="193">
        <v>0</v>
      </c>
      <c r="Z14" s="238">
        <f t="shared" si="13"/>
        <v>0</v>
      </c>
      <c r="AA14" s="193">
        <v>0</v>
      </c>
      <c r="AB14" s="238">
        <f t="shared" si="14"/>
        <v>0</v>
      </c>
      <c r="AC14" s="193">
        <v>0</v>
      </c>
      <c r="AD14" s="238">
        <f t="shared" si="15"/>
        <v>0</v>
      </c>
      <c r="AE14" s="193">
        <v>0</v>
      </c>
      <c r="AF14" s="238">
        <f t="shared" si="16"/>
        <v>0</v>
      </c>
      <c r="AG14" s="193">
        <v>0</v>
      </c>
      <c r="AH14" s="238">
        <f t="shared" si="17"/>
        <v>0</v>
      </c>
      <c r="AI14" s="193">
        <v>0</v>
      </c>
      <c r="AJ14" s="238">
        <f t="shared" si="18"/>
        <v>0</v>
      </c>
      <c r="AK14" s="193">
        <v>0</v>
      </c>
      <c r="AL14" s="238">
        <f t="shared" si="19"/>
        <v>0</v>
      </c>
      <c r="AM14" s="193">
        <v>0</v>
      </c>
      <c r="AN14" s="238">
        <f t="shared" si="20"/>
        <v>0</v>
      </c>
      <c r="AO14" s="193">
        <v>0</v>
      </c>
      <c r="AP14" s="238">
        <f t="shared" si="21"/>
        <v>0</v>
      </c>
      <c r="AQ14" s="193">
        <v>0</v>
      </c>
      <c r="AR14" s="238">
        <f t="shared" si="22"/>
        <v>0</v>
      </c>
      <c r="AS14" s="193">
        <v>0</v>
      </c>
      <c r="AT14" s="238">
        <f t="shared" si="23"/>
        <v>0</v>
      </c>
      <c r="AU14" s="193">
        <v>0</v>
      </c>
      <c r="AV14" s="238">
        <f t="shared" si="24"/>
        <v>0</v>
      </c>
      <c r="AW14" s="193">
        <v>0</v>
      </c>
      <c r="AX14" s="238">
        <f t="shared" si="25"/>
        <v>0</v>
      </c>
      <c r="AY14" s="193">
        <v>0</v>
      </c>
      <c r="AZ14" s="238">
        <f t="shared" si="26"/>
        <v>0</v>
      </c>
      <c r="BA14" s="193">
        <v>0</v>
      </c>
      <c r="BB14" s="238">
        <f t="shared" si="27"/>
        <v>0</v>
      </c>
      <c r="BC14" s="193">
        <v>0</v>
      </c>
      <c r="BD14" s="238">
        <f t="shared" si="28"/>
        <v>0</v>
      </c>
      <c r="BE14" s="193">
        <v>0</v>
      </c>
      <c r="BF14" s="238">
        <f t="shared" si="29"/>
        <v>0</v>
      </c>
      <c r="BG14" s="193">
        <v>0</v>
      </c>
      <c r="BH14" s="238">
        <f t="shared" si="30"/>
        <v>0</v>
      </c>
      <c r="BI14" s="193">
        <v>0</v>
      </c>
      <c r="BJ14" s="238">
        <f t="shared" si="31"/>
        <v>0</v>
      </c>
      <c r="BK14" s="193">
        <v>0</v>
      </c>
      <c r="BL14" s="238">
        <f t="shared" si="32"/>
        <v>0</v>
      </c>
      <c r="BM14" s="193">
        <v>0</v>
      </c>
      <c r="BN14" s="238">
        <f t="shared" si="33"/>
        <v>0</v>
      </c>
      <c r="BO14" s="193">
        <v>0</v>
      </c>
      <c r="BP14" s="238">
        <f t="shared" si="34"/>
        <v>0</v>
      </c>
      <c r="BQ14" s="193">
        <v>0</v>
      </c>
      <c r="BR14" s="238">
        <f t="shared" si="35"/>
        <v>0</v>
      </c>
      <c r="BS14" s="225"/>
      <c r="BT14" s="239">
        <f t="shared" si="36"/>
        <v>944.39999999999998</v>
      </c>
      <c r="BU14" s="238">
        <f t="shared" si="1"/>
        <v>68469</v>
      </c>
    </row>
    <row r="15" spans="1:73" ht="14.25">
      <c r="A15" s="241">
        <v>1949</v>
      </c>
      <c r="B15" s="240">
        <f t="shared" si="0"/>
        <v>71.5</v>
      </c>
      <c r="C15" s="193">
        <v>0</v>
      </c>
      <c r="D15" s="238">
        <f t="shared" si="2"/>
        <v>0</v>
      </c>
      <c r="E15" s="193">
        <v>0</v>
      </c>
      <c r="F15" s="238">
        <f t="shared" si="3"/>
        <v>0</v>
      </c>
      <c r="G15" s="193">
        <v>0</v>
      </c>
      <c r="H15" s="238">
        <f t="shared" si="4"/>
        <v>0</v>
      </c>
      <c r="I15" s="193">
        <v>0</v>
      </c>
      <c r="J15" s="238">
        <f t="shared" si="5"/>
        <v>0</v>
      </c>
      <c r="K15" s="193">
        <v>0</v>
      </c>
      <c r="L15" s="238">
        <f t="shared" si="6"/>
        <v>0</v>
      </c>
      <c r="M15" s="193">
        <v>0</v>
      </c>
      <c r="N15" s="238">
        <f t="shared" si="7"/>
        <v>0</v>
      </c>
      <c r="O15" s="193">
        <v>0</v>
      </c>
      <c r="P15" s="238">
        <f t="shared" si="8"/>
        <v>0</v>
      </c>
      <c r="Q15" s="193">
        <v>0</v>
      </c>
      <c r="R15" s="238">
        <f t="shared" si="9"/>
        <v>0</v>
      </c>
      <c r="S15" s="193">
        <v>0</v>
      </c>
      <c r="T15" s="238">
        <f t="shared" si="10"/>
        <v>0</v>
      </c>
      <c r="U15" s="193">
        <v>0</v>
      </c>
      <c r="V15" s="238">
        <f t="shared" si="11"/>
        <v>0</v>
      </c>
      <c r="W15" s="193">
        <v>0</v>
      </c>
      <c r="X15" s="238">
        <f t="shared" si="12"/>
        <v>0</v>
      </c>
      <c r="Y15" s="193">
        <v>0</v>
      </c>
      <c r="Z15" s="238">
        <f t="shared" si="13"/>
        <v>0</v>
      </c>
      <c r="AA15" s="193">
        <v>0</v>
      </c>
      <c r="AB15" s="238">
        <f t="shared" si="14"/>
        <v>0</v>
      </c>
      <c r="AC15" s="193">
        <v>0</v>
      </c>
      <c r="AD15" s="238">
        <f t="shared" si="15"/>
        <v>0</v>
      </c>
      <c r="AE15" s="193">
        <v>0</v>
      </c>
      <c r="AF15" s="238">
        <f t="shared" si="16"/>
        <v>0</v>
      </c>
      <c r="AG15" s="193">
        <v>0</v>
      </c>
      <c r="AH15" s="238">
        <f t="shared" si="17"/>
        <v>0</v>
      </c>
      <c r="AI15" s="193">
        <v>0</v>
      </c>
      <c r="AJ15" s="238">
        <f t="shared" si="18"/>
        <v>0</v>
      </c>
      <c r="AK15" s="193">
        <v>0</v>
      </c>
      <c r="AL15" s="238">
        <f t="shared" si="19"/>
        <v>0</v>
      </c>
      <c r="AM15" s="193">
        <v>0</v>
      </c>
      <c r="AN15" s="238">
        <f t="shared" si="20"/>
        <v>0</v>
      </c>
      <c r="AO15" s="193">
        <v>0</v>
      </c>
      <c r="AP15" s="238">
        <f t="shared" si="21"/>
        <v>0</v>
      </c>
      <c r="AQ15" s="193">
        <v>0</v>
      </c>
      <c r="AR15" s="238">
        <f t="shared" si="22"/>
        <v>0</v>
      </c>
      <c r="AS15" s="193">
        <v>0</v>
      </c>
      <c r="AT15" s="238">
        <f t="shared" si="23"/>
        <v>0</v>
      </c>
      <c r="AU15" s="193">
        <v>0</v>
      </c>
      <c r="AV15" s="238">
        <f t="shared" si="24"/>
        <v>0</v>
      </c>
      <c r="AW15" s="193">
        <v>0</v>
      </c>
      <c r="AX15" s="238">
        <f t="shared" si="25"/>
        <v>0</v>
      </c>
      <c r="AY15" s="193">
        <v>0</v>
      </c>
      <c r="AZ15" s="238">
        <f t="shared" si="26"/>
        <v>0</v>
      </c>
      <c r="BA15" s="193">
        <v>0</v>
      </c>
      <c r="BB15" s="238">
        <f t="shared" si="27"/>
        <v>0</v>
      </c>
      <c r="BC15" s="193">
        <v>0</v>
      </c>
      <c r="BD15" s="238">
        <f t="shared" si="28"/>
        <v>0</v>
      </c>
      <c r="BE15" s="193">
        <v>0</v>
      </c>
      <c r="BF15" s="238">
        <f t="shared" si="29"/>
        <v>0</v>
      </c>
      <c r="BG15" s="193">
        <v>0</v>
      </c>
      <c r="BH15" s="238">
        <f t="shared" si="30"/>
        <v>0</v>
      </c>
      <c r="BI15" s="193">
        <v>0</v>
      </c>
      <c r="BJ15" s="238">
        <f t="shared" si="31"/>
        <v>0</v>
      </c>
      <c r="BK15" s="193">
        <v>0</v>
      </c>
      <c r="BL15" s="238">
        <f t="shared" si="32"/>
        <v>0</v>
      </c>
      <c r="BM15" s="193">
        <v>0</v>
      </c>
      <c r="BN15" s="238">
        <f t="shared" si="33"/>
        <v>0</v>
      </c>
      <c r="BO15" s="193">
        <v>0</v>
      </c>
      <c r="BP15" s="238">
        <f t="shared" si="34"/>
        <v>0</v>
      </c>
      <c r="BQ15" s="193">
        <v>0</v>
      </c>
      <c r="BR15" s="238">
        <f t="shared" si="35"/>
        <v>0</v>
      </c>
      <c r="BS15" s="225"/>
      <c r="BT15" s="239">
        <f t="shared" si="36"/>
        <v>0</v>
      </c>
      <c r="BU15" s="238">
        <f t="shared" si="1"/>
        <v>0</v>
      </c>
    </row>
    <row r="16" spans="1:73" ht="14.25">
      <c r="A16" s="241">
        <v>1950</v>
      </c>
      <c r="B16" s="240">
        <f t="shared" si="0"/>
        <v>70.5</v>
      </c>
      <c r="C16" s="193">
        <v>0</v>
      </c>
      <c r="D16" s="238">
        <f t="shared" si="2"/>
        <v>0</v>
      </c>
      <c r="E16" s="193">
        <v>2672.1999999999998</v>
      </c>
      <c r="F16" s="238">
        <f t="shared" si="3"/>
        <v>188390.09999999998</v>
      </c>
      <c r="G16" s="193">
        <v>0</v>
      </c>
      <c r="H16" s="238">
        <f t="shared" si="4"/>
        <v>0</v>
      </c>
      <c r="I16" s="193">
        <v>0</v>
      </c>
      <c r="J16" s="238">
        <f t="shared" si="5"/>
        <v>0</v>
      </c>
      <c r="K16" s="193">
        <v>0</v>
      </c>
      <c r="L16" s="238">
        <f t="shared" si="6"/>
        <v>0</v>
      </c>
      <c r="M16" s="193">
        <v>0</v>
      </c>
      <c r="N16" s="238">
        <f t="shared" si="7"/>
        <v>0</v>
      </c>
      <c r="O16" s="193">
        <v>0</v>
      </c>
      <c r="P16" s="238">
        <f t="shared" si="8"/>
        <v>0</v>
      </c>
      <c r="Q16" s="193">
        <v>0</v>
      </c>
      <c r="R16" s="238">
        <f t="shared" si="9"/>
        <v>0</v>
      </c>
      <c r="S16" s="193">
        <v>0</v>
      </c>
      <c r="T16" s="238">
        <f t="shared" si="10"/>
        <v>0</v>
      </c>
      <c r="U16" s="193">
        <v>0</v>
      </c>
      <c r="V16" s="238">
        <f t="shared" si="11"/>
        <v>0</v>
      </c>
      <c r="W16" s="193">
        <v>0</v>
      </c>
      <c r="X16" s="238">
        <f t="shared" si="12"/>
        <v>0</v>
      </c>
      <c r="Y16" s="193">
        <v>0</v>
      </c>
      <c r="Z16" s="238">
        <f t="shared" si="13"/>
        <v>0</v>
      </c>
      <c r="AA16" s="193">
        <v>0</v>
      </c>
      <c r="AB16" s="238">
        <f t="shared" si="14"/>
        <v>0</v>
      </c>
      <c r="AC16" s="193">
        <v>0</v>
      </c>
      <c r="AD16" s="238">
        <f t="shared" si="15"/>
        <v>0</v>
      </c>
      <c r="AE16" s="193">
        <v>0</v>
      </c>
      <c r="AF16" s="238">
        <f t="shared" si="16"/>
        <v>0</v>
      </c>
      <c r="AG16" s="193">
        <v>0</v>
      </c>
      <c r="AH16" s="238">
        <f t="shared" si="17"/>
        <v>0</v>
      </c>
      <c r="AI16" s="193">
        <v>0</v>
      </c>
      <c r="AJ16" s="238">
        <f t="shared" si="18"/>
        <v>0</v>
      </c>
      <c r="AK16" s="193">
        <v>0</v>
      </c>
      <c r="AL16" s="238">
        <f t="shared" si="19"/>
        <v>0</v>
      </c>
      <c r="AM16" s="193">
        <v>0</v>
      </c>
      <c r="AN16" s="238">
        <f t="shared" si="20"/>
        <v>0</v>
      </c>
      <c r="AO16" s="193">
        <v>0</v>
      </c>
      <c r="AP16" s="238">
        <f t="shared" si="21"/>
        <v>0</v>
      </c>
      <c r="AQ16" s="193">
        <v>0</v>
      </c>
      <c r="AR16" s="238">
        <f t="shared" si="22"/>
        <v>0</v>
      </c>
      <c r="AS16" s="193">
        <v>0</v>
      </c>
      <c r="AT16" s="238">
        <f t="shared" si="23"/>
        <v>0</v>
      </c>
      <c r="AU16" s="193">
        <v>0</v>
      </c>
      <c r="AV16" s="238">
        <f t="shared" si="24"/>
        <v>0</v>
      </c>
      <c r="AW16" s="193">
        <v>0</v>
      </c>
      <c r="AX16" s="238">
        <f t="shared" si="25"/>
        <v>0</v>
      </c>
      <c r="AY16" s="193">
        <v>0</v>
      </c>
      <c r="AZ16" s="238">
        <f t="shared" si="26"/>
        <v>0</v>
      </c>
      <c r="BA16" s="193">
        <v>0</v>
      </c>
      <c r="BB16" s="238">
        <f t="shared" si="27"/>
        <v>0</v>
      </c>
      <c r="BC16" s="193">
        <v>0</v>
      </c>
      <c r="BD16" s="238">
        <f t="shared" si="28"/>
        <v>0</v>
      </c>
      <c r="BE16" s="193">
        <v>0</v>
      </c>
      <c r="BF16" s="238">
        <f t="shared" si="29"/>
        <v>0</v>
      </c>
      <c r="BG16" s="193">
        <v>0</v>
      </c>
      <c r="BH16" s="238">
        <f t="shared" si="30"/>
        <v>0</v>
      </c>
      <c r="BI16" s="193">
        <v>0</v>
      </c>
      <c r="BJ16" s="238">
        <f t="shared" si="31"/>
        <v>0</v>
      </c>
      <c r="BK16" s="193">
        <v>0</v>
      </c>
      <c r="BL16" s="238">
        <f t="shared" si="32"/>
        <v>0</v>
      </c>
      <c r="BM16" s="193">
        <v>0</v>
      </c>
      <c r="BN16" s="238">
        <f t="shared" si="33"/>
        <v>0</v>
      </c>
      <c r="BO16" s="193">
        <v>0</v>
      </c>
      <c r="BP16" s="238">
        <f t="shared" si="34"/>
        <v>0</v>
      </c>
      <c r="BQ16" s="193">
        <v>0</v>
      </c>
      <c r="BR16" s="238">
        <f t="shared" si="35"/>
        <v>0</v>
      </c>
      <c r="BS16" s="225"/>
      <c r="BT16" s="239">
        <f t="shared" si="36"/>
        <v>2672.1999999999998</v>
      </c>
      <c r="BU16" s="238">
        <f t="shared" si="1"/>
        <v>188390.09999999998</v>
      </c>
    </row>
    <row r="17" spans="1:73" ht="14.25">
      <c r="A17" s="241">
        <v>1951</v>
      </c>
      <c r="B17" s="240">
        <f t="shared" si="0"/>
        <v>69.5</v>
      </c>
      <c r="C17" s="193">
        <v>0</v>
      </c>
      <c r="D17" s="238">
        <f t="shared" si="2"/>
        <v>0</v>
      </c>
      <c r="E17" s="193">
        <v>0</v>
      </c>
      <c r="F17" s="238">
        <f t="shared" si="3"/>
        <v>0</v>
      </c>
      <c r="G17" s="193">
        <v>0</v>
      </c>
      <c r="H17" s="238">
        <f t="shared" si="4"/>
        <v>0</v>
      </c>
      <c r="I17" s="193">
        <v>0</v>
      </c>
      <c r="J17" s="238">
        <f t="shared" si="5"/>
        <v>0</v>
      </c>
      <c r="K17" s="193">
        <v>0</v>
      </c>
      <c r="L17" s="238">
        <f t="shared" si="6"/>
        <v>0</v>
      </c>
      <c r="M17" s="193">
        <v>0</v>
      </c>
      <c r="N17" s="238">
        <f t="shared" si="7"/>
        <v>0</v>
      </c>
      <c r="O17" s="193">
        <v>0</v>
      </c>
      <c r="P17" s="238">
        <f t="shared" si="8"/>
        <v>0</v>
      </c>
      <c r="Q17" s="193">
        <v>0</v>
      </c>
      <c r="R17" s="238">
        <f t="shared" si="9"/>
        <v>0</v>
      </c>
      <c r="S17" s="193">
        <v>0</v>
      </c>
      <c r="T17" s="238">
        <f t="shared" si="10"/>
        <v>0</v>
      </c>
      <c r="U17" s="193">
        <v>0</v>
      </c>
      <c r="V17" s="238">
        <f t="shared" si="11"/>
        <v>0</v>
      </c>
      <c r="W17" s="193">
        <v>0</v>
      </c>
      <c r="X17" s="238">
        <f t="shared" si="12"/>
        <v>0</v>
      </c>
      <c r="Y17" s="193">
        <v>0</v>
      </c>
      <c r="Z17" s="238">
        <f t="shared" si="13"/>
        <v>0</v>
      </c>
      <c r="AA17" s="193">
        <v>0</v>
      </c>
      <c r="AB17" s="238">
        <f t="shared" si="14"/>
        <v>0</v>
      </c>
      <c r="AC17" s="193">
        <v>0</v>
      </c>
      <c r="AD17" s="238">
        <f t="shared" si="15"/>
        <v>0</v>
      </c>
      <c r="AE17" s="193">
        <v>0</v>
      </c>
      <c r="AF17" s="238">
        <f t="shared" si="16"/>
        <v>0</v>
      </c>
      <c r="AG17" s="193">
        <v>0</v>
      </c>
      <c r="AH17" s="238">
        <f t="shared" si="17"/>
        <v>0</v>
      </c>
      <c r="AI17" s="193">
        <v>0</v>
      </c>
      <c r="AJ17" s="238">
        <f t="shared" si="18"/>
        <v>0</v>
      </c>
      <c r="AK17" s="193">
        <v>0</v>
      </c>
      <c r="AL17" s="238">
        <f t="shared" si="19"/>
        <v>0</v>
      </c>
      <c r="AM17" s="193">
        <v>25373.130000000001</v>
      </c>
      <c r="AN17" s="238">
        <f t="shared" si="20"/>
        <v>1763432.5350000001</v>
      </c>
      <c r="AO17" s="193">
        <v>0</v>
      </c>
      <c r="AP17" s="238">
        <f t="shared" si="21"/>
        <v>0</v>
      </c>
      <c r="AQ17" s="193">
        <v>0</v>
      </c>
      <c r="AR17" s="238">
        <f t="shared" si="22"/>
        <v>0</v>
      </c>
      <c r="AS17" s="193">
        <v>0</v>
      </c>
      <c r="AT17" s="238">
        <f t="shared" si="23"/>
        <v>0</v>
      </c>
      <c r="AU17" s="193">
        <v>0</v>
      </c>
      <c r="AV17" s="238">
        <f t="shared" si="24"/>
        <v>0</v>
      </c>
      <c r="AW17" s="193">
        <v>0</v>
      </c>
      <c r="AX17" s="238">
        <f t="shared" si="25"/>
        <v>0</v>
      </c>
      <c r="AY17" s="193">
        <v>0</v>
      </c>
      <c r="AZ17" s="238">
        <f t="shared" si="26"/>
        <v>0</v>
      </c>
      <c r="BA17" s="193">
        <v>0</v>
      </c>
      <c r="BB17" s="238">
        <f t="shared" si="27"/>
        <v>0</v>
      </c>
      <c r="BC17" s="193">
        <v>0</v>
      </c>
      <c r="BD17" s="238">
        <f t="shared" si="28"/>
        <v>0</v>
      </c>
      <c r="BE17" s="193">
        <v>0</v>
      </c>
      <c r="BF17" s="238">
        <f t="shared" si="29"/>
        <v>0</v>
      </c>
      <c r="BG17" s="193">
        <v>0</v>
      </c>
      <c r="BH17" s="238">
        <f t="shared" si="30"/>
        <v>0</v>
      </c>
      <c r="BI17" s="193">
        <v>0</v>
      </c>
      <c r="BJ17" s="238">
        <f t="shared" si="31"/>
        <v>0</v>
      </c>
      <c r="BK17" s="193">
        <v>0</v>
      </c>
      <c r="BL17" s="238">
        <f t="shared" si="32"/>
        <v>0</v>
      </c>
      <c r="BM17" s="193">
        <v>0</v>
      </c>
      <c r="BN17" s="238">
        <f t="shared" si="33"/>
        <v>0</v>
      </c>
      <c r="BO17" s="193">
        <v>0</v>
      </c>
      <c r="BP17" s="238">
        <f t="shared" si="34"/>
        <v>0</v>
      </c>
      <c r="BQ17" s="193">
        <v>0</v>
      </c>
      <c r="BR17" s="238">
        <f t="shared" si="35"/>
        <v>0</v>
      </c>
      <c r="BS17" s="225"/>
      <c r="BT17" s="239">
        <f t="shared" si="36"/>
        <v>25373.130000000001</v>
      </c>
      <c r="BU17" s="238">
        <f t="shared" si="1"/>
        <v>1763432.5350000001</v>
      </c>
    </row>
    <row r="18" spans="1:73" ht="14.25">
      <c r="A18" s="241">
        <v>1952</v>
      </c>
      <c r="B18" s="240">
        <f t="shared" si="0"/>
        <v>68.5</v>
      </c>
      <c r="C18" s="193">
        <v>0</v>
      </c>
      <c r="D18" s="238">
        <f t="shared" si="2"/>
        <v>0</v>
      </c>
      <c r="E18" s="193">
        <v>0</v>
      </c>
      <c r="F18" s="238">
        <f t="shared" si="3"/>
        <v>0</v>
      </c>
      <c r="G18" s="193">
        <v>0</v>
      </c>
      <c r="H18" s="238">
        <f t="shared" si="4"/>
        <v>0</v>
      </c>
      <c r="I18" s="193">
        <v>0</v>
      </c>
      <c r="J18" s="238">
        <f t="shared" si="5"/>
        <v>0</v>
      </c>
      <c r="K18" s="193">
        <v>0</v>
      </c>
      <c r="L18" s="238">
        <f t="shared" si="6"/>
        <v>0</v>
      </c>
      <c r="M18" s="193">
        <v>0</v>
      </c>
      <c r="N18" s="238">
        <f t="shared" si="7"/>
        <v>0</v>
      </c>
      <c r="O18" s="193">
        <v>0</v>
      </c>
      <c r="P18" s="238">
        <f t="shared" si="8"/>
        <v>0</v>
      </c>
      <c r="Q18" s="193">
        <v>0</v>
      </c>
      <c r="R18" s="238">
        <f t="shared" si="9"/>
        <v>0</v>
      </c>
      <c r="S18" s="193">
        <v>0</v>
      </c>
      <c r="T18" s="238">
        <f t="shared" si="10"/>
        <v>0</v>
      </c>
      <c r="U18" s="193">
        <v>0</v>
      </c>
      <c r="V18" s="238">
        <f t="shared" si="11"/>
        <v>0</v>
      </c>
      <c r="W18" s="193">
        <v>0</v>
      </c>
      <c r="X18" s="238">
        <f t="shared" si="12"/>
        <v>0</v>
      </c>
      <c r="Y18" s="193">
        <v>0</v>
      </c>
      <c r="Z18" s="238">
        <f t="shared" si="13"/>
        <v>0</v>
      </c>
      <c r="AA18" s="193">
        <v>0</v>
      </c>
      <c r="AB18" s="238">
        <f t="shared" si="14"/>
        <v>0</v>
      </c>
      <c r="AC18" s="193">
        <v>0</v>
      </c>
      <c r="AD18" s="238">
        <f t="shared" si="15"/>
        <v>0</v>
      </c>
      <c r="AE18" s="193">
        <v>0</v>
      </c>
      <c r="AF18" s="238">
        <f t="shared" si="16"/>
        <v>0</v>
      </c>
      <c r="AG18" s="193">
        <v>0</v>
      </c>
      <c r="AH18" s="238">
        <f t="shared" si="17"/>
        <v>0</v>
      </c>
      <c r="AI18" s="193">
        <v>0</v>
      </c>
      <c r="AJ18" s="238">
        <f t="shared" si="18"/>
        <v>0</v>
      </c>
      <c r="AK18" s="193">
        <v>0</v>
      </c>
      <c r="AL18" s="238">
        <f t="shared" si="19"/>
        <v>0</v>
      </c>
      <c r="AM18" s="193">
        <v>0</v>
      </c>
      <c r="AN18" s="238">
        <f t="shared" si="20"/>
        <v>0</v>
      </c>
      <c r="AO18" s="193">
        <v>0</v>
      </c>
      <c r="AP18" s="238">
        <f t="shared" si="21"/>
        <v>0</v>
      </c>
      <c r="AQ18" s="193">
        <v>0</v>
      </c>
      <c r="AR18" s="238">
        <f t="shared" si="22"/>
        <v>0</v>
      </c>
      <c r="AS18" s="193">
        <v>0</v>
      </c>
      <c r="AT18" s="238">
        <f t="shared" si="23"/>
        <v>0</v>
      </c>
      <c r="AU18" s="193">
        <v>0</v>
      </c>
      <c r="AV18" s="238">
        <f t="shared" si="24"/>
        <v>0</v>
      </c>
      <c r="AW18" s="193">
        <v>0</v>
      </c>
      <c r="AX18" s="238">
        <f t="shared" si="25"/>
        <v>0</v>
      </c>
      <c r="AY18" s="193">
        <v>0</v>
      </c>
      <c r="AZ18" s="238">
        <f t="shared" si="26"/>
        <v>0</v>
      </c>
      <c r="BA18" s="193">
        <v>0</v>
      </c>
      <c r="BB18" s="238">
        <f t="shared" si="27"/>
        <v>0</v>
      </c>
      <c r="BC18" s="193">
        <v>0</v>
      </c>
      <c r="BD18" s="238">
        <f t="shared" si="28"/>
        <v>0</v>
      </c>
      <c r="BE18" s="193">
        <v>0</v>
      </c>
      <c r="BF18" s="238">
        <f t="shared" si="29"/>
        <v>0</v>
      </c>
      <c r="BG18" s="193">
        <v>0</v>
      </c>
      <c r="BH18" s="238">
        <f t="shared" si="30"/>
        <v>0</v>
      </c>
      <c r="BI18" s="193">
        <v>0</v>
      </c>
      <c r="BJ18" s="238">
        <f t="shared" si="31"/>
        <v>0</v>
      </c>
      <c r="BK18" s="193">
        <v>0</v>
      </c>
      <c r="BL18" s="238">
        <f t="shared" si="32"/>
        <v>0</v>
      </c>
      <c r="BM18" s="193">
        <v>0</v>
      </c>
      <c r="BN18" s="238">
        <f t="shared" si="33"/>
        <v>0</v>
      </c>
      <c r="BO18" s="193">
        <v>0</v>
      </c>
      <c r="BP18" s="238">
        <f t="shared" si="34"/>
        <v>0</v>
      </c>
      <c r="BQ18" s="193">
        <v>0</v>
      </c>
      <c r="BR18" s="238">
        <f t="shared" si="35"/>
        <v>0</v>
      </c>
      <c r="BS18" s="225"/>
      <c r="BT18" s="239">
        <f t="shared" si="36"/>
        <v>0</v>
      </c>
      <c r="BU18" s="238">
        <f t="shared" si="1"/>
        <v>0</v>
      </c>
    </row>
    <row r="19" spans="1:73" ht="14.25">
      <c r="A19" s="241">
        <v>1953</v>
      </c>
      <c r="B19" s="240">
        <f t="shared" si="0"/>
        <v>67.5</v>
      </c>
      <c r="C19" s="193">
        <v>0</v>
      </c>
      <c r="D19" s="238">
        <f t="shared" si="2"/>
        <v>0</v>
      </c>
      <c r="E19" s="193">
        <v>354.13999999999999</v>
      </c>
      <c r="F19" s="238">
        <f t="shared" si="3"/>
        <v>23904.450000000001</v>
      </c>
      <c r="G19" s="193">
        <v>0</v>
      </c>
      <c r="H19" s="238">
        <f t="shared" si="4"/>
        <v>0</v>
      </c>
      <c r="I19" s="193">
        <v>0</v>
      </c>
      <c r="J19" s="238">
        <f t="shared" si="5"/>
        <v>0</v>
      </c>
      <c r="K19" s="193">
        <v>0</v>
      </c>
      <c r="L19" s="238">
        <f t="shared" si="6"/>
        <v>0</v>
      </c>
      <c r="M19" s="193">
        <v>0</v>
      </c>
      <c r="N19" s="238">
        <f t="shared" si="7"/>
        <v>0</v>
      </c>
      <c r="O19" s="193">
        <v>0</v>
      </c>
      <c r="P19" s="238">
        <f t="shared" si="8"/>
        <v>0</v>
      </c>
      <c r="Q19" s="193">
        <v>0</v>
      </c>
      <c r="R19" s="238">
        <f t="shared" si="9"/>
        <v>0</v>
      </c>
      <c r="S19" s="193">
        <v>0</v>
      </c>
      <c r="T19" s="238">
        <f t="shared" si="10"/>
        <v>0</v>
      </c>
      <c r="U19" s="193">
        <v>0</v>
      </c>
      <c r="V19" s="238">
        <f t="shared" si="11"/>
        <v>0</v>
      </c>
      <c r="W19" s="193">
        <v>0</v>
      </c>
      <c r="X19" s="238">
        <f t="shared" si="12"/>
        <v>0</v>
      </c>
      <c r="Y19" s="193">
        <v>0</v>
      </c>
      <c r="Z19" s="238">
        <f t="shared" si="13"/>
        <v>0</v>
      </c>
      <c r="AA19" s="193">
        <v>0</v>
      </c>
      <c r="AB19" s="238">
        <f t="shared" si="14"/>
        <v>0</v>
      </c>
      <c r="AC19" s="193">
        <v>0</v>
      </c>
      <c r="AD19" s="238">
        <f t="shared" si="15"/>
        <v>0</v>
      </c>
      <c r="AE19" s="193">
        <v>0</v>
      </c>
      <c r="AF19" s="238">
        <f t="shared" si="16"/>
        <v>0</v>
      </c>
      <c r="AG19" s="193">
        <v>0</v>
      </c>
      <c r="AH19" s="238">
        <f t="shared" si="17"/>
        <v>0</v>
      </c>
      <c r="AI19" s="193">
        <v>0</v>
      </c>
      <c r="AJ19" s="238">
        <f t="shared" si="18"/>
        <v>0</v>
      </c>
      <c r="AK19" s="193">
        <v>0</v>
      </c>
      <c r="AL19" s="238">
        <f t="shared" si="19"/>
        <v>0</v>
      </c>
      <c r="AM19" s="193">
        <v>0</v>
      </c>
      <c r="AN19" s="238">
        <f t="shared" si="20"/>
        <v>0</v>
      </c>
      <c r="AO19" s="193">
        <v>0</v>
      </c>
      <c r="AP19" s="238">
        <f t="shared" si="21"/>
        <v>0</v>
      </c>
      <c r="AQ19" s="193">
        <v>0</v>
      </c>
      <c r="AR19" s="238">
        <f t="shared" si="22"/>
        <v>0</v>
      </c>
      <c r="AS19" s="193">
        <v>0</v>
      </c>
      <c r="AT19" s="238">
        <f t="shared" si="23"/>
        <v>0</v>
      </c>
      <c r="AU19" s="193">
        <v>0</v>
      </c>
      <c r="AV19" s="238">
        <f t="shared" si="24"/>
        <v>0</v>
      </c>
      <c r="AW19" s="193">
        <v>0</v>
      </c>
      <c r="AX19" s="238">
        <f t="shared" si="25"/>
        <v>0</v>
      </c>
      <c r="AY19" s="193">
        <v>0</v>
      </c>
      <c r="AZ19" s="238">
        <f t="shared" si="26"/>
        <v>0</v>
      </c>
      <c r="BA19" s="193">
        <v>0</v>
      </c>
      <c r="BB19" s="238">
        <f t="shared" si="27"/>
        <v>0</v>
      </c>
      <c r="BC19" s="193">
        <v>0</v>
      </c>
      <c r="BD19" s="238">
        <f t="shared" si="28"/>
        <v>0</v>
      </c>
      <c r="BE19" s="193">
        <v>0</v>
      </c>
      <c r="BF19" s="238">
        <f t="shared" si="29"/>
        <v>0</v>
      </c>
      <c r="BG19" s="193">
        <v>0</v>
      </c>
      <c r="BH19" s="238">
        <f t="shared" si="30"/>
        <v>0</v>
      </c>
      <c r="BI19" s="193">
        <v>0</v>
      </c>
      <c r="BJ19" s="238">
        <f t="shared" si="31"/>
        <v>0</v>
      </c>
      <c r="BK19" s="193">
        <v>0</v>
      </c>
      <c r="BL19" s="238">
        <f t="shared" si="32"/>
        <v>0</v>
      </c>
      <c r="BM19" s="193">
        <v>0</v>
      </c>
      <c r="BN19" s="238">
        <f t="shared" si="33"/>
        <v>0</v>
      </c>
      <c r="BO19" s="193">
        <v>0</v>
      </c>
      <c r="BP19" s="238">
        <f t="shared" si="34"/>
        <v>0</v>
      </c>
      <c r="BQ19" s="193">
        <v>0</v>
      </c>
      <c r="BR19" s="238">
        <f t="shared" si="35"/>
        <v>0</v>
      </c>
      <c r="BS19" s="225"/>
      <c r="BT19" s="239">
        <f t="shared" si="36"/>
        <v>354.13999999999999</v>
      </c>
      <c r="BU19" s="238">
        <f t="shared" si="1"/>
        <v>23904.450000000001</v>
      </c>
    </row>
    <row r="20" spans="1:73" ht="14.25">
      <c r="A20" s="241">
        <v>1954</v>
      </c>
      <c r="B20" s="240">
        <f t="shared" si="0"/>
        <v>66.5</v>
      </c>
      <c r="C20" s="193">
        <v>0</v>
      </c>
      <c r="D20" s="238">
        <f t="shared" si="2"/>
        <v>0</v>
      </c>
      <c r="E20" s="193">
        <v>12280.290000000001</v>
      </c>
      <c r="F20" s="238">
        <f t="shared" si="3"/>
        <v>816639.28500000003</v>
      </c>
      <c r="G20" s="193">
        <v>0</v>
      </c>
      <c r="H20" s="238">
        <f t="shared" si="4"/>
        <v>0</v>
      </c>
      <c r="I20" s="193">
        <v>0</v>
      </c>
      <c r="J20" s="238">
        <f t="shared" si="5"/>
        <v>0</v>
      </c>
      <c r="K20" s="193">
        <v>0</v>
      </c>
      <c r="L20" s="238">
        <f t="shared" si="6"/>
        <v>0</v>
      </c>
      <c r="M20" s="193">
        <v>0</v>
      </c>
      <c r="N20" s="238">
        <f t="shared" si="7"/>
        <v>0</v>
      </c>
      <c r="O20" s="193">
        <v>0</v>
      </c>
      <c r="P20" s="238">
        <f t="shared" si="8"/>
        <v>0</v>
      </c>
      <c r="Q20" s="193">
        <v>0</v>
      </c>
      <c r="R20" s="238">
        <f t="shared" si="9"/>
        <v>0</v>
      </c>
      <c r="S20" s="193">
        <v>0</v>
      </c>
      <c r="T20" s="238">
        <f t="shared" si="10"/>
        <v>0</v>
      </c>
      <c r="U20" s="193">
        <v>0</v>
      </c>
      <c r="V20" s="238">
        <f t="shared" si="11"/>
        <v>0</v>
      </c>
      <c r="W20" s="193">
        <v>0</v>
      </c>
      <c r="X20" s="238">
        <f t="shared" si="12"/>
        <v>0</v>
      </c>
      <c r="Y20" s="193">
        <v>0</v>
      </c>
      <c r="Z20" s="238">
        <f t="shared" si="13"/>
        <v>0</v>
      </c>
      <c r="AA20" s="193">
        <v>0</v>
      </c>
      <c r="AB20" s="238">
        <f t="shared" si="14"/>
        <v>0</v>
      </c>
      <c r="AC20" s="193">
        <v>0</v>
      </c>
      <c r="AD20" s="238">
        <f t="shared" si="15"/>
        <v>0</v>
      </c>
      <c r="AE20" s="193">
        <v>0</v>
      </c>
      <c r="AF20" s="238">
        <f t="shared" si="16"/>
        <v>0</v>
      </c>
      <c r="AG20" s="193">
        <v>0</v>
      </c>
      <c r="AH20" s="238">
        <f t="shared" si="17"/>
        <v>0</v>
      </c>
      <c r="AI20" s="193">
        <v>0</v>
      </c>
      <c r="AJ20" s="238">
        <f t="shared" si="18"/>
        <v>0</v>
      </c>
      <c r="AK20" s="193">
        <v>0</v>
      </c>
      <c r="AL20" s="238">
        <f t="shared" si="19"/>
        <v>0</v>
      </c>
      <c r="AM20" s="193">
        <v>0</v>
      </c>
      <c r="AN20" s="238">
        <f t="shared" si="20"/>
        <v>0</v>
      </c>
      <c r="AO20" s="193">
        <v>0</v>
      </c>
      <c r="AP20" s="238">
        <f t="shared" si="21"/>
        <v>0</v>
      </c>
      <c r="AQ20" s="193">
        <v>0</v>
      </c>
      <c r="AR20" s="238">
        <f t="shared" si="22"/>
        <v>0</v>
      </c>
      <c r="AS20" s="193">
        <v>0</v>
      </c>
      <c r="AT20" s="238">
        <f t="shared" si="23"/>
        <v>0</v>
      </c>
      <c r="AU20" s="193">
        <v>0</v>
      </c>
      <c r="AV20" s="238">
        <f t="shared" si="24"/>
        <v>0</v>
      </c>
      <c r="AW20" s="193">
        <v>0</v>
      </c>
      <c r="AX20" s="238">
        <f t="shared" si="25"/>
        <v>0</v>
      </c>
      <c r="AY20" s="193">
        <v>0</v>
      </c>
      <c r="AZ20" s="238">
        <f t="shared" si="26"/>
        <v>0</v>
      </c>
      <c r="BA20" s="193">
        <v>0</v>
      </c>
      <c r="BB20" s="238">
        <f t="shared" si="27"/>
        <v>0</v>
      </c>
      <c r="BC20" s="193">
        <v>0</v>
      </c>
      <c r="BD20" s="238">
        <f t="shared" si="28"/>
        <v>0</v>
      </c>
      <c r="BE20" s="193">
        <v>0</v>
      </c>
      <c r="BF20" s="238">
        <f t="shared" si="29"/>
        <v>0</v>
      </c>
      <c r="BG20" s="193">
        <v>0</v>
      </c>
      <c r="BH20" s="238">
        <f t="shared" si="30"/>
        <v>0</v>
      </c>
      <c r="BI20" s="193">
        <v>0</v>
      </c>
      <c r="BJ20" s="238">
        <f t="shared" si="31"/>
        <v>0</v>
      </c>
      <c r="BK20" s="193">
        <v>0</v>
      </c>
      <c r="BL20" s="238">
        <f t="shared" si="32"/>
        <v>0</v>
      </c>
      <c r="BM20" s="193">
        <v>0</v>
      </c>
      <c r="BN20" s="238">
        <f t="shared" si="33"/>
        <v>0</v>
      </c>
      <c r="BO20" s="193">
        <v>0</v>
      </c>
      <c r="BP20" s="238">
        <f t="shared" si="34"/>
        <v>0</v>
      </c>
      <c r="BQ20" s="193">
        <v>0</v>
      </c>
      <c r="BR20" s="238">
        <f t="shared" si="35"/>
        <v>0</v>
      </c>
      <c r="BS20" s="225"/>
      <c r="BT20" s="239">
        <f t="shared" si="36"/>
        <v>12280.290000000001</v>
      </c>
      <c r="BU20" s="238">
        <f t="shared" si="1"/>
        <v>816639.28500000003</v>
      </c>
    </row>
    <row r="21" spans="1:73" ht="14.25">
      <c r="A21" s="241">
        <v>1955</v>
      </c>
      <c r="B21" s="240">
        <f t="shared" si="0"/>
        <v>65.5</v>
      </c>
      <c r="C21" s="193">
        <v>0</v>
      </c>
      <c r="D21" s="238">
        <f t="shared" si="2"/>
        <v>0</v>
      </c>
      <c r="E21" s="193">
        <v>0</v>
      </c>
      <c r="F21" s="238">
        <f t="shared" si="3"/>
        <v>0</v>
      </c>
      <c r="G21" s="193">
        <v>0</v>
      </c>
      <c r="H21" s="238">
        <f t="shared" si="4"/>
        <v>0</v>
      </c>
      <c r="I21" s="193">
        <v>0</v>
      </c>
      <c r="J21" s="238">
        <f t="shared" si="5"/>
        <v>0</v>
      </c>
      <c r="K21" s="193">
        <v>0</v>
      </c>
      <c r="L21" s="238">
        <f t="shared" si="6"/>
        <v>0</v>
      </c>
      <c r="M21" s="193">
        <v>0</v>
      </c>
      <c r="N21" s="238">
        <f t="shared" si="7"/>
        <v>0</v>
      </c>
      <c r="O21" s="193">
        <v>0</v>
      </c>
      <c r="P21" s="238">
        <f t="shared" si="8"/>
        <v>0</v>
      </c>
      <c r="Q21" s="193">
        <v>0</v>
      </c>
      <c r="R21" s="238">
        <f t="shared" si="9"/>
        <v>0</v>
      </c>
      <c r="S21" s="193">
        <v>0</v>
      </c>
      <c r="T21" s="238">
        <f t="shared" si="10"/>
        <v>0</v>
      </c>
      <c r="U21" s="193">
        <v>0</v>
      </c>
      <c r="V21" s="238">
        <f t="shared" si="11"/>
        <v>0</v>
      </c>
      <c r="W21" s="193">
        <v>0</v>
      </c>
      <c r="X21" s="238">
        <f t="shared" si="12"/>
        <v>0</v>
      </c>
      <c r="Y21" s="193">
        <v>0</v>
      </c>
      <c r="Z21" s="238">
        <f t="shared" si="13"/>
        <v>0</v>
      </c>
      <c r="AA21" s="193">
        <v>0</v>
      </c>
      <c r="AB21" s="238">
        <f t="shared" si="14"/>
        <v>0</v>
      </c>
      <c r="AC21" s="193">
        <v>0</v>
      </c>
      <c r="AD21" s="238">
        <f t="shared" si="15"/>
        <v>0</v>
      </c>
      <c r="AE21" s="193">
        <v>0</v>
      </c>
      <c r="AF21" s="238">
        <f t="shared" si="16"/>
        <v>0</v>
      </c>
      <c r="AG21" s="193">
        <v>0</v>
      </c>
      <c r="AH21" s="238">
        <f t="shared" si="17"/>
        <v>0</v>
      </c>
      <c r="AI21" s="193">
        <v>0</v>
      </c>
      <c r="AJ21" s="238">
        <f t="shared" si="18"/>
        <v>0</v>
      </c>
      <c r="AK21" s="193">
        <v>0</v>
      </c>
      <c r="AL21" s="238">
        <f t="shared" si="19"/>
        <v>0</v>
      </c>
      <c r="AM21" s="193">
        <v>0</v>
      </c>
      <c r="AN21" s="238">
        <f t="shared" si="20"/>
        <v>0</v>
      </c>
      <c r="AO21" s="193">
        <v>0</v>
      </c>
      <c r="AP21" s="238">
        <f t="shared" si="21"/>
        <v>0</v>
      </c>
      <c r="AQ21" s="193">
        <v>0</v>
      </c>
      <c r="AR21" s="238">
        <f t="shared" si="22"/>
        <v>0</v>
      </c>
      <c r="AS21" s="193">
        <v>0</v>
      </c>
      <c r="AT21" s="238">
        <f t="shared" si="23"/>
        <v>0</v>
      </c>
      <c r="AU21" s="193">
        <v>0</v>
      </c>
      <c r="AV21" s="238">
        <f t="shared" si="24"/>
        <v>0</v>
      </c>
      <c r="AW21" s="193">
        <v>0</v>
      </c>
      <c r="AX21" s="238">
        <f t="shared" si="25"/>
        <v>0</v>
      </c>
      <c r="AY21" s="193">
        <v>0</v>
      </c>
      <c r="AZ21" s="238">
        <f t="shared" si="26"/>
        <v>0</v>
      </c>
      <c r="BA21" s="193">
        <v>0</v>
      </c>
      <c r="BB21" s="238">
        <f t="shared" si="27"/>
        <v>0</v>
      </c>
      <c r="BC21" s="193">
        <v>0</v>
      </c>
      <c r="BD21" s="238">
        <f t="shared" si="28"/>
        <v>0</v>
      </c>
      <c r="BE21" s="193">
        <v>0</v>
      </c>
      <c r="BF21" s="238">
        <f t="shared" si="29"/>
        <v>0</v>
      </c>
      <c r="BG21" s="193">
        <v>0</v>
      </c>
      <c r="BH21" s="238">
        <f t="shared" si="30"/>
        <v>0</v>
      </c>
      <c r="BI21" s="193">
        <v>0</v>
      </c>
      <c r="BJ21" s="238">
        <f t="shared" si="31"/>
        <v>0</v>
      </c>
      <c r="BK21" s="193">
        <v>0</v>
      </c>
      <c r="BL21" s="238">
        <f t="shared" si="32"/>
        <v>0</v>
      </c>
      <c r="BM21" s="193">
        <v>0</v>
      </c>
      <c r="BN21" s="238">
        <f t="shared" si="33"/>
        <v>0</v>
      </c>
      <c r="BO21" s="193">
        <v>0</v>
      </c>
      <c r="BP21" s="238">
        <f t="shared" si="34"/>
        <v>0</v>
      </c>
      <c r="BQ21" s="193">
        <v>0</v>
      </c>
      <c r="BR21" s="238">
        <f t="shared" si="35"/>
        <v>0</v>
      </c>
      <c r="BS21" s="225"/>
      <c r="BT21" s="239">
        <f t="shared" si="36"/>
        <v>0</v>
      </c>
      <c r="BU21" s="238">
        <f t="shared" si="1"/>
        <v>0</v>
      </c>
    </row>
    <row r="22" spans="1:73" ht="14.25">
      <c r="A22" s="241">
        <v>1956</v>
      </c>
      <c r="B22" s="240">
        <f t="shared" si="0"/>
        <v>64.5</v>
      </c>
      <c r="C22" s="193">
        <v>0</v>
      </c>
      <c r="D22" s="238">
        <f t="shared" si="2"/>
        <v>0</v>
      </c>
      <c r="E22" s="193">
        <v>154.72</v>
      </c>
      <c r="F22" s="238">
        <f t="shared" si="3"/>
        <v>9979.4400000000005</v>
      </c>
      <c r="G22" s="193">
        <v>0</v>
      </c>
      <c r="H22" s="238">
        <f t="shared" si="4"/>
        <v>0</v>
      </c>
      <c r="I22" s="193">
        <v>0</v>
      </c>
      <c r="J22" s="238">
        <f t="shared" si="5"/>
        <v>0</v>
      </c>
      <c r="K22" s="193">
        <v>0</v>
      </c>
      <c r="L22" s="238">
        <f t="shared" si="6"/>
        <v>0</v>
      </c>
      <c r="M22" s="193">
        <v>0</v>
      </c>
      <c r="N22" s="238">
        <f t="shared" si="7"/>
        <v>0</v>
      </c>
      <c r="O22" s="193">
        <v>0</v>
      </c>
      <c r="P22" s="238">
        <f t="shared" si="8"/>
        <v>0</v>
      </c>
      <c r="Q22" s="193">
        <v>0</v>
      </c>
      <c r="R22" s="238">
        <f t="shared" si="9"/>
        <v>0</v>
      </c>
      <c r="S22" s="193">
        <v>0</v>
      </c>
      <c r="T22" s="238">
        <f t="shared" si="10"/>
        <v>0</v>
      </c>
      <c r="U22" s="193">
        <v>0</v>
      </c>
      <c r="V22" s="238">
        <f t="shared" si="11"/>
        <v>0</v>
      </c>
      <c r="W22" s="193">
        <v>0</v>
      </c>
      <c r="X22" s="238">
        <f t="shared" si="12"/>
        <v>0</v>
      </c>
      <c r="Y22" s="193">
        <v>0</v>
      </c>
      <c r="Z22" s="238">
        <f t="shared" si="13"/>
        <v>0</v>
      </c>
      <c r="AA22" s="193">
        <v>0</v>
      </c>
      <c r="AB22" s="238">
        <f t="shared" si="14"/>
        <v>0</v>
      </c>
      <c r="AC22" s="193">
        <v>0</v>
      </c>
      <c r="AD22" s="238">
        <f t="shared" si="15"/>
        <v>0</v>
      </c>
      <c r="AE22" s="193">
        <v>0</v>
      </c>
      <c r="AF22" s="238">
        <f t="shared" si="16"/>
        <v>0</v>
      </c>
      <c r="AG22" s="193">
        <v>0</v>
      </c>
      <c r="AH22" s="238">
        <f t="shared" si="17"/>
        <v>0</v>
      </c>
      <c r="AI22" s="193">
        <v>0</v>
      </c>
      <c r="AJ22" s="238">
        <f t="shared" si="18"/>
        <v>0</v>
      </c>
      <c r="AK22" s="193">
        <v>0</v>
      </c>
      <c r="AL22" s="238">
        <f t="shared" si="19"/>
        <v>0</v>
      </c>
      <c r="AM22" s="193">
        <v>833.95000000000005</v>
      </c>
      <c r="AN22" s="238">
        <f t="shared" si="20"/>
        <v>53789.775000000001</v>
      </c>
      <c r="AO22" s="193">
        <v>0</v>
      </c>
      <c r="AP22" s="238">
        <f t="shared" si="21"/>
        <v>0</v>
      </c>
      <c r="AQ22" s="193">
        <v>0</v>
      </c>
      <c r="AR22" s="238">
        <f t="shared" si="22"/>
        <v>0</v>
      </c>
      <c r="AS22" s="193">
        <v>0</v>
      </c>
      <c r="AT22" s="238">
        <f t="shared" si="23"/>
        <v>0</v>
      </c>
      <c r="AU22" s="193">
        <v>0</v>
      </c>
      <c r="AV22" s="238">
        <f t="shared" si="24"/>
        <v>0</v>
      </c>
      <c r="AW22" s="193">
        <v>0</v>
      </c>
      <c r="AX22" s="238">
        <f t="shared" si="25"/>
        <v>0</v>
      </c>
      <c r="AY22" s="193">
        <v>0</v>
      </c>
      <c r="AZ22" s="238">
        <f t="shared" si="26"/>
        <v>0</v>
      </c>
      <c r="BA22" s="193">
        <v>0</v>
      </c>
      <c r="BB22" s="238">
        <f t="shared" si="27"/>
        <v>0</v>
      </c>
      <c r="BC22" s="193">
        <v>0</v>
      </c>
      <c r="BD22" s="238">
        <f t="shared" si="28"/>
        <v>0</v>
      </c>
      <c r="BE22" s="193">
        <v>0</v>
      </c>
      <c r="BF22" s="238">
        <f t="shared" si="29"/>
        <v>0</v>
      </c>
      <c r="BG22" s="193">
        <v>0</v>
      </c>
      <c r="BH22" s="238">
        <f t="shared" si="30"/>
        <v>0</v>
      </c>
      <c r="BI22" s="193">
        <v>0</v>
      </c>
      <c r="BJ22" s="238">
        <f t="shared" si="31"/>
        <v>0</v>
      </c>
      <c r="BK22" s="193">
        <v>0</v>
      </c>
      <c r="BL22" s="238">
        <f t="shared" si="32"/>
        <v>0</v>
      </c>
      <c r="BM22" s="193">
        <v>0</v>
      </c>
      <c r="BN22" s="238">
        <f t="shared" si="33"/>
        <v>0</v>
      </c>
      <c r="BO22" s="193">
        <v>0</v>
      </c>
      <c r="BP22" s="238">
        <f t="shared" si="34"/>
        <v>0</v>
      </c>
      <c r="BQ22" s="193">
        <v>0</v>
      </c>
      <c r="BR22" s="238">
        <f t="shared" si="35"/>
        <v>0</v>
      </c>
      <c r="BS22" s="225"/>
      <c r="BT22" s="239">
        <f t="shared" si="36"/>
        <v>988.67000000000007</v>
      </c>
      <c r="BU22" s="238">
        <f t="shared" si="1"/>
        <v>63769.215000000004</v>
      </c>
    </row>
    <row r="23" spans="1:73" ht="14.25">
      <c r="A23" s="241">
        <v>1957</v>
      </c>
      <c r="B23" s="240">
        <f t="shared" si="0"/>
        <v>63.5</v>
      </c>
      <c r="C23" s="193">
        <v>0</v>
      </c>
      <c r="D23" s="238">
        <f t="shared" si="2"/>
        <v>0</v>
      </c>
      <c r="E23" s="193">
        <v>0</v>
      </c>
      <c r="F23" s="238">
        <f t="shared" si="3"/>
        <v>0</v>
      </c>
      <c r="G23" s="193">
        <v>0</v>
      </c>
      <c r="H23" s="238">
        <f t="shared" si="4"/>
        <v>0</v>
      </c>
      <c r="I23" s="193">
        <v>0</v>
      </c>
      <c r="J23" s="238">
        <f t="shared" si="5"/>
        <v>0</v>
      </c>
      <c r="K23" s="193">
        <v>0</v>
      </c>
      <c r="L23" s="238">
        <f t="shared" si="6"/>
        <v>0</v>
      </c>
      <c r="M23" s="193">
        <v>0</v>
      </c>
      <c r="N23" s="238">
        <f t="shared" si="7"/>
        <v>0</v>
      </c>
      <c r="O23" s="193">
        <v>0</v>
      </c>
      <c r="P23" s="238">
        <f t="shared" si="8"/>
        <v>0</v>
      </c>
      <c r="Q23" s="193">
        <v>0</v>
      </c>
      <c r="R23" s="238">
        <f t="shared" si="9"/>
        <v>0</v>
      </c>
      <c r="S23" s="193">
        <v>43.649999999999999</v>
      </c>
      <c r="T23" s="238">
        <f t="shared" si="10"/>
        <v>2771.7750000000001</v>
      </c>
      <c r="U23" s="193">
        <v>0</v>
      </c>
      <c r="V23" s="238">
        <f t="shared" si="11"/>
        <v>0</v>
      </c>
      <c r="W23" s="193">
        <v>0</v>
      </c>
      <c r="X23" s="238">
        <f t="shared" si="12"/>
        <v>0</v>
      </c>
      <c r="Y23" s="193">
        <v>0</v>
      </c>
      <c r="Z23" s="238">
        <f t="shared" si="13"/>
        <v>0</v>
      </c>
      <c r="AA23" s="193">
        <v>0</v>
      </c>
      <c r="AB23" s="238">
        <f t="shared" si="14"/>
        <v>0</v>
      </c>
      <c r="AC23" s="193">
        <v>0</v>
      </c>
      <c r="AD23" s="238">
        <f t="shared" si="15"/>
        <v>0</v>
      </c>
      <c r="AE23" s="193">
        <v>0</v>
      </c>
      <c r="AF23" s="238">
        <f t="shared" si="16"/>
        <v>0</v>
      </c>
      <c r="AG23" s="193">
        <v>0</v>
      </c>
      <c r="AH23" s="238">
        <f t="shared" si="17"/>
        <v>0</v>
      </c>
      <c r="AI23" s="193">
        <v>0</v>
      </c>
      <c r="AJ23" s="238">
        <f t="shared" si="18"/>
        <v>0</v>
      </c>
      <c r="AK23" s="193">
        <v>0</v>
      </c>
      <c r="AL23" s="238">
        <f t="shared" si="19"/>
        <v>0</v>
      </c>
      <c r="AM23" s="193">
        <v>0</v>
      </c>
      <c r="AN23" s="238">
        <f t="shared" si="20"/>
        <v>0</v>
      </c>
      <c r="AO23" s="193">
        <v>0</v>
      </c>
      <c r="AP23" s="238">
        <f t="shared" si="21"/>
        <v>0</v>
      </c>
      <c r="AQ23" s="193">
        <v>0</v>
      </c>
      <c r="AR23" s="238">
        <f t="shared" si="22"/>
        <v>0</v>
      </c>
      <c r="AS23" s="193">
        <v>0</v>
      </c>
      <c r="AT23" s="238">
        <f t="shared" si="23"/>
        <v>0</v>
      </c>
      <c r="AU23" s="193">
        <v>0</v>
      </c>
      <c r="AV23" s="238">
        <f t="shared" si="24"/>
        <v>0</v>
      </c>
      <c r="AW23" s="193">
        <v>0</v>
      </c>
      <c r="AX23" s="238">
        <f t="shared" si="25"/>
        <v>0</v>
      </c>
      <c r="AY23" s="193">
        <v>0</v>
      </c>
      <c r="AZ23" s="238">
        <f t="shared" si="26"/>
        <v>0</v>
      </c>
      <c r="BA23" s="193">
        <v>0</v>
      </c>
      <c r="BB23" s="238">
        <f t="shared" si="27"/>
        <v>0</v>
      </c>
      <c r="BC23" s="193">
        <v>0</v>
      </c>
      <c r="BD23" s="238">
        <f t="shared" si="28"/>
        <v>0</v>
      </c>
      <c r="BE23" s="193">
        <v>0</v>
      </c>
      <c r="BF23" s="238">
        <f t="shared" si="29"/>
        <v>0</v>
      </c>
      <c r="BG23" s="193">
        <v>0</v>
      </c>
      <c r="BH23" s="238">
        <f t="shared" si="30"/>
        <v>0</v>
      </c>
      <c r="BI23" s="193">
        <v>0</v>
      </c>
      <c r="BJ23" s="238">
        <f t="shared" si="31"/>
        <v>0</v>
      </c>
      <c r="BK23" s="193">
        <v>0</v>
      </c>
      <c r="BL23" s="238">
        <f t="shared" si="32"/>
        <v>0</v>
      </c>
      <c r="BM23" s="193">
        <v>0</v>
      </c>
      <c r="BN23" s="238">
        <f t="shared" si="33"/>
        <v>0</v>
      </c>
      <c r="BO23" s="193">
        <v>0</v>
      </c>
      <c r="BP23" s="238">
        <f t="shared" si="34"/>
        <v>0</v>
      </c>
      <c r="BQ23" s="193">
        <v>0</v>
      </c>
      <c r="BR23" s="238">
        <f t="shared" si="35"/>
        <v>0</v>
      </c>
      <c r="BS23" s="225"/>
      <c r="BT23" s="239">
        <f t="shared" si="36"/>
        <v>43.649999999999999</v>
      </c>
      <c r="BU23" s="238">
        <f t="shared" si="1"/>
        <v>2771.7750000000001</v>
      </c>
    </row>
    <row r="24" spans="1:73" ht="14.25">
      <c r="A24" s="241">
        <v>1958</v>
      </c>
      <c r="B24" s="240">
        <f t="shared" si="0"/>
        <v>62.5</v>
      </c>
      <c r="C24" s="193">
        <v>0</v>
      </c>
      <c r="D24" s="238">
        <f t="shared" si="2"/>
        <v>0</v>
      </c>
      <c r="E24" s="193">
        <v>0</v>
      </c>
      <c r="F24" s="238">
        <f t="shared" si="3"/>
        <v>0</v>
      </c>
      <c r="G24" s="193">
        <v>0</v>
      </c>
      <c r="H24" s="238">
        <f t="shared" si="4"/>
        <v>0</v>
      </c>
      <c r="I24" s="193">
        <v>0</v>
      </c>
      <c r="J24" s="238">
        <f t="shared" si="5"/>
        <v>0</v>
      </c>
      <c r="K24" s="193">
        <v>0</v>
      </c>
      <c r="L24" s="238">
        <f t="shared" si="6"/>
        <v>0</v>
      </c>
      <c r="M24" s="193">
        <v>0</v>
      </c>
      <c r="N24" s="238">
        <f t="shared" si="7"/>
        <v>0</v>
      </c>
      <c r="O24" s="193">
        <v>0</v>
      </c>
      <c r="P24" s="238">
        <f t="shared" si="8"/>
        <v>0</v>
      </c>
      <c r="Q24" s="193">
        <v>0</v>
      </c>
      <c r="R24" s="238">
        <f t="shared" si="9"/>
        <v>0</v>
      </c>
      <c r="S24" s="193">
        <v>0</v>
      </c>
      <c r="T24" s="238">
        <f t="shared" si="10"/>
        <v>0</v>
      </c>
      <c r="U24" s="193">
        <v>0</v>
      </c>
      <c r="V24" s="238">
        <f t="shared" si="11"/>
        <v>0</v>
      </c>
      <c r="W24" s="193">
        <v>0</v>
      </c>
      <c r="X24" s="238">
        <f t="shared" si="12"/>
        <v>0</v>
      </c>
      <c r="Y24" s="193">
        <v>0</v>
      </c>
      <c r="Z24" s="238">
        <f t="shared" si="13"/>
        <v>0</v>
      </c>
      <c r="AA24" s="193">
        <v>0</v>
      </c>
      <c r="AB24" s="238">
        <f t="shared" si="14"/>
        <v>0</v>
      </c>
      <c r="AC24" s="193">
        <v>0</v>
      </c>
      <c r="AD24" s="238">
        <f t="shared" si="15"/>
        <v>0</v>
      </c>
      <c r="AE24" s="193">
        <v>0</v>
      </c>
      <c r="AF24" s="238">
        <f t="shared" si="16"/>
        <v>0</v>
      </c>
      <c r="AG24" s="193">
        <v>0</v>
      </c>
      <c r="AH24" s="238">
        <f t="shared" si="17"/>
        <v>0</v>
      </c>
      <c r="AI24" s="193">
        <v>0</v>
      </c>
      <c r="AJ24" s="238">
        <f t="shared" si="18"/>
        <v>0</v>
      </c>
      <c r="AK24" s="193">
        <v>0</v>
      </c>
      <c r="AL24" s="238">
        <f t="shared" si="19"/>
        <v>0</v>
      </c>
      <c r="AM24" s="193">
        <v>0</v>
      </c>
      <c r="AN24" s="238">
        <f t="shared" si="20"/>
        <v>0</v>
      </c>
      <c r="AO24" s="193">
        <v>0</v>
      </c>
      <c r="AP24" s="238">
        <f t="shared" si="21"/>
        <v>0</v>
      </c>
      <c r="AQ24" s="193">
        <v>0</v>
      </c>
      <c r="AR24" s="238">
        <f t="shared" si="22"/>
        <v>0</v>
      </c>
      <c r="AS24" s="193">
        <v>0</v>
      </c>
      <c r="AT24" s="238">
        <f t="shared" si="23"/>
        <v>0</v>
      </c>
      <c r="AU24" s="193">
        <v>0</v>
      </c>
      <c r="AV24" s="238">
        <f t="shared" si="24"/>
        <v>0</v>
      </c>
      <c r="AW24" s="193">
        <v>0</v>
      </c>
      <c r="AX24" s="238">
        <f t="shared" si="25"/>
        <v>0</v>
      </c>
      <c r="AY24" s="193">
        <v>0</v>
      </c>
      <c r="AZ24" s="238">
        <f t="shared" si="26"/>
        <v>0</v>
      </c>
      <c r="BA24" s="193">
        <v>0</v>
      </c>
      <c r="BB24" s="238">
        <f t="shared" si="27"/>
        <v>0</v>
      </c>
      <c r="BC24" s="193">
        <v>0</v>
      </c>
      <c r="BD24" s="238">
        <f t="shared" si="28"/>
        <v>0</v>
      </c>
      <c r="BE24" s="193">
        <v>0</v>
      </c>
      <c r="BF24" s="238">
        <f t="shared" si="29"/>
        <v>0</v>
      </c>
      <c r="BG24" s="193">
        <v>0</v>
      </c>
      <c r="BH24" s="238">
        <f t="shared" si="30"/>
        <v>0</v>
      </c>
      <c r="BI24" s="193">
        <v>0</v>
      </c>
      <c r="BJ24" s="238">
        <f t="shared" si="31"/>
        <v>0</v>
      </c>
      <c r="BK24" s="193">
        <v>0</v>
      </c>
      <c r="BL24" s="238">
        <f t="shared" si="32"/>
        <v>0</v>
      </c>
      <c r="BM24" s="193">
        <v>0</v>
      </c>
      <c r="BN24" s="238">
        <f t="shared" si="33"/>
        <v>0</v>
      </c>
      <c r="BO24" s="193">
        <v>0</v>
      </c>
      <c r="BP24" s="238">
        <f t="shared" si="34"/>
        <v>0</v>
      </c>
      <c r="BQ24" s="193">
        <v>0</v>
      </c>
      <c r="BR24" s="238">
        <f t="shared" si="35"/>
        <v>0</v>
      </c>
      <c r="BS24" s="225"/>
      <c r="BT24" s="239">
        <f t="shared" si="36"/>
        <v>0</v>
      </c>
      <c r="BU24" s="238">
        <f t="shared" si="1"/>
        <v>0</v>
      </c>
    </row>
    <row r="25" spans="1:73" ht="14.25">
      <c r="A25" s="241">
        <v>1959</v>
      </c>
      <c r="B25" s="240">
        <f t="shared" si="0"/>
        <v>61.5</v>
      </c>
      <c r="C25" s="193">
        <v>0</v>
      </c>
      <c r="D25" s="238">
        <f t="shared" si="2"/>
        <v>0</v>
      </c>
      <c r="E25" s="193">
        <v>0</v>
      </c>
      <c r="F25" s="238">
        <f t="shared" si="3"/>
        <v>0</v>
      </c>
      <c r="G25" s="193">
        <v>0</v>
      </c>
      <c r="H25" s="238">
        <f t="shared" si="4"/>
        <v>0</v>
      </c>
      <c r="I25" s="193">
        <v>0</v>
      </c>
      <c r="J25" s="238">
        <f t="shared" si="5"/>
        <v>0</v>
      </c>
      <c r="K25" s="193">
        <v>0</v>
      </c>
      <c r="L25" s="238">
        <f t="shared" si="6"/>
        <v>0</v>
      </c>
      <c r="M25" s="193">
        <v>0</v>
      </c>
      <c r="N25" s="238">
        <f t="shared" si="7"/>
        <v>0</v>
      </c>
      <c r="O25" s="193">
        <v>0</v>
      </c>
      <c r="P25" s="238">
        <f t="shared" si="8"/>
        <v>0</v>
      </c>
      <c r="Q25" s="193">
        <v>0</v>
      </c>
      <c r="R25" s="238">
        <f t="shared" si="9"/>
        <v>0</v>
      </c>
      <c r="S25" s="193">
        <v>0</v>
      </c>
      <c r="T25" s="238">
        <f t="shared" si="10"/>
        <v>0</v>
      </c>
      <c r="U25" s="193">
        <v>0</v>
      </c>
      <c r="V25" s="238">
        <f t="shared" si="11"/>
        <v>0</v>
      </c>
      <c r="W25" s="193">
        <v>0</v>
      </c>
      <c r="X25" s="238">
        <f t="shared" si="12"/>
        <v>0</v>
      </c>
      <c r="Y25" s="193">
        <v>0</v>
      </c>
      <c r="Z25" s="238">
        <f t="shared" si="13"/>
        <v>0</v>
      </c>
      <c r="AA25" s="193">
        <v>0</v>
      </c>
      <c r="AB25" s="238">
        <f t="shared" si="14"/>
        <v>0</v>
      </c>
      <c r="AC25" s="193">
        <v>0</v>
      </c>
      <c r="AD25" s="238">
        <f t="shared" si="15"/>
        <v>0</v>
      </c>
      <c r="AE25" s="193">
        <v>0</v>
      </c>
      <c r="AF25" s="238">
        <f t="shared" si="16"/>
        <v>0</v>
      </c>
      <c r="AG25" s="193">
        <v>0</v>
      </c>
      <c r="AH25" s="238">
        <f t="shared" si="17"/>
        <v>0</v>
      </c>
      <c r="AI25" s="193">
        <v>0</v>
      </c>
      <c r="AJ25" s="238">
        <f t="shared" si="18"/>
        <v>0</v>
      </c>
      <c r="AK25" s="193">
        <v>0</v>
      </c>
      <c r="AL25" s="238">
        <f t="shared" si="19"/>
        <v>0</v>
      </c>
      <c r="AM25" s="193">
        <v>0</v>
      </c>
      <c r="AN25" s="238">
        <f t="shared" si="20"/>
        <v>0</v>
      </c>
      <c r="AO25" s="193">
        <v>0</v>
      </c>
      <c r="AP25" s="238">
        <f t="shared" si="21"/>
        <v>0</v>
      </c>
      <c r="AQ25" s="193">
        <v>0</v>
      </c>
      <c r="AR25" s="238">
        <f t="shared" si="22"/>
        <v>0</v>
      </c>
      <c r="AS25" s="193">
        <v>0</v>
      </c>
      <c r="AT25" s="238">
        <f t="shared" si="23"/>
        <v>0</v>
      </c>
      <c r="AU25" s="193">
        <v>0</v>
      </c>
      <c r="AV25" s="238">
        <f t="shared" si="24"/>
        <v>0</v>
      </c>
      <c r="AW25" s="193">
        <v>0</v>
      </c>
      <c r="AX25" s="238">
        <f t="shared" si="25"/>
        <v>0</v>
      </c>
      <c r="AY25" s="193">
        <v>0</v>
      </c>
      <c r="AZ25" s="238">
        <f t="shared" si="26"/>
        <v>0</v>
      </c>
      <c r="BA25" s="193">
        <v>0</v>
      </c>
      <c r="BB25" s="238">
        <f t="shared" si="27"/>
        <v>0</v>
      </c>
      <c r="BC25" s="193">
        <v>0</v>
      </c>
      <c r="BD25" s="238">
        <f t="shared" si="28"/>
        <v>0</v>
      </c>
      <c r="BE25" s="193">
        <v>0</v>
      </c>
      <c r="BF25" s="238">
        <f t="shared" si="29"/>
        <v>0</v>
      </c>
      <c r="BG25" s="193">
        <v>0</v>
      </c>
      <c r="BH25" s="238">
        <f t="shared" si="30"/>
        <v>0</v>
      </c>
      <c r="BI25" s="193">
        <v>0</v>
      </c>
      <c r="BJ25" s="238">
        <f t="shared" si="31"/>
        <v>0</v>
      </c>
      <c r="BK25" s="193">
        <v>0</v>
      </c>
      <c r="BL25" s="238">
        <f t="shared" si="32"/>
        <v>0</v>
      </c>
      <c r="BM25" s="193">
        <v>0</v>
      </c>
      <c r="BN25" s="238">
        <f t="shared" si="33"/>
        <v>0</v>
      </c>
      <c r="BO25" s="193">
        <v>0</v>
      </c>
      <c r="BP25" s="238">
        <f t="shared" si="34"/>
        <v>0</v>
      </c>
      <c r="BQ25" s="193">
        <v>0</v>
      </c>
      <c r="BR25" s="238">
        <f t="shared" si="35"/>
        <v>0</v>
      </c>
      <c r="BS25" s="225"/>
      <c r="BT25" s="239">
        <f t="shared" si="36"/>
        <v>0</v>
      </c>
      <c r="BU25" s="238">
        <f t="shared" si="1"/>
        <v>0</v>
      </c>
    </row>
    <row r="26" spans="1:73" ht="14.25">
      <c r="A26" s="241">
        <v>1960</v>
      </c>
      <c r="B26" s="240">
        <f t="shared" si="0"/>
        <v>60.5</v>
      </c>
      <c r="C26" s="193">
        <v>0</v>
      </c>
      <c r="D26" s="238">
        <f t="shared" si="2"/>
        <v>0</v>
      </c>
      <c r="E26" s="193">
        <v>14836.440000000001</v>
      </c>
      <c r="F26" s="238">
        <f t="shared" si="3"/>
        <v>897604.62</v>
      </c>
      <c r="G26" s="193">
        <v>0</v>
      </c>
      <c r="H26" s="238">
        <f t="shared" si="4"/>
        <v>0</v>
      </c>
      <c r="I26" s="193">
        <v>45.030000000000001</v>
      </c>
      <c r="J26" s="238">
        <f t="shared" si="5"/>
        <v>2724.3150000000001</v>
      </c>
      <c r="K26" s="193">
        <v>0</v>
      </c>
      <c r="L26" s="238">
        <f t="shared" si="6"/>
        <v>0</v>
      </c>
      <c r="M26" s="193">
        <v>0</v>
      </c>
      <c r="N26" s="238">
        <f t="shared" si="7"/>
        <v>0</v>
      </c>
      <c r="O26" s="193">
        <v>0</v>
      </c>
      <c r="P26" s="238">
        <f t="shared" si="8"/>
        <v>0</v>
      </c>
      <c r="Q26" s="193">
        <v>0</v>
      </c>
      <c r="R26" s="238">
        <f t="shared" si="9"/>
        <v>0</v>
      </c>
      <c r="S26" s="193">
        <v>7290.79</v>
      </c>
      <c r="T26" s="238">
        <f t="shared" si="10"/>
        <v>441092.79499999998</v>
      </c>
      <c r="U26" s="193">
        <v>0</v>
      </c>
      <c r="V26" s="238">
        <f t="shared" si="11"/>
        <v>0</v>
      </c>
      <c r="W26" s="193">
        <v>2390.0100000000002</v>
      </c>
      <c r="X26" s="238">
        <f t="shared" si="12"/>
        <v>144595.60500000001</v>
      </c>
      <c r="Y26" s="193">
        <v>0</v>
      </c>
      <c r="Z26" s="238">
        <f t="shared" si="13"/>
        <v>0</v>
      </c>
      <c r="AA26" s="193">
        <v>0</v>
      </c>
      <c r="AB26" s="238">
        <f t="shared" si="14"/>
        <v>0</v>
      </c>
      <c r="AC26" s="193">
        <v>0</v>
      </c>
      <c r="AD26" s="238">
        <f t="shared" si="15"/>
        <v>0</v>
      </c>
      <c r="AE26" s="193">
        <v>0</v>
      </c>
      <c r="AF26" s="238">
        <f t="shared" si="16"/>
        <v>0</v>
      </c>
      <c r="AG26" s="193">
        <v>0</v>
      </c>
      <c r="AH26" s="238">
        <f t="shared" si="17"/>
        <v>0</v>
      </c>
      <c r="AI26" s="193">
        <v>0</v>
      </c>
      <c r="AJ26" s="238">
        <f t="shared" si="18"/>
        <v>0</v>
      </c>
      <c r="AK26" s="193">
        <v>0</v>
      </c>
      <c r="AL26" s="238">
        <f t="shared" si="19"/>
        <v>0</v>
      </c>
      <c r="AM26" s="193">
        <v>0</v>
      </c>
      <c r="AN26" s="238">
        <f t="shared" si="20"/>
        <v>0</v>
      </c>
      <c r="AO26" s="193">
        <v>0</v>
      </c>
      <c r="AP26" s="238">
        <f t="shared" si="21"/>
        <v>0</v>
      </c>
      <c r="AQ26" s="193">
        <v>0</v>
      </c>
      <c r="AR26" s="238">
        <f t="shared" si="22"/>
        <v>0</v>
      </c>
      <c r="AS26" s="193">
        <v>0</v>
      </c>
      <c r="AT26" s="238">
        <f t="shared" si="23"/>
        <v>0</v>
      </c>
      <c r="AU26" s="193">
        <v>0</v>
      </c>
      <c r="AV26" s="238">
        <f t="shared" si="24"/>
        <v>0</v>
      </c>
      <c r="AW26" s="193">
        <v>0</v>
      </c>
      <c r="AX26" s="238">
        <f t="shared" si="25"/>
        <v>0</v>
      </c>
      <c r="AY26" s="193">
        <v>0</v>
      </c>
      <c r="AZ26" s="238">
        <f t="shared" si="26"/>
        <v>0</v>
      </c>
      <c r="BA26" s="193">
        <v>0</v>
      </c>
      <c r="BB26" s="238">
        <f t="shared" si="27"/>
        <v>0</v>
      </c>
      <c r="BC26" s="193">
        <v>0</v>
      </c>
      <c r="BD26" s="238">
        <f t="shared" si="28"/>
        <v>0</v>
      </c>
      <c r="BE26" s="193">
        <v>0</v>
      </c>
      <c r="BF26" s="238">
        <f t="shared" si="29"/>
        <v>0</v>
      </c>
      <c r="BG26" s="193">
        <v>0</v>
      </c>
      <c r="BH26" s="238">
        <f t="shared" si="30"/>
        <v>0</v>
      </c>
      <c r="BI26" s="193">
        <v>0</v>
      </c>
      <c r="BJ26" s="238">
        <f t="shared" si="31"/>
        <v>0</v>
      </c>
      <c r="BK26" s="193">
        <v>0</v>
      </c>
      <c r="BL26" s="238">
        <f t="shared" si="32"/>
        <v>0</v>
      </c>
      <c r="BM26" s="193">
        <v>0</v>
      </c>
      <c r="BN26" s="238">
        <f t="shared" si="33"/>
        <v>0</v>
      </c>
      <c r="BO26" s="193">
        <v>0</v>
      </c>
      <c r="BP26" s="238">
        <f t="shared" si="34"/>
        <v>0</v>
      </c>
      <c r="BQ26" s="193">
        <v>0</v>
      </c>
      <c r="BR26" s="238">
        <f t="shared" si="35"/>
        <v>0</v>
      </c>
      <c r="BS26" s="225"/>
      <c r="BT26" s="239">
        <f t="shared" si="36"/>
        <v>24562.270000000004</v>
      </c>
      <c r="BU26" s="238">
        <f t="shared" si="1"/>
        <v>1486017.3350000002</v>
      </c>
    </row>
    <row r="27" spans="1:73" ht="14.25">
      <c r="A27" s="241">
        <v>1961</v>
      </c>
      <c r="B27" s="240">
        <f t="shared" si="0"/>
        <v>59.5</v>
      </c>
      <c r="C27" s="193">
        <v>0</v>
      </c>
      <c r="D27" s="238">
        <f t="shared" si="2"/>
        <v>0</v>
      </c>
      <c r="E27" s="193">
        <v>0</v>
      </c>
      <c r="F27" s="238">
        <f t="shared" si="3"/>
        <v>0</v>
      </c>
      <c r="G27" s="193">
        <v>0</v>
      </c>
      <c r="H27" s="238">
        <f t="shared" si="4"/>
        <v>0</v>
      </c>
      <c r="I27" s="193">
        <v>816.49000000000001</v>
      </c>
      <c r="J27" s="238">
        <f t="shared" si="5"/>
        <v>48581.154999999999</v>
      </c>
      <c r="K27" s="193">
        <v>0</v>
      </c>
      <c r="L27" s="238">
        <f t="shared" si="6"/>
        <v>0</v>
      </c>
      <c r="M27" s="193">
        <v>0</v>
      </c>
      <c r="N27" s="238">
        <f t="shared" si="7"/>
        <v>0</v>
      </c>
      <c r="O27" s="193">
        <v>0</v>
      </c>
      <c r="P27" s="238">
        <f t="shared" si="8"/>
        <v>0</v>
      </c>
      <c r="Q27" s="193">
        <v>0</v>
      </c>
      <c r="R27" s="238">
        <f t="shared" si="9"/>
        <v>0</v>
      </c>
      <c r="S27" s="193">
        <v>210</v>
      </c>
      <c r="T27" s="238">
        <f t="shared" si="10"/>
        <v>12495</v>
      </c>
      <c r="U27" s="193">
        <v>0</v>
      </c>
      <c r="V27" s="238">
        <f t="shared" si="11"/>
        <v>0</v>
      </c>
      <c r="W27" s="193">
        <v>0</v>
      </c>
      <c r="X27" s="238">
        <f t="shared" si="12"/>
        <v>0</v>
      </c>
      <c r="Y27" s="193">
        <v>0</v>
      </c>
      <c r="Z27" s="238">
        <f t="shared" si="13"/>
        <v>0</v>
      </c>
      <c r="AA27" s="193">
        <v>0</v>
      </c>
      <c r="AB27" s="238">
        <f t="shared" si="14"/>
        <v>0</v>
      </c>
      <c r="AC27" s="193">
        <v>0</v>
      </c>
      <c r="AD27" s="238">
        <f t="shared" si="15"/>
        <v>0</v>
      </c>
      <c r="AE27" s="193">
        <v>0</v>
      </c>
      <c r="AF27" s="238">
        <f t="shared" si="16"/>
        <v>0</v>
      </c>
      <c r="AG27" s="193">
        <v>0</v>
      </c>
      <c r="AH27" s="238">
        <f t="shared" si="17"/>
        <v>0</v>
      </c>
      <c r="AI27" s="193">
        <v>0</v>
      </c>
      <c r="AJ27" s="238">
        <f t="shared" si="18"/>
        <v>0</v>
      </c>
      <c r="AK27" s="193">
        <v>0</v>
      </c>
      <c r="AL27" s="238">
        <f t="shared" si="19"/>
        <v>0</v>
      </c>
      <c r="AM27" s="193">
        <v>1830.6700000000001</v>
      </c>
      <c r="AN27" s="238">
        <f t="shared" si="20"/>
        <v>108924.86500000001</v>
      </c>
      <c r="AO27" s="193">
        <v>0</v>
      </c>
      <c r="AP27" s="238">
        <f t="shared" si="21"/>
        <v>0</v>
      </c>
      <c r="AQ27" s="193">
        <v>0</v>
      </c>
      <c r="AR27" s="238">
        <f t="shared" si="22"/>
        <v>0</v>
      </c>
      <c r="AS27" s="193">
        <v>0</v>
      </c>
      <c r="AT27" s="238">
        <f t="shared" si="23"/>
        <v>0</v>
      </c>
      <c r="AU27" s="193">
        <v>0</v>
      </c>
      <c r="AV27" s="238">
        <f t="shared" si="24"/>
        <v>0</v>
      </c>
      <c r="AW27" s="193">
        <v>0</v>
      </c>
      <c r="AX27" s="238">
        <f t="shared" si="25"/>
        <v>0</v>
      </c>
      <c r="AY27" s="193">
        <v>0</v>
      </c>
      <c r="AZ27" s="238">
        <f t="shared" si="26"/>
        <v>0</v>
      </c>
      <c r="BA27" s="193">
        <v>0</v>
      </c>
      <c r="BB27" s="238">
        <f t="shared" si="27"/>
        <v>0</v>
      </c>
      <c r="BC27" s="193">
        <v>0</v>
      </c>
      <c r="BD27" s="238">
        <f t="shared" si="28"/>
        <v>0</v>
      </c>
      <c r="BE27" s="193">
        <v>0</v>
      </c>
      <c r="BF27" s="238">
        <f t="shared" si="29"/>
        <v>0</v>
      </c>
      <c r="BG27" s="193">
        <v>0</v>
      </c>
      <c r="BH27" s="238">
        <f t="shared" si="30"/>
        <v>0</v>
      </c>
      <c r="BI27" s="193">
        <v>0</v>
      </c>
      <c r="BJ27" s="238">
        <f t="shared" si="31"/>
        <v>0</v>
      </c>
      <c r="BK27" s="193">
        <v>0</v>
      </c>
      <c r="BL27" s="238">
        <f t="shared" si="32"/>
        <v>0</v>
      </c>
      <c r="BM27" s="193">
        <v>0</v>
      </c>
      <c r="BN27" s="238">
        <f t="shared" si="33"/>
        <v>0</v>
      </c>
      <c r="BO27" s="193">
        <v>0</v>
      </c>
      <c r="BP27" s="238">
        <f t="shared" si="34"/>
        <v>0</v>
      </c>
      <c r="BQ27" s="193">
        <v>0</v>
      </c>
      <c r="BR27" s="238">
        <f t="shared" si="35"/>
        <v>0</v>
      </c>
      <c r="BS27" s="225"/>
      <c r="BT27" s="239">
        <f t="shared" si="36"/>
        <v>2857.1599999999999</v>
      </c>
      <c r="BU27" s="238">
        <f t="shared" si="1"/>
        <v>170001.01999999999</v>
      </c>
    </row>
    <row r="28" spans="1:73" ht="14.25">
      <c r="A28" s="241">
        <v>1962</v>
      </c>
      <c r="B28" s="240">
        <f t="shared" si="0"/>
        <v>58.5</v>
      </c>
      <c r="C28" s="193">
        <v>0</v>
      </c>
      <c r="D28" s="238">
        <f t="shared" si="2"/>
        <v>0</v>
      </c>
      <c r="E28" s="193">
        <v>0</v>
      </c>
      <c r="F28" s="238">
        <f t="shared" si="3"/>
        <v>0</v>
      </c>
      <c r="G28" s="193">
        <v>0</v>
      </c>
      <c r="H28" s="238">
        <f t="shared" si="4"/>
        <v>0</v>
      </c>
      <c r="I28" s="193">
        <v>36.890000000000001</v>
      </c>
      <c r="J28" s="238">
        <f t="shared" si="5"/>
        <v>2158.0650000000001</v>
      </c>
      <c r="K28" s="193">
        <v>0</v>
      </c>
      <c r="L28" s="238">
        <f t="shared" si="6"/>
        <v>0</v>
      </c>
      <c r="M28" s="193">
        <v>0</v>
      </c>
      <c r="N28" s="238">
        <f t="shared" si="7"/>
        <v>0</v>
      </c>
      <c r="O28" s="193">
        <v>0</v>
      </c>
      <c r="P28" s="238">
        <f t="shared" si="8"/>
        <v>0</v>
      </c>
      <c r="Q28" s="193">
        <v>0</v>
      </c>
      <c r="R28" s="238">
        <f t="shared" si="9"/>
        <v>0</v>
      </c>
      <c r="S28" s="193">
        <v>1378.4000000000001</v>
      </c>
      <c r="T28" s="238">
        <f t="shared" si="10"/>
        <v>80636.400000000009</v>
      </c>
      <c r="U28" s="193">
        <v>0</v>
      </c>
      <c r="V28" s="238">
        <f t="shared" si="11"/>
        <v>0</v>
      </c>
      <c r="W28" s="193">
        <v>0</v>
      </c>
      <c r="X28" s="238">
        <f t="shared" si="12"/>
        <v>0</v>
      </c>
      <c r="Y28" s="193">
        <v>0</v>
      </c>
      <c r="Z28" s="238">
        <f t="shared" si="13"/>
        <v>0</v>
      </c>
      <c r="AA28" s="193">
        <v>0</v>
      </c>
      <c r="AB28" s="238">
        <f t="shared" si="14"/>
        <v>0</v>
      </c>
      <c r="AC28" s="193">
        <v>0</v>
      </c>
      <c r="AD28" s="238">
        <f t="shared" si="15"/>
        <v>0</v>
      </c>
      <c r="AE28" s="193">
        <v>0</v>
      </c>
      <c r="AF28" s="238">
        <f t="shared" si="16"/>
        <v>0</v>
      </c>
      <c r="AG28" s="193">
        <v>0</v>
      </c>
      <c r="AH28" s="238">
        <f t="shared" si="17"/>
        <v>0</v>
      </c>
      <c r="AI28" s="193">
        <v>0</v>
      </c>
      <c r="AJ28" s="238">
        <f t="shared" si="18"/>
        <v>0</v>
      </c>
      <c r="AK28" s="193">
        <v>0</v>
      </c>
      <c r="AL28" s="238">
        <f t="shared" si="19"/>
        <v>0</v>
      </c>
      <c r="AM28" s="193">
        <v>0</v>
      </c>
      <c r="AN28" s="238">
        <f t="shared" si="20"/>
        <v>0</v>
      </c>
      <c r="AO28" s="193">
        <v>0</v>
      </c>
      <c r="AP28" s="238">
        <f t="shared" si="21"/>
        <v>0</v>
      </c>
      <c r="AQ28" s="193">
        <v>0</v>
      </c>
      <c r="AR28" s="238">
        <f t="shared" si="22"/>
        <v>0</v>
      </c>
      <c r="AS28" s="193">
        <v>0</v>
      </c>
      <c r="AT28" s="238">
        <f t="shared" si="23"/>
        <v>0</v>
      </c>
      <c r="AU28" s="193">
        <v>0</v>
      </c>
      <c r="AV28" s="238">
        <f t="shared" si="24"/>
        <v>0</v>
      </c>
      <c r="AW28" s="193">
        <v>0</v>
      </c>
      <c r="AX28" s="238">
        <f t="shared" si="25"/>
        <v>0</v>
      </c>
      <c r="AY28" s="193">
        <v>0</v>
      </c>
      <c r="AZ28" s="238">
        <f t="shared" si="26"/>
        <v>0</v>
      </c>
      <c r="BA28" s="193">
        <v>0</v>
      </c>
      <c r="BB28" s="238">
        <f t="shared" si="27"/>
        <v>0</v>
      </c>
      <c r="BC28" s="193">
        <v>0</v>
      </c>
      <c r="BD28" s="238">
        <f t="shared" si="28"/>
        <v>0</v>
      </c>
      <c r="BE28" s="193">
        <v>0</v>
      </c>
      <c r="BF28" s="238">
        <f t="shared" si="29"/>
        <v>0</v>
      </c>
      <c r="BG28" s="193">
        <v>0</v>
      </c>
      <c r="BH28" s="238">
        <f t="shared" si="30"/>
        <v>0</v>
      </c>
      <c r="BI28" s="193">
        <v>0</v>
      </c>
      <c r="BJ28" s="238">
        <f t="shared" si="31"/>
        <v>0</v>
      </c>
      <c r="BK28" s="193">
        <v>0</v>
      </c>
      <c r="BL28" s="238">
        <f t="shared" si="32"/>
        <v>0</v>
      </c>
      <c r="BM28" s="193">
        <v>0</v>
      </c>
      <c r="BN28" s="238">
        <f t="shared" si="33"/>
        <v>0</v>
      </c>
      <c r="BO28" s="193">
        <v>0</v>
      </c>
      <c r="BP28" s="238">
        <f t="shared" si="34"/>
        <v>0</v>
      </c>
      <c r="BQ28" s="193">
        <v>0</v>
      </c>
      <c r="BR28" s="238">
        <f t="shared" si="35"/>
        <v>0</v>
      </c>
      <c r="BS28" s="225"/>
      <c r="BT28" s="239">
        <f t="shared" si="36"/>
        <v>1415.2900000000002</v>
      </c>
      <c r="BU28" s="238">
        <f t="shared" si="1"/>
        <v>82794.465000000011</v>
      </c>
    </row>
    <row r="29" spans="1:73" ht="14.25">
      <c r="A29" s="241">
        <v>1963</v>
      </c>
      <c r="B29" s="240">
        <f t="shared" si="0"/>
        <v>57.5</v>
      </c>
      <c r="C29" s="193">
        <v>0</v>
      </c>
      <c r="D29" s="238">
        <f t="shared" si="2"/>
        <v>0</v>
      </c>
      <c r="E29" s="193">
        <v>0</v>
      </c>
      <c r="F29" s="238">
        <f t="shared" si="3"/>
        <v>0</v>
      </c>
      <c r="G29" s="193">
        <v>0</v>
      </c>
      <c r="H29" s="238">
        <f t="shared" si="4"/>
        <v>0</v>
      </c>
      <c r="I29" s="193">
        <v>25.82</v>
      </c>
      <c r="J29" s="238">
        <f t="shared" si="5"/>
        <v>1484.6500000000001</v>
      </c>
      <c r="K29" s="193">
        <v>0</v>
      </c>
      <c r="L29" s="238">
        <f t="shared" si="6"/>
        <v>0</v>
      </c>
      <c r="M29" s="193">
        <v>0</v>
      </c>
      <c r="N29" s="238">
        <f t="shared" si="7"/>
        <v>0</v>
      </c>
      <c r="O29" s="193">
        <v>0</v>
      </c>
      <c r="P29" s="238">
        <f t="shared" si="8"/>
        <v>0</v>
      </c>
      <c r="Q29" s="193">
        <v>0</v>
      </c>
      <c r="R29" s="238">
        <f t="shared" si="9"/>
        <v>0</v>
      </c>
      <c r="S29" s="193">
        <v>0</v>
      </c>
      <c r="T29" s="238">
        <f t="shared" si="10"/>
        <v>0</v>
      </c>
      <c r="U29" s="193">
        <v>0</v>
      </c>
      <c r="V29" s="238">
        <f t="shared" si="11"/>
        <v>0</v>
      </c>
      <c r="W29" s="193">
        <v>0</v>
      </c>
      <c r="X29" s="238">
        <f t="shared" si="12"/>
        <v>0</v>
      </c>
      <c r="Y29" s="193">
        <v>0</v>
      </c>
      <c r="Z29" s="238">
        <f t="shared" si="13"/>
        <v>0</v>
      </c>
      <c r="AA29" s="193">
        <v>0</v>
      </c>
      <c r="AB29" s="238">
        <f t="shared" si="14"/>
        <v>0</v>
      </c>
      <c r="AC29" s="193">
        <v>0</v>
      </c>
      <c r="AD29" s="238">
        <f t="shared" si="15"/>
        <v>0</v>
      </c>
      <c r="AE29" s="193">
        <v>0</v>
      </c>
      <c r="AF29" s="238">
        <f t="shared" si="16"/>
        <v>0</v>
      </c>
      <c r="AG29" s="193">
        <v>0</v>
      </c>
      <c r="AH29" s="238">
        <f t="shared" si="17"/>
        <v>0</v>
      </c>
      <c r="AI29" s="193">
        <v>0</v>
      </c>
      <c r="AJ29" s="238">
        <f t="shared" si="18"/>
        <v>0</v>
      </c>
      <c r="AK29" s="193">
        <v>0</v>
      </c>
      <c r="AL29" s="238">
        <f t="shared" si="19"/>
        <v>0</v>
      </c>
      <c r="AM29" s="193">
        <v>362</v>
      </c>
      <c r="AN29" s="238">
        <f t="shared" si="20"/>
        <v>20815</v>
      </c>
      <c r="AO29" s="193">
        <v>0</v>
      </c>
      <c r="AP29" s="238">
        <f t="shared" si="21"/>
        <v>0</v>
      </c>
      <c r="AQ29" s="193">
        <v>0</v>
      </c>
      <c r="AR29" s="238">
        <f t="shared" si="22"/>
        <v>0</v>
      </c>
      <c r="AS29" s="193">
        <v>0</v>
      </c>
      <c r="AT29" s="238">
        <f t="shared" si="23"/>
        <v>0</v>
      </c>
      <c r="AU29" s="193">
        <v>0</v>
      </c>
      <c r="AV29" s="238">
        <f t="shared" si="24"/>
        <v>0</v>
      </c>
      <c r="AW29" s="193">
        <v>0</v>
      </c>
      <c r="AX29" s="238">
        <f t="shared" si="25"/>
        <v>0</v>
      </c>
      <c r="AY29" s="193">
        <v>0</v>
      </c>
      <c r="AZ29" s="238">
        <f t="shared" si="26"/>
        <v>0</v>
      </c>
      <c r="BA29" s="193">
        <v>0</v>
      </c>
      <c r="BB29" s="238">
        <f t="shared" si="27"/>
        <v>0</v>
      </c>
      <c r="BC29" s="193">
        <v>0</v>
      </c>
      <c r="BD29" s="238">
        <f t="shared" si="28"/>
        <v>0</v>
      </c>
      <c r="BE29" s="193">
        <v>0</v>
      </c>
      <c r="BF29" s="238">
        <f t="shared" si="29"/>
        <v>0</v>
      </c>
      <c r="BG29" s="193">
        <v>0</v>
      </c>
      <c r="BH29" s="238">
        <f t="shared" si="30"/>
        <v>0</v>
      </c>
      <c r="BI29" s="193">
        <v>0</v>
      </c>
      <c r="BJ29" s="238">
        <f t="shared" si="31"/>
        <v>0</v>
      </c>
      <c r="BK29" s="193">
        <v>0</v>
      </c>
      <c r="BL29" s="238">
        <f t="shared" si="32"/>
        <v>0</v>
      </c>
      <c r="BM29" s="193">
        <v>0</v>
      </c>
      <c r="BN29" s="238">
        <f t="shared" si="33"/>
        <v>0</v>
      </c>
      <c r="BO29" s="193">
        <v>0</v>
      </c>
      <c r="BP29" s="238">
        <f t="shared" si="34"/>
        <v>0</v>
      </c>
      <c r="BQ29" s="193">
        <v>0</v>
      </c>
      <c r="BR29" s="238">
        <f t="shared" si="35"/>
        <v>0</v>
      </c>
      <c r="BS29" s="225"/>
      <c r="BT29" s="239">
        <f t="shared" si="36"/>
        <v>387.81999999999999</v>
      </c>
      <c r="BU29" s="238">
        <f t="shared" si="1"/>
        <v>22299.649999999998</v>
      </c>
    </row>
    <row r="30" spans="1:73" ht="14.25">
      <c r="A30" s="241">
        <v>1964</v>
      </c>
      <c r="B30" s="240">
        <f t="shared" si="0"/>
        <v>56.5</v>
      </c>
      <c r="C30" s="193">
        <v>0</v>
      </c>
      <c r="D30" s="238">
        <f t="shared" si="2"/>
        <v>0</v>
      </c>
      <c r="E30" s="193">
        <v>0</v>
      </c>
      <c r="F30" s="238">
        <f t="shared" si="3"/>
        <v>0</v>
      </c>
      <c r="G30" s="193">
        <v>0</v>
      </c>
      <c r="H30" s="238">
        <f t="shared" si="4"/>
        <v>0</v>
      </c>
      <c r="I30" s="193">
        <v>245.09999999999999</v>
      </c>
      <c r="J30" s="238">
        <f t="shared" si="5"/>
        <v>13848.15</v>
      </c>
      <c r="K30" s="193">
        <v>0</v>
      </c>
      <c r="L30" s="238">
        <f t="shared" si="6"/>
        <v>0</v>
      </c>
      <c r="M30" s="193">
        <v>0</v>
      </c>
      <c r="N30" s="238">
        <f t="shared" si="7"/>
        <v>0</v>
      </c>
      <c r="O30" s="193">
        <v>0</v>
      </c>
      <c r="P30" s="238">
        <f t="shared" si="8"/>
        <v>0</v>
      </c>
      <c r="Q30" s="193">
        <v>0</v>
      </c>
      <c r="R30" s="238">
        <f t="shared" si="9"/>
        <v>0</v>
      </c>
      <c r="S30" s="193">
        <v>0</v>
      </c>
      <c r="T30" s="238">
        <f t="shared" si="10"/>
        <v>0</v>
      </c>
      <c r="U30" s="193">
        <v>0</v>
      </c>
      <c r="V30" s="238">
        <f t="shared" si="11"/>
        <v>0</v>
      </c>
      <c r="W30" s="193">
        <v>0</v>
      </c>
      <c r="X30" s="238">
        <f t="shared" si="12"/>
        <v>0</v>
      </c>
      <c r="Y30" s="193">
        <v>0</v>
      </c>
      <c r="Z30" s="238">
        <f t="shared" si="13"/>
        <v>0</v>
      </c>
      <c r="AA30" s="193">
        <v>0</v>
      </c>
      <c r="AB30" s="238">
        <f t="shared" si="14"/>
        <v>0</v>
      </c>
      <c r="AC30" s="193">
        <v>0</v>
      </c>
      <c r="AD30" s="238">
        <f t="shared" si="15"/>
        <v>0</v>
      </c>
      <c r="AE30" s="193">
        <v>365</v>
      </c>
      <c r="AF30" s="238">
        <f t="shared" si="16"/>
        <v>20622.5</v>
      </c>
      <c r="AG30" s="193">
        <v>0</v>
      </c>
      <c r="AH30" s="238">
        <f t="shared" si="17"/>
        <v>0</v>
      </c>
      <c r="AI30" s="193">
        <v>0</v>
      </c>
      <c r="AJ30" s="238">
        <f t="shared" si="18"/>
        <v>0</v>
      </c>
      <c r="AK30" s="193">
        <v>0</v>
      </c>
      <c r="AL30" s="238">
        <f t="shared" si="19"/>
        <v>0</v>
      </c>
      <c r="AM30" s="193">
        <v>0</v>
      </c>
      <c r="AN30" s="238">
        <f t="shared" si="20"/>
        <v>0</v>
      </c>
      <c r="AO30" s="193">
        <v>0</v>
      </c>
      <c r="AP30" s="238">
        <f t="shared" si="21"/>
        <v>0</v>
      </c>
      <c r="AQ30" s="193">
        <v>0</v>
      </c>
      <c r="AR30" s="238">
        <f t="shared" si="22"/>
        <v>0</v>
      </c>
      <c r="AS30" s="193">
        <v>0</v>
      </c>
      <c r="AT30" s="238">
        <f t="shared" si="23"/>
        <v>0</v>
      </c>
      <c r="AU30" s="193">
        <v>0</v>
      </c>
      <c r="AV30" s="238">
        <f t="shared" si="24"/>
        <v>0</v>
      </c>
      <c r="AW30" s="193">
        <v>0</v>
      </c>
      <c r="AX30" s="238">
        <f t="shared" si="25"/>
        <v>0</v>
      </c>
      <c r="AY30" s="193">
        <v>0</v>
      </c>
      <c r="AZ30" s="238">
        <f t="shared" si="26"/>
        <v>0</v>
      </c>
      <c r="BA30" s="193">
        <v>0</v>
      </c>
      <c r="BB30" s="238">
        <f t="shared" si="27"/>
        <v>0</v>
      </c>
      <c r="BC30" s="193">
        <v>0</v>
      </c>
      <c r="BD30" s="238">
        <f t="shared" si="28"/>
        <v>0</v>
      </c>
      <c r="BE30" s="193">
        <v>0</v>
      </c>
      <c r="BF30" s="238">
        <f t="shared" si="29"/>
        <v>0</v>
      </c>
      <c r="BG30" s="193">
        <v>0</v>
      </c>
      <c r="BH30" s="238">
        <f t="shared" si="30"/>
        <v>0</v>
      </c>
      <c r="BI30" s="193">
        <v>0</v>
      </c>
      <c r="BJ30" s="238">
        <f t="shared" si="31"/>
        <v>0</v>
      </c>
      <c r="BK30" s="193">
        <v>0</v>
      </c>
      <c r="BL30" s="238">
        <f t="shared" si="32"/>
        <v>0</v>
      </c>
      <c r="BM30" s="193">
        <v>0</v>
      </c>
      <c r="BN30" s="238">
        <f t="shared" si="33"/>
        <v>0</v>
      </c>
      <c r="BO30" s="193">
        <v>0</v>
      </c>
      <c r="BP30" s="238">
        <f t="shared" si="34"/>
        <v>0</v>
      </c>
      <c r="BQ30" s="193">
        <v>0</v>
      </c>
      <c r="BR30" s="238">
        <f t="shared" si="35"/>
        <v>0</v>
      </c>
      <c r="BS30" s="225"/>
      <c r="BT30" s="239">
        <f t="shared" si="36"/>
        <v>610.10000000000002</v>
      </c>
      <c r="BU30" s="238">
        <f t="shared" si="1"/>
        <v>34470.650000000001</v>
      </c>
    </row>
    <row r="31" spans="1:73" ht="14.25">
      <c r="A31" s="241">
        <v>1965</v>
      </c>
      <c r="B31" s="240">
        <f t="shared" si="0"/>
        <v>55.5</v>
      </c>
      <c r="C31" s="193">
        <v>0</v>
      </c>
      <c r="D31" s="238">
        <f t="shared" si="2"/>
        <v>0</v>
      </c>
      <c r="E31" s="193">
        <v>1258.76</v>
      </c>
      <c r="F31" s="238">
        <f t="shared" si="3"/>
        <v>69861.179999999993</v>
      </c>
      <c r="G31" s="193">
        <v>0</v>
      </c>
      <c r="H31" s="238">
        <f t="shared" si="4"/>
        <v>0</v>
      </c>
      <c r="I31" s="193">
        <v>0</v>
      </c>
      <c r="J31" s="238">
        <f t="shared" si="5"/>
        <v>0</v>
      </c>
      <c r="K31" s="193">
        <v>0</v>
      </c>
      <c r="L31" s="238">
        <f t="shared" si="6"/>
        <v>0</v>
      </c>
      <c r="M31" s="193">
        <v>0</v>
      </c>
      <c r="N31" s="238">
        <f t="shared" si="7"/>
        <v>0</v>
      </c>
      <c r="O31" s="193">
        <v>0</v>
      </c>
      <c r="P31" s="238">
        <f t="shared" si="8"/>
        <v>0</v>
      </c>
      <c r="Q31" s="193">
        <v>0</v>
      </c>
      <c r="R31" s="238">
        <f t="shared" si="9"/>
        <v>0</v>
      </c>
      <c r="S31" s="193">
        <v>0</v>
      </c>
      <c r="T31" s="238">
        <f t="shared" si="10"/>
        <v>0</v>
      </c>
      <c r="U31" s="193">
        <v>0</v>
      </c>
      <c r="V31" s="238">
        <f t="shared" si="11"/>
        <v>0</v>
      </c>
      <c r="W31" s="193">
        <v>0</v>
      </c>
      <c r="X31" s="238">
        <f t="shared" si="12"/>
        <v>0</v>
      </c>
      <c r="Y31" s="193">
        <v>0</v>
      </c>
      <c r="Z31" s="238">
        <f t="shared" si="13"/>
        <v>0</v>
      </c>
      <c r="AA31" s="193">
        <v>0</v>
      </c>
      <c r="AB31" s="238">
        <f t="shared" si="14"/>
        <v>0</v>
      </c>
      <c r="AC31" s="193">
        <v>0</v>
      </c>
      <c r="AD31" s="238">
        <f t="shared" si="15"/>
        <v>0</v>
      </c>
      <c r="AE31" s="193">
        <v>0</v>
      </c>
      <c r="AF31" s="238">
        <f t="shared" si="16"/>
        <v>0</v>
      </c>
      <c r="AG31" s="193">
        <v>0</v>
      </c>
      <c r="AH31" s="238">
        <f t="shared" si="17"/>
        <v>0</v>
      </c>
      <c r="AI31" s="193">
        <v>0</v>
      </c>
      <c r="AJ31" s="238">
        <f t="shared" si="18"/>
        <v>0</v>
      </c>
      <c r="AK31" s="193">
        <v>0</v>
      </c>
      <c r="AL31" s="238">
        <f t="shared" si="19"/>
        <v>0</v>
      </c>
      <c r="AM31" s="193">
        <v>243.56999999999999</v>
      </c>
      <c r="AN31" s="238">
        <f t="shared" si="20"/>
        <v>13518.135</v>
      </c>
      <c r="AO31" s="193">
        <v>0</v>
      </c>
      <c r="AP31" s="238">
        <f t="shared" si="21"/>
        <v>0</v>
      </c>
      <c r="AQ31" s="193">
        <v>0</v>
      </c>
      <c r="AR31" s="238">
        <f t="shared" si="22"/>
        <v>0</v>
      </c>
      <c r="AS31" s="193">
        <v>0</v>
      </c>
      <c r="AT31" s="238">
        <f t="shared" si="23"/>
        <v>0</v>
      </c>
      <c r="AU31" s="193">
        <v>0</v>
      </c>
      <c r="AV31" s="238">
        <f t="shared" si="24"/>
        <v>0</v>
      </c>
      <c r="AW31" s="193">
        <v>0</v>
      </c>
      <c r="AX31" s="238">
        <f t="shared" si="25"/>
        <v>0</v>
      </c>
      <c r="AY31" s="193">
        <v>0</v>
      </c>
      <c r="AZ31" s="238">
        <f t="shared" si="26"/>
        <v>0</v>
      </c>
      <c r="BA31" s="193">
        <v>0</v>
      </c>
      <c r="BB31" s="238">
        <f t="shared" si="27"/>
        <v>0</v>
      </c>
      <c r="BC31" s="193">
        <v>0</v>
      </c>
      <c r="BD31" s="238">
        <f t="shared" si="28"/>
        <v>0</v>
      </c>
      <c r="BE31" s="193">
        <v>0</v>
      </c>
      <c r="BF31" s="238">
        <f t="shared" si="29"/>
        <v>0</v>
      </c>
      <c r="BG31" s="193">
        <v>0</v>
      </c>
      <c r="BH31" s="238">
        <f t="shared" si="30"/>
        <v>0</v>
      </c>
      <c r="BI31" s="193">
        <v>0</v>
      </c>
      <c r="BJ31" s="238">
        <f t="shared" si="31"/>
        <v>0</v>
      </c>
      <c r="BK31" s="193">
        <v>0</v>
      </c>
      <c r="BL31" s="238">
        <f t="shared" si="32"/>
        <v>0</v>
      </c>
      <c r="BM31" s="193">
        <v>0</v>
      </c>
      <c r="BN31" s="238">
        <f t="shared" si="33"/>
        <v>0</v>
      </c>
      <c r="BO31" s="193">
        <v>0</v>
      </c>
      <c r="BP31" s="238">
        <f t="shared" si="34"/>
        <v>0</v>
      </c>
      <c r="BQ31" s="193">
        <v>0</v>
      </c>
      <c r="BR31" s="238">
        <f t="shared" si="35"/>
        <v>0</v>
      </c>
      <c r="BS31" s="225"/>
      <c r="BT31" s="239">
        <f t="shared" si="36"/>
        <v>1502.3299999999999</v>
      </c>
      <c r="BU31" s="238">
        <f t="shared" si="1"/>
        <v>83379.315000000002</v>
      </c>
    </row>
    <row r="32" spans="1:73" ht="14.25">
      <c r="A32" s="241">
        <v>1966</v>
      </c>
      <c r="B32" s="240">
        <f t="shared" si="0"/>
        <v>54.5</v>
      </c>
      <c r="C32" s="193">
        <v>0</v>
      </c>
      <c r="D32" s="238">
        <f t="shared" si="2"/>
        <v>0</v>
      </c>
      <c r="E32" s="193">
        <v>0</v>
      </c>
      <c r="F32" s="238">
        <f t="shared" si="3"/>
        <v>0</v>
      </c>
      <c r="G32" s="193">
        <v>0</v>
      </c>
      <c r="H32" s="238">
        <f t="shared" si="4"/>
        <v>0</v>
      </c>
      <c r="I32" s="193">
        <v>132.59</v>
      </c>
      <c r="J32" s="238">
        <f t="shared" si="5"/>
        <v>7226.1549999999997</v>
      </c>
      <c r="K32" s="193">
        <v>0</v>
      </c>
      <c r="L32" s="238">
        <f t="shared" si="6"/>
        <v>0</v>
      </c>
      <c r="M32" s="193">
        <v>0</v>
      </c>
      <c r="N32" s="238">
        <f t="shared" si="7"/>
        <v>0</v>
      </c>
      <c r="O32" s="193">
        <v>0</v>
      </c>
      <c r="P32" s="238">
        <f t="shared" si="8"/>
        <v>0</v>
      </c>
      <c r="Q32" s="193">
        <v>0</v>
      </c>
      <c r="R32" s="238">
        <f t="shared" si="9"/>
        <v>0</v>
      </c>
      <c r="S32" s="193">
        <v>9360.1499999999996</v>
      </c>
      <c r="T32" s="238">
        <f t="shared" si="10"/>
        <v>510128.17499999999</v>
      </c>
      <c r="U32" s="193">
        <v>0</v>
      </c>
      <c r="V32" s="238">
        <f t="shared" si="11"/>
        <v>0</v>
      </c>
      <c r="W32" s="193">
        <v>93.430000000000007</v>
      </c>
      <c r="X32" s="238">
        <f t="shared" si="12"/>
        <v>5091.9350000000004</v>
      </c>
      <c r="Y32" s="193">
        <v>0</v>
      </c>
      <c r="Z32" s="238">
        <f t="shared" si="13"/>
        <v>0</v>
      </c>
      <c r="AA32" s="193">
        <v>0</v>
      </c>
      <c r="AB32" s="238">
        <f t="shared" si="14"/>
        <v>0</v>
      </c>
      <c r="AC32" s="193">
        <v>0</v>
      </c>
      <c r="AD32" s="238">
        <f t="shared" si="15"/>
        <v>0</v>
      </c>
      <c r="AE32" s="193">
        <v>0</v>
      </c>
      <c r="AF32" s="238">
        <f t="shared" si="16"/>
        <v>0</v>
      </c>
      <c r="AG32" s="193">
        <v>0</v>
      </c>
      <c r="AH32" s="238">
        <f t="shared" si="17"/>
        <v>0</v>
      </c>
      <c r="AI32" s="193">
        <v>0</v>
      </c>
      <c r="AJ32" s="238">
        <f t="shared" si="18"/>
        <v>0</v>
      </c>
      <c r="AK32" s="193">
        <v>0</v>
      </c>
      <c r="AL32" s="238">
        <f t="shared" si="19"/>
        <v>0</v>
      </c>
      <c r="AM32" s="193">
        <v>223</v>
      </c>
      <c r="AN32" s="238">
        <f t="shared" si="20"/>
        <v>12153.5</v>
      </c>
      <c r="AO32" s="193">
        <v>0</v>
      </c>
      <c r="AP32" s="238">
        <f t="shared" si="21"/>
        <v>0</v>
      </c>
      <c r="AQ32" s="193">
        <v>0</v>
      </c>
      <c r="AR32" s="238">
        <f t="shared" si="22"/>
        <v>0</v>
      </c>
      <c r="AS32" s="193">
        <v>0</v>
      </c>
      <c r="AT32" s="238">
        <f t="shared" si="23"/>
        <v>0</v>
      </c>
      <c r="AU32" s="193">
        <v>0</v>
      </c>
      <c r="AV32" s="238">
        <f t="shared" si="24"/>
        <v>0</v>
      </c>
      <c r="AW32" s="193">
        <v>0</v>
      </c>
      <c r="AX32" s="238">
        <f t="shared" si="25"/>
        <v>0</v>
      </c>
      <c r="AY32" s="193">
        <v>0</v>
      </c>
      <c r="AZ32" s="238">
        <f t="shared" si="26"/>
        <v>0</v>
      </c>
      <c r="BA32" s="193">
        <v>0</v>
      </c>
      <c r="BB32" s="238">
        <f t="shared" si="27"/>
        <v>0</v>
      </c>
      <c r="BC32" s="193">
        <v>0</v>
      </c>
      <c r="BD32" s="238">
        <f t="shared" si="28"/>
        <v>0</v>
      </c>
      <c r="BE32" s="193">
        <v>0</v>
      </c>
      <c r="BF32" s="238">
        <f t="shared" si="29"/>
        <v>0</v>
      </c>
      <c r="BG32" s="193">
        <v>0</v>
      </c>
      <c r="BH32" s="238">
        <f t="shared" si="30"/>
        <v>0</v>
      </c>
      <c r="BI32" s="193">
        <v>0</v>
      </c>
      <c r="BJ32" s="238">
        <f t="shared" si="31"/>
        <v>0</v>
      </c>
      <c r="BK32" s="193">
        <v>0</v>
      </c>
      <c r="BL32" s="238">
        <f t="shared" si="32"/>
        <v>0</v>
      </c>
      <c r="BM32" s="193">
        <v>0</v>
      </c>
      <c r="BN32" s="238">
        <f t="shared" si="33"/>
        <v>0</v>
      </c>
      <c r="BO32" s="193">
        <v>0</v>
      </c>
      <c r="BP32" s="238">
        <f t="shared" si="34"/>
        <v>0</v>
      </c>
      <c r="BQ32" s="193">
        <v>0</v>
      </c>
      <c r="BR32" s="238">
        <f t="shared" si="35"/>
        <v>0</v>
      </c>
      <c r="BS32" s="225"/>
      <c r="BT32" s="239">
        <f t="shared" si="36"/>
        <v>9809.1700000000001</v>
      </c>
      <c r="BU32" s="238">
        <f t="shared" si="1"/>
        <v>534599.76500000001</v>
      </c>
    </row>
    <row r="33" spans="1:73" ht="14.25">
      <c r="A33" s="241">
        <v>1967</v>
      </c>
      <c r="B33" s="240">
        <f t="shared" si="0"/>
        <v>53.5</v>
      </c>
      <c r="C33" s="193">
        <v>0</v>
      </c>
      <c r="D33" s="238">
        <f t="shared" si="2"/>
        <v>0</v>
      </c>
      <c r="E33" s="193">
        <v>0</v>
      </c>
      <c r="F33" s="238">
        <f t="shared" si="3"/>
        <v>0</v>
      </c>
      <c r="G33" s="193">
        <v>0</v>
      </c>
      <c r="H33" s="238">
        <f t="shared" si="4"/>
        <v>0</v>
      </c>
      <c r="I33" s="193">
        <v>202.41</v>
      </c>
      <c r="J33" s="238">
        <f t="shared" si="5"/>
        <v>10828.934999999999</v>
      </c>
      <c r="K33" s="193">
        <v>0</v>
      </c>
      <c r="L33" s="238">
        <f t="shared" si="6"/>
        <v>0</v>
      </c>
      <c r="M33" s="193">
        <v>0</v>
      </c>
      <c r="N33" s="238">
        <f t="shared" si="7"/>
        <v>0</v>
      </c>
      <c r="O33" s="193">
        <v>0</v>
      </c>
      <c r="P33" s="238">
        <f t="shared" si="8"/>
        <v>0</v>
      </c>
      <c r="Q33" s="193">
        <v>0</v>
      </c>
      <c r="R33" s="238">
        <f t="shared" si="9"/>
        <v>0</v>
      </c>
      <c r="S33" s="193">
        <v>53.520000000000003</v>
      </c>
      <c r="T33" s="238">
        <f t="shared" si="10"/>
        <v>2863.3200000000002</v>
      </c>
      <c r="U33" s="193">
        <v>0</v>
      </c>
      <c r="V33" s="238">
        <f t="shared" si="11"/>
        <v>0</v>
      </c>
      <c r="W33" s="193">
        <v>3192.3200000000002</v>
      </c>
      <c r="X33" s="238">
        <f t="shared" si="12"/>
        <v>170789.12</v>
      </c>
      <c r="Y33" s="193">
        <v>0</v>
      </c>
      <c r="Z33" s="238">
        <f t="shared" si="13"/>
        <v>0</v>
      </c>
      <c r="AA33" s="193">
        <v>0</v>
      </c>
      <c r="AB33" s="238">
        <f t="shared" si="14"/>
        <v>0</v>
      </c>
      <c r="AC33" s="193">
        <v>0</v>
      </c>
      <c r="AD33" s="238">
        <f t="shared" si="15"/>
        <v>0</v>
      </c>
      <c r="AE33" s="193">
        <v>0</v>
      </c>
      <c r="AF33" s="238">
        <f t="shared" si="16"/>
        <v>0</v>
      </c>
      <c r="AG33" s="193">
        <v>0</v>
      </c>
      <c r="AH33" s="238">
        <f t="shared" si="17"/>
        <v>0</v>
      </c>
      <c r="AI33" s="193">
        <v>0</v>
      </c>
      <c r="AJ33" s="238">
        <f t="shared" si="18"/>
        <v>0</v>
      </c>
      <c r="AK33" s="193">
        <v>0</v>
      </c>
      <c r="AL33" s="238">
        <f t="shared" si="19"/>
        <v>0</v>
      </c>
      <c r="AM33" s="193">
        <v>0</v>
      </c>
      <c r="AN33" s="238">
        <f t="shared" si="20"/>
        <v>0</v>
      </c>
      <c r="AO33" s="193">
        <v>0</v>
      </c>
      <c r="AP33" s="238">
        <f t="shared" si="21"/>
        <v>0</v>
      </c>
      <c r="AQ33" s="193">
        <v>0</v>
      </c>
      <c r="AR33" s="238">
        <f t="shared" si="22"/>
        <v>0</v>
      </c>
      <c r="AS33" s="193">
        <v>0</v>
      </c>
      <c r="AT33" s="238">
        <f t="shared" si="23"/>
        <v>0</v>
      </c>
      <c r="AU33" s="193">
        <v>0</v>
      </c>
      <c r="AV33" s="238">
        <f t="shared" si="24"/>
        <v>0</v>
      </c>
      <c r="AW33" s="193">
        <v>0</v>
      </c>
      <c r="AX33" s="238">
        <f t="shared" si="25"/>
        <v>0</v>
      </c>
      <c r="AY33" s="193">
        <v>0</v>
      </c>
      <c r="AZ33" s="238">
        <f t="shared" si="26"/>
        <v>0</v>
      </c>
      <c r="BA33" s="193">
        <v>0</v>
      </c>
      <c r="BB33" s="238">
        <f t="shared" si="27"/>
        <v>0</v>
      </c>
      <c r="BC33" s="193">
        <v>0</v>
      </c>
      <c r="BD33" s="238">
        <f t="shared" si="28"/>
        <v>0</v>
      </c>
      <c r="BE33" s="193">
        <v>0</v>
      </c>
      <c r="BF33" s="238">
        <f t="shared" si="29"/>
        <v>0</v>
      </c>
      <c r="BG33" s="193">
        <v>0</v>
      </c>
      <c r="BH33" s="238">
        <f t="shared" si="30"/>
        <v>0</v>
      </c>
      <c r="BI33" s="193">
        <v>0</v>
      </c>
      <c r="BJ33" s="238">
        <f t="shared" si="31"/>
        <v>0</v>
      </c>
      <c r="BK33" s="193">
        <v>0</v>
      </c>
      <c r="BL33" s="238">
        <f t="shared" si="32"/>
        <v>0</v>
      </c>
      <c r="BM33" s="193">
        <v>0</v>
      </c>
      <c r="BN33" s="238">
        <f t="shared" si="33"/>
        <v>0</v>
      </c>
      <c r="BO33" s="193">
        <v>0</v>
      </c>
      <c r="BP33" s="238">
        <f t="shared" si="34"/>
        <v>0</v>
      </c>
      <c r="BQ33" s="193">
        <v>0</v>
      </c>
      <c r="BR33" s="238">
        <f t="shared" si="35"/>
        <v>0</v>
      </c>
      <c r="BS33" s="225"/>
      <c r="BT33" s="239">
        <f t="shared" si="36"/>
        <v>3448.25</v>
      </c>
      <c r="BU33" s="238">
        <f t="shared" si="1"/>
        <v>184481.375</v>
      </c>
    </row>
    <row r="34" spans="1:73" ht="14.25">
      <c r="A34" s="241">
        <v>1968</v>
      </c>
      <c r="B34" s="240">
        <f t="shared" si="0"/>
        <v>52.5</v>
      </c>
      <c r="C34" s="193">
        <v>0</v>
      </c>
      <c r="D34" s="238">
        <f t="shared" si="2"/>
        <v>0</v>
      </c>
      <c r="E34" s="193">
        <v>0</v>
      </c>
      <c r="F34" s="238">
        <f t="shared" si="3"/>
        <v>0</v>
      </c>
      <c r="G34" s="193">
        <v>0</v>
      </c>
      <c r="H34" s="238">
        <f t="shared" si="4"/>
        <v>0</v>
      </c>
      <c r="I34" s="193">
        <v>16424.689999999999</v>
      </c>
      <c r="J34" s="238">
        <f t="shared" si="5"/>
        <v>862296.22499999998</v>
      </c>
      <c r="K34" s="193">
        <v>0</v>
      </c>
      <c r="L34" s="238">
        <f t="shared" si="6"/>
        <v>0</v>
      </c>
      <c r="M34" s="193">
        <v>0</v>
      </c>
      <c r="N34" s="238">
        <f t="shared" si="7"/>
        <v>0</v>
      </c>
      <c r="O34" s="193">
        <v>0</v>
      </c>
      <c r="P34" s="238">
        <f t="shared" si="8"/>
        <v>0</v>
      </c>
      <c r="Q34" s="193">
        <v>0</v>
      </c>
      <c r="R34" s="238">
        <f t="shared" si="9"/>
        <v>0</v>
      </c>
      <c r="S34" s="193">
        <v>1555.22</v>
      </c>
      <c r="T34" s="238">
        <f t="shared" si="10"/>
        <v>81649.050000000003</v>
      </c>
      <c r="U34" s="193">
        <v>0</v>
      </c>
      <c r="V34" s="238">
        <f t="shared" si="11"/>
        <v>0</v>
      </c>
      <c r="W34" s="193">
        <v>973.55999999999995</v>
      </c>
      <c r="X34" s="238">
        <f t="shared" si="12"/>
        <v>51111.899999999994</v>
      </c>
      <c r="Y34" s="193">
        <v>0</v>
      </c>
      <c r="Z34" s="238">
        <f t="shared" si="13"/>
        <v>0</v>
      </c>
      <c r="AA34" s="193">
        <v>0</v>
      </c>
      <c r="AB34" s="238">
        <f t="shared" si="14"/>
        <v>0</v>
      </c>
      <c r="AC34" s="193">
        <v>0</v>
      </c>
      <c r="AD34" s="238">
        <f t="shared" si="15"/>
        <v>0</v>
      </c>
      <c r="AE34" s="193">
        <v>0</v>
      </c>
      <c r="AF34" s="238">
        <f t="shared" si="16"/>
        <v>0</v>
      </c>
      <c r="AG34" s="193">
        <v>0</v>
      </c>
      <c r="AH34" s="238">
        <f t="shared" si="17"/>
        <v>0</v>
      </c>
      <c r="AI34" s="193">
        <v>0</v>
      </c>
      <c r="AJ34" s="238">
        <f t="shared" si="18"/>
        <v>0</v>
      </c>
      <c r="AK34" s="193">
        <v>0</v>
      </c>
      <c r="AL34" s="238">
        <f t="shared" si="19"/>
        <v>0</v>
      </c>
      <c r="AM34" s="193">
        <v>0</v>
      </c>
      <c r="AN34" s="238">
        <f t="shared" si="20"/>
        <v>0</v>
      </c>
      <c r="AO34" s="193">
        <v>0</v>
      </c>
      <c r="AP34" s="238">
        <f t="shared" si="21"/>
        <v>0</v>
      </c>
      <c r="AQ34" s="193">
        <v>0</v>
      </c>
      <c r="AR34" s="238">
        <f t="shared" si="22"/>
        <v>0</v>
      </c>
      <c r="AS34" s="193">
        <v>0</v>
      </c>
      <c r="AT34" s="238">
        <f t="shared" si="23"/>
        <v>0</v>
      </c>
      <c r="AU34" s="193">
        <v>0</v>
      </c>
      <c r="AV34" s="238">
        <f t="shared" si="24"/>
        <v>0</v>
      </c>
      <c r="AW34" s="193">
        <v>0</v>
      </c>
      <c r="AX34" s="238">
        <f t="shared" si="25"/>
        <v>0</v>
      </c>
      <c r="AY34" s="193">
        <v>0</v>
      </c>
      <c r="AZ34" s="238">
        <f t="shared" si="26"/>
        <v>0</v>
      </c>
      <c r="BA34" s="193">
        <v>0</v>
      </c>
      <c r="BB34" s="238">
        <f t="shared" si="27"/>
        <v>0</v>
      </c>
      <c r="BC34" s="193">
        <v>0</v>
      </c>
      <c r="BD34" s="238">
        <f t="shared" si="28"/>
        <v>0</v>
      </c>
      <c r="BE34" s="193">
        <v>0</v>
      </c>
      <c r="BF34" s="238">
        <f t="shared" si="29"/>
        <v>0</v>
      </c>
      <c r="BG34" s="193">
        <v>0</v>
      </c>
      <c r="BH34" s="238">
        <f t="shared" si="30"/>
        <v>0</v>
      </c>
      <c r="BI34" s="193">
        <v>0</v>
      </c>
      <c r="BJ34" s="238">
        <f t="shared" si="31"/>
        <v>0</v>
      </c>
      <c r="BK34" s="193">
        <v>0</v>
      </c>
      <c r="BL34" s="238">
        <f t="shared" si="32"/>
        <v>0</v>
      </c>
      <c r="BM34" s="193">
        <v>0</v>
      </c>
      <c r="BN34" s="238">
        <f t="shared" si="33"/>
        <v>0</v>
      </c>
      <c r="BO34" s="193">
        <v>0</v>
      </c>
      <c r="BP34" s="238">
        <f t="shared" si="34"/>
        <v>0</v>
      </c>
      <c r="BQ34" s="193">
        <v>0</v>
      </c>
      <c r="BR34" s="238">
        <f t="shared" si="35"/>
        <v>0</v>
      </c>
      <c r="BS34" s="225"/>
      <c r="BT34" s="239">
        <f t="shared" si="36"/>
        <v>18953.470000000001</v>
      </c>
      <c r="BU34" s="238">
        <f t="shared" si="1"/>
        <v>995057.17500000005</v>
      </c>
    </row>
    <row r="35" spans="1:73" ht="14.25">
      <c r="A35" s="241">
        <v>1969</v>
      </c>
      <c r="B35" s="240">
        <f t="shared" si="0"/>
        <v>51.5</v>
      </c>
      <c r="C35" s="193">
        <v>0</v>
      </c>
      <c r="D35" s="238">
        <f t="shared" si="2"/>
        <v>0</v>
      </c>
      <c r="E35" s="193">
        <v>711.15999999999997</v>
      </c>
      <c r="F35" s="238">
        <f t="shared" si="3"/>
        <v>36624.739999999998</v>
      </c>
      <c r="G35" s="193">
        <v>0</v>
      </c>
      <c r="H35" s="238">
        <f t="shared" si="4"/>
        <v>0</v>
      </c>
      <c r="I35" s="193">
        <v>0</v>
      </c>
      <c r="J35" s="238">
        <f t="shared" si="5"/>
        <v>0</v>
      </c>
      <c r="K35" s="193">
        <v>0</v>
      </c>
      <c r="L35" s="238">
        <f t="shared" si="6"/>
        <v>0</v>
      </c>
      <c r="M35" s="193">
        <v>0</v>
      </c>
      <c r="N35" s="238">
        <f t="shared" si="7"/>
        <v>0</v>
      </c>
      <c r="O35" s="193">
        <v>0</v>
      </c>
      <c r="P35" s="238">
        <f t="shared" si="8"/>
        <v>0</v>
      </c>
      <c r="Q35" s="193">
        <v>0</v>
      </c>
      <c r="R35" s="238">
        <f t="shared" si="9"/>
        <v>0</v>
      </c>
      <c r="S35" s="193">
        <v>0</v>
      </c>
      <c r="T35" s="238">
        <f t="shared" si="10"/>
        <v>0</v>
      </c>
      <c r="U35" s="193">
        <v>0</v>
      </c>
      <c r="V35" s="238">
        <f t="shared" si="11"/>
        <v>0</v>
      </c>
      <c r="W35" s="193">
        <v>1494.79</v>
      </c>
      <c r="X35" s="238">
        <f t="shared" si="12"/>
        <v>76981.684999999998</v>
      </c>
      <c r="Y35" s="193">
        <v>0</v>
      </c>
      <c r="Z35" s="238">
        <f t="shared" si="13"/>
        <v>0</v>
      </c>
      <c r="AA35" s="193">
        <v>0</v>
      </c>
      <c r="AB35" s="238">
        <f t="shared" si="14"/>
        <v>0</v>
      </c>
      <c r="AC35" s="193">
        <v>0</v>
      </c>
      <c r="AD35" s="238">
        <f t="shared" si="15"/>
        <v>0</v>
      </c>
      <c r="AE35" s="193">
        <v>0</v>
      </c>
      <c r="AF35" s="238">
        <f t="shared" si="16"/>
        <v>0</v>
      </c>
      <c r="AG35" s="193">
        <v>0</v>
      </c>
      <c r="AH35" s="238">
        <f t="shared" si="17"/>
        <v>0</v>
      </c>
      <c r="AI35" s="193">
        <v>0</v>
      </c>
      <c r="AJ35" s="238">
        <f t="shared" si="18"/>
        <v>0</v>
      </c>
      <c r="AK35" s="193">
        <v>0</v>
      </c>
      <c r="AL35" s="238">
        <f t="shared" si="19"/>
        <v>0</v>
      </c>
      <c r="AM35" s="193">
        <v>225</v>
      </c>
      <c r="AN35" s="238">
        <f t="shared" si="20"/>
        <v>11587.5</v>
      </c>
      <c r="AO35" s="193">
        <v>0</v>
      </c>
      <c r="AP35" s="238">
        <f t="shared" si="21"/>
        <v>0</v>
      </c>
      <c r="AQ35" s="193">
        <v>0</v>
      </c>
      <c r="AR35" s="238">
        <f t="shared" si="22"/>
        <v>0</v>
      </c>
      <c r="AS35" s="193">
        <v>0</v>
      </c>
      <c r="AT35" s="238">
        <f t="shared" si="23"/>
        <v>0</v>
      </c>
      <c r="AU35" s="193">
        <v>0</v>
      </c>
      <c r="AV35" s="238">
        <f t="shared" si="24"/>
        <v>0</v>
      </c>
      <c r="AW35" s="193">
        <v>0</v>
      </c>
      <c r="AX35" s="238">
        <f t="shared" si="25"/>
        <v>0</v>
      </c>
      <c r="AY35" s="193">
        <v>0</v>
      </c>
      <c r="AZ35" s="238">
        <f t="shared" si="26"/>
        <v>0</v>
      </c>
      <c r="BA35" s="193">
        <v>0</v>
      </c>
      <c r="BB35" s="238">
        <f t="shared" si="27"/>
        <v>0</v>
      </c>
      <c r="BC35" s="193">
        <v>0</v>
      </c>
      <c r="BD35" s="238">
        <f t="shared" si="28"/>
        <v>0</v>
      </c>
      <c r="BE35" s="193">
        <v>0</v>
      </c>
      <c r="BF35" s="238">
        <f t="shared" si="29"/>
        <v>0</v>
      </c>
      <c r="BG35" s="193">
        <v>0</v>
      </c>
      <c r="BH35" s="238">
        <f t="shared" si="30"/>
        <v>0</v>
      </c>
      <c r="BI35" s="193">
        <v>0</v>
      </c>
      <c r="BJ35" s="238">
        <f t="shared" si="31"/>
        <v>0</v>
      </c>
      <c r="BK35" s="193">
        <v>0</v>
      </c>
      <c r="BL35" s="238">
        <f t="shared" si="32"/>
        <v>0</v>
      </c>
      <c r="BM35" s="193">
        <v>0</v>
      </c>
      <c r="BN35" s="238">
        <f t="shared" si="33"/>
        <v>0</v>
      </c>
      <c r="BO35" s="193">
        <v>0</v>
      </c>
      <c r="BP35" s="238">
        <f t="shared" si="34"/>
        <v>0</v>
      </c>
      <c r="BQ35" s="193">
        <v>0</v>
      </c>
      <c r="BR35" s="238">
        <f t="shared" si="35"/>
        <v>0</v>
      </c>
      <c r="BS35" s="225"/>
      <c r="BT35" s="239">
        <f t="shared" si="36"/>
        <v>2430.9499999999998</v>
      </c>
      <c r="BU35" s="238">
        <f t="shared" si="1"/>
        <v>125193.92499999999</v>
      </c>
    </row>
    <row r="36" spans="1:73" ht="14.25">
      <c r="A36" s="241">
        <v>1970</v>
      </c>
      <c r="B36" s="240">
        <f t="shared" si="0"/>
        <v>50.5</v>
      </c>
      <c r="C36" s="193">
        <v>0</v>
      </c>
      <c r="D36" s="238">
        <f t="shared" si="2"/>
        <v>0</v>
      </c>
      <c r="E36" s="193">
        <v>0</v>
      </c>
      <c r="F36" s="238">
        <f t="shared" si="3"/>
        <v>0</v>
      </c>
      <c r="G36" s="193">
        <v>0</v>
      </c>
      <c r="H36" s="238">
        <f t="shared" si="4"/>
        <v>0</v>
      </c>
      <c r="I36" s="193">
        <v>237.59999999999999</v>
      </c>
      <c r="J36" s="238">
        <f t="shared" si="5"/>
        <v>11998.799999999999</v>
      </c>
      <c r="K36" s="193">
        <v>0</v>
      </c>
      <c r="L36" s="238">
        <f t="shared" si="6"/>
        <v>0</v>
      </c>
      <c r="M36" s="193">
        <v>0</v>
      </c>
      <c r="N36" s="238">
        <f t="shared" si="7"/>
        <v>0</v>
      </c>
      <c r="O36" s="193">
        <v>0</v>
      </c>
      <c r="P36" s="238">
        <f t="shared" si="8"/>
        <v>0</v>
      </c>
      <c r="Q36" s="193">
        <v>0</v>
      </c>
      <c r="R36" s="238">
        <f t="shared" si="9"/>
        <v>0</v>
      </c>
      <c r="S36" s="193">
        <v>86.590000000000003</v>
      </c>
      <c r="T36" s="238">
        <f t="shared" si="10"/>
        <v>4372.7950000000001</v>
      </c>
      <c r="U36" s="193">
        <v>0</v>
      </c>
      <c r="V36" s="238">
        <f t="shared" si="11"/>
        <v>0</v>
      </c>
      <c r="W36" s="193">
        <v>0</v>
      </c>
      <c r="X36" s="238">
        <f t="shared" si="12"/>
        <v>0</v>
      </c>
      <c r="Y36" s="193">
        <v>0</v>
      </c>
      <c r="Z36" s="238">
        <f t="shared" si="13"/>
        <v>0</v>
      </c>
      <c r="AA36" s="193">
        <v>0</v>
      </c>
      <c r="AB36" s="238">
        <f t="shared" si="14"/>
        <v>0</v>
      </c>
      <c r="AC36" s="193">
        <v>0</v>
      </c>
      <c r="AD36" s="238">
        <f t="shared" si="15"/>
        <v>0</v>
      </c>
      <c r="AE36" s="193">
        <v>0</v>
      </c>
      <c r="AF36" s="238">
        <f t="shared" si="16"/>
        <v>0</v>
      </c>
      <c r="AG36" s="193">
        <v>0</v>
      </c>
      <c r="AH36" s="238">
        <f t="shared" si="17"/>
        <v>0</v>
      </c>
      <c r="AI36" s="193">
        <v>0</v>
      </c>
      <c r="AJ36" s="238">
        <f t="shared" si="18"/>
        <v>0</v>
      </c>
      <c r="AK36" s="193">
        <v>0</v>
      </c>
      <c r="AL36" s="238">
        <f t="shared" si="19"/>
        <v>0</v>
      </c>
      <c r="AM36" s="193">
        <v>0</v>
      </c>
      <c r="AN36" s="238">
        <f t="shared" si="20"/>
        <v>0</v>
      </c>
      <c r="AO36" s="193">
        <v>0</v>
      </c>
      <c r="AP36" s="238">
        <f t="shared" si="21"/>
        <v>0</v>
      </c>
      <c r="AQ36" s="193">
        <v>0</v>
      </c>
      <c r="AR36" s="238">
        <f t="shared" si="22"/>
        <v>0</v>
      </c>
      <c r="AS36" s="193">
        <v>0</v>
      </c>
      <c r="AT36" s="238">
        <f t="shared" si="23"/>
        <v>0</v>
      </c>
      <c r="AU36" s="193">
        <v>0</v>
      </c>
      <c r="AV36" s="238">
        <f t="shared" si="24"/>
        <v>0</v>
      </c>
      <c r="AW36" s="193">
        <v>0</v>
      </c>
      <c r="AX36" s="238">
        <f t="shared" si="25"/>
        <v>0</v>
      </c>
      <c r="AY36" s="193">
        <v>0</v>
      </c>
      <c r="AZ36" s="238">
        <f t="shared" si="26"/>
        <v>0</v>
      </c>
      <c r="BA36" s="193">
        <v>0</v>
      </c>
      <c r="BB36" s="238">
        <f t="shared" si="27"/>
        <v>0</v>
      </c>
      <c r="BC36" s="193">
        <v>0</v>
      </c>
      <c r="BD36" s="238">
        <f t="shared" si="28"/>
        <v>0</v>
      </c>
      <c r="BE36" s="193">
        <v>0</v>
      </c>
      <c r="BF36" s="238">
        <f t="shared" si="29"/>
        <v>0</v>
      </c>
      <c r="BG36" s="193">
        <v>0</v>
      </c>
      <c r="BH36" s="238">
        <f t="shared" si="30"/>
        <v>0</v>
      </c>
      <c r="BI36" s="193">
        <v>0</v>
      </c>
      <c r="BJ36" s="238">
        <f t="shared" si="31"/>
        <v>0</v>
      </c>
      <c r="BK36" s="193">
        <v>0</v>
      </c>
      <c r="BL36" s="238">
        <f t="shared" si="32"/>
        <v>0</v>
      </c>
      <c r="BM36" s="193">
        <v>0</v>
      </c>
      <c r="BN36" s="238">
        <f t="shared" si="33"/>
        <v>0</v>
      </c>
      <c r="BO36" s="193">
        <v>0</v>
      </c>
      <c r="BP36" s="238">
        <f t="shared" si="34"/>
        <v>0</v>
      </c>
      <c r="BQ36" s="193">
        <v>0</v>
      </c>
      <c r="BR36" s="238">
        <f t="shared" si="35"/>
        <v>0</v>
      </c>
      <c r="BS36" s="225"/>
      <c r="BT36" s="239">
        <f t="shared" si="36"/>
        <v>324.19</v>
      </c>
      <c r="BU36" s="238">
        <f t="shared" si="1"/>
        <v>16371.594999999999</v>
      </c>
    </row>
    <row r="37" spans="1:73" ht="14.25">
      <c r="A37" s="241">
        <v>1971</v>
      </c>
      <c r="B37" s="240">
        <f t="shared" si="0"/>
        <v>49.5</v>
      </c>
      <c r="C37" s="193">
        <v>0</v>
      </c>
      <c r="D37" s="238">
        <f t="shared" si="2"/>
        <v>0</v>
      </c>
      <c r="E37" s="193">
        <v>0</v>
      </c>
      <c r="F37" s="238">
        <f t="shared" si="3"/>
        <v>0</v>
      </c>
      <c r="G37" s="193">
        <v>0</v>
      </c>
      <c r="H37" s="238">
        <f t="shared" si="4"/>
        <v>0</v>
      </c>
      <c r="I37" s="193">
        <v>7412.5900000000001</v>
      </c>
      <c r="J37" s="238">
        <f t="shared" si="5"/>
        <v>366923.20500000002</v>
      </c>
      <c r="K37" s="193">
        <v>0</v>
      </c>
      <c r="L37" s="238">
        <f t="shared" si="6"/>
        <v>0</v>
      </c>
      <c r="M37" s="193">
        <v>0</v>
      </c>
      <c r="N37" s="238">
        <f t="shared" si="7"/>
        <v>0</v>
      </c>
      <c r="O37" s="193">
        <v>0</v>
      </c>
      <c r="P37" s="238">
        <f t="shared" si="8"/>
        <v>0</v>
      </c>
      <c r="Q37" s="193">
        <v>0</v>
      </c>
      <c r="R37" s="238">
        <f t="shared" si="9"/>
        <v>0</v>
      </c>
      <c r="S37" s="193">
        <v>0</v>
      </c>
      <c r="T37" s="238">
        <f t="shared" si="10"/>
        <v>0</v>
      </c>
      <c r="U37" s="193">
        <v>0</v>
      </c>
      <c r="V37" s="238">
        <f t="shared" si="11"/>
        <v>0</v>
      </c>
      <c r="W37" s="193">
        <v>1202.72</v>
      </c>
      <c r="X37" s="238">
        <f t="shared" si="12"/>
        <v>59534.639999999999</v>
      </c>
      <c r="Y37" s="193">
        <v>0</v>
      </c>
      <c r="Z37" s="238">
        <f t="shared" si="13"/>
        <v>0</v>
      </c>
      <c r="AA37" s="193">
        <v>0</v>
      </c>
      <c r="AB37" s="238">
        <f t="shared" si="14"/>
        <v>0</v>
      </c>
      <c r="AC37" s="193">
        <v>0</v>
      </c>
      <c r="AD37" s="238">
        <f t="shared" si="15"/>
        <v>0</v>
      </c>
      <c r="AE37" s="193">
        <v>0</v>
      </c>
      <c r="AF37" s="238">
        <f t="shared" si="16"/>
        <v>0</v>
      </c>
      <c r="AG37" s="193">
        <v>0</v>
      </c>
      <c r="AH37" s="238">
        <f t="shared" si="17"/>
        <v>0</v>
      </c>
      <c r="AI37" s="193">
        <v>0</v>
      </c>
      <c r="AJ37" s="238">
        <f t="shared" si="18"/>
        <v>0</v>
      </c>
      <c r="AK37" s="193">
        <v>0</v>
      </c>
      <c r="AL37" s="238">
        <f t="shared" si="19"/>
        <v>0</v>
      </c>
      <c r="AM37" s="193">
        <v>0</v>
      </c>
      <c r="AN37" s="238">
        <f t="shared" si="20"/>
        <v>0</v>
      </c>
      <c r="AO37" s="193">
        <v>0</v>
      </c>
      <c r="AP37" s="238">
        <f t="shared" si="21"/>
        <v>0</v>
      </c>
      <c r="AQ37" s="193">
        <v>0</v>
      </c>
      <c r="AR37" s="238">
        <f t="shared" si="22"/>
        <v>0</v>
      </c>
      <c r="AS37" s="193">
        <v>0</v>
      </c>
      <c r="AT37" s="238">
        <f t="shared" si="23"/>
        <v>0</v>
      </c>
      <c r="AU37" s="193">
        <v>0</v>
      </c>
      <c r="AV37" s="238">
        <f t="shared" si="24"/>
        <v>0</v>
      </c>
      <c r="AW37" s="193">
        <v>0</v>
      </c>
      <c r="AX37" s="238">
        <f t="shared" si="25"/>
        <v>0</v>
      </c>
      <c r="AY37" s="193">
        <v>0</v>
      </c>
      <c r="AZ37" s="238">
        <f t="shared" si="26"/>
        <v>0</v>
      </c>
      <c r="BA37" s="193">
        <v>0</v>
      </c>
      <c r="BB37" s="238">
        <f t="shared" si="27"/>
        <v>0</v>
      </c>
      <c r="BC37" s="193">
        <v>0</v>
      </c>
      <c r="BD37" s="238">
        <f t="shared" si="28"/>
        <v>0</v>
      </c>
      <c r="BE37" s="193">
        <v>0</v>
      </c>
      <c r="BF37" s="238">
        <f t="shared" si="29"/>
        <v>0</v>
      </c>
      <c r="BG37" s="193">
        <v>0</v>
      </c>
      <c r="BH37" s="238">
        <f t="shared" si="30"/>
        <v>0</v>
      </c>
      <c r="BI37" s="193">
        <v>0</v>
      </c>
      <c r="BJ37" s="238">
        <f t="shared" si="31"/>
        <v>0</v>
      </c>
      <c r="BK37" s="193">
        <v>0</v>
      </c>
      <c r="BL37" s="238">
        <f t="shared" si="32"/>
        <v>0</v>
      </c>
      <c r="BM37" s="193">
        <v>0</v>
      </c>
      <c r="BN37" s="238">
        <f t="shared" si="33"/>
        <v>0</v>
      </c>
      <c r="BO37" s="193">
        <v>0</v>
      </c>
      <c r="BP37" s="238">
        <f t="shared" si="34"/>
        <v>0</v>
      </c>
      <c r="BQ37" s="193">
        <v>0</v>
      </c>
      <c r="BR37" s="238">
        <f t="shared" si="35"/>
        <v>0</v>
      </c>
      <c r="BS37" s="225"/>
      <c r="BT37" s="239">
        <f t="shared" si="36"/>
        <v>8615.3099999999995</v>
      </c>
      <c r="BU37" s="238">
        <f t="shared" si="1"/>
        <v>426457.84499999997</v>
      </c>
    </row>
    <row r="38" spans="1:73" ht="14.25">
      <c r="A38" s="241">
        <v>1972</v>
      </c>
      <c r="B38" s="240">
        <f t="shared" si="37" ref="B38:B69">$A$86-A38+0.5</f>
        <v>48.5</v>
      </c>
      <c r="C38" s="193">
        <v>0</v>
      </c>
      <c r="D38" s="238">
        <f t="shared" si="2"/>
        <v>0</v>
      </c>
      <c r="E38" s="193">
        <v>0</v>
      </c>
      <c r="F38" s="238">
        <f t="shared" si="3"/>
        <v>0</v>
      </c>
      <c r="G38" s="193">
        <v>0</v>
      </c>
      <c r="H38" s="238">
        <f t="shared" si="4"/>
        <v>0</v>
      </c>
      <c r="I38" s="193">
        <v>0</v>
      </c>
      <c r="J38" s="238">
        <f t="shared" si="5"/>
        <v>0</v>
      </c>
      <c r="K38" s="193">
        <v>0</v>
      </c>
      <c r="L38" s="238">
        <f t="shared" si="6"/>
        <v>0</v>
      </c>
      <c r="M38" s="193">
        <v>0</v>
      </c>
      <c r="N38" s="238">
        <f t="shared" si="7"/>
        <v>0</v>
      </c>
      <c r="O38" s="193">
        <v>0</v>
      </c>
      <c r="P38" s="238">
        <f t="shared" si="8"/>
        <v>0</v>
      </c>
      <c r="Q38" s="193">
        <v>0</v>
      </c>
      <c r="R38" s="238">
        <f t="shared" si="9"/>
        <v>0</v>
      </c>
      <c r="S38" s="193">
        <v>0</v>
      </c>
      <c r="T38" s="238">
        <f t="shared" si="10"/>
        <v>0</v>
      </c>
      <c r="U38" s="193">
        <v>0</v>
      </c>
      <c r="V38" s="238">
        <f t="shared" si="11"/>
        <v>0</v>
      </c>
      <c r="W38" s="193">
        <v>264.11000000000001</v>
      </c>
      <c r="X38" s="238">
        <f t="shared" si="12"/>
        <v>12809.335000000001</v>
      </c>
      <c r="Y38" s="193">
        <v>0</v>
      </c>
      <c r="Z38" s="238">
        <f t="shared" si="13"/>
        <v>0</v>
      </c>
      <c r="AA38" s="193">
        <v>0</v>
      </c>
      <c r="AB38" s="238">
        <f t="shared" si="14"/>
        <v>0</v>
      </c>
      <c r="AC38" s="193">
        <v>0</v>
      </c>
      <c r="AD38" s="238">
        <f t="shared" si="15"/>
        <v>0</v>
      </c>
      <c r="AE38" s="193">
        <v>0</v>
      </c>
      <c r="AF38" s="238">
        <f t="shared" si="16"/>
        <v>0</v>
      </c>
      <c r="AG38" s="193">
        <v>0</v>
      </c>
      <c r="AH38" s="238">
        <f t="shared" si="17"/>
        <v>0</v>
      </c>
      <c r="AI38" s="193">
        <v>0</v>
      </c>
      <c r="AJ38" s="238">
        <f t="shared" si="18"/>
        <v>0</v>
      </c>
      <c r="AK38" s="193">
        <v>0</v>
      </c>
      <c r="AL38" s="238">
        <f t="shared" si="19"/>
        <v>0</v>
      </c>
      <c r="AM38" s="193">
        <v>0</v>
      </c>
      <c r="AN38" s="238">
        <f t="shared" si="20"/>
        <v>0</v>
      </c>
      <c r="AO38" s="193">
        <v>0</v>
      </c>
      <c r="AP38" s="238">
        <f t="shared" si="21"/>
        <v>0</v>
      </c>
      <c r="AQ38" s="193">
        <v>0</v>
      </c>
      <c r="AR38" s="238">
        <f t="shared" si="22"/>
        <v>0</v>
      </c>
      <c r="AS38" s="193">
        <v>0</v>
      </c>
      <c r="AT38" s="238">
        <f t="shared" si="23"/>
        <v>0</v>
      </c>
      <c r="AU38" s="193">
        <v>0</v>
      </c>
      <c r="AV38" s="238">
        <f t="shared" si="24"/>
        <v>0</v>
      </c>
      <c r="AW38" s="193">
        <v>0</v>
      </c>
      <c r="AX38" s="238">
        <f t="shared" si="25"/>
        <v>0</v>
      </c>
      <c r="AY38" s="193">
        <v>0</v>
      </c>
      <c r="AZ38" s="238">
        <f t="shared" si="26"/>
        <v>0</v>
      </c>
      <c r="BA38" s="193">
        <v>0</v>
      </c>
      <c r="BB38" s="238">
        <f t="shared" si="27"/>
        <v>0</v>
      </c>
      <c r="BC38" s="193">
        <v>0</v>
      </c>
      <c r="BD38" s="238">
        <f t="shared" si="28"/>
        <v>0</v>
      </c>
      <c r="BE38" s="193">
        <v>0</v>
      </c>
      <c r="BF38" s="238">
        <f t="shared" si="29"/>
        <v>0</v>
      </c>
      <c r="BG38" s="193">
        <v>0</v>
      </c>
      <c r="BH38" s="238">
        <f t="shared" si="30"/>
        <v>0</v>
      </c>
      <c r="BI38" s="193">
        <v>0</v>
      </c>
      <c r="BJ38" s="238">
        <f t="shared" si="31"/>
        <v>0</v>
      </c>
      <c r="BK38" s="193">
        <v>0</v>
      </c>
      <c r="BL38" s="238">
        <f t="shared" si="32"/>
        <v>0</v>
      </c>
      <c r="BM38" s="193">
        <v>0</v>
      </c>
      <c r="BN38" s="238">
        <f t="shared" si="33"/>
        <v>0</v>
      </c>
      <c r="BO38" s="193">
        <v>0</v>
      </c>
      <c r="BP38" s="238">
        <f t="shared" si="34"/>
        <v>0</v>
      </c>
      <c r="BQ38" s="193">
        <v>0</v>
      </c>
      <c r="BR38" s="238">
        <f t="shared" si="35"/>
        <v>0</v>
      </c>
      <c r="BS38" s="225"/>
      <c r="BT38" s="239">
        <f t="shared" si="36"/>
        <v>264.11000000000001</v>
      </c>
      <c r="BU38" s="238">
        <f t="shared" si="38" ref="BU38:BU69">+BT38*$B38</f>
        <v>12809.335000000001</v>
      </c>
    </row>
    <row r="39" spans="1:73" ht="14.25">
      <c r="A39" s="241">
        <v>1973</v>
      </c>
      <c r="B39" s="240">
        <f t="shared" si="37"/>
        <v>47.5</v>
      </c>
      <c r="C39" s="193">
        <v>0</v>
      </c>
      <c r="D39" s="238">
        <f t="shared" si="2"/>
        <v>0</v>
      </c>
      <c r="E39" s="193">
        <v>1458.04</v>
      </c>
      <c r="F39" s="238">
        <f t="shared" si="3"/>
        <v>69256.899999999994</v>
      </c>
      <c r="G39" s="193">
        <v>0</v>
      </c>
      <c r="H39" s="238">
        <f t="shared" si="4"/>
        <v>0</v>
      </c>
      <c r="I39" s="193">
        <v>0</v>
      </c>
      <c r="J39" s="238">
        <f t="shared" si="5"/>
        <v>0</v>
      </c>
      <c r="K39" s="193">
        <v>0</v>
      </c>
      <c r="L39" s="238">
        <f t="shared" si="6"/>
        <v>0</v>
      </c>
      <c r="M39" s="193">
        <v>0</v>
      </c>
      <c r="N39" s="238">
        <f t="shared" si="7"/>
        <v>0</v>
      </c>
      <c r="O39" s="193">
        <v>0</v>
      </c>
      <c r="P39" s="238">
        <f t="shared" si="8"/>
        <v>0</v>
      </c>
      <c r="Q39" s="193">
        <v>0</v>
      </c>
      <c r="R39" s="238">
        <f t="shared" si="9"/>
        <v>0</v>
      </c>
      <c r="S39" s="193">
        <v>0</v>
      </c>
      <c r="T39" s="238">
        <f t="shared" si="10"/>
        <v>0</v>
      </c>
      <c r="U39" s="193">
        <v>0</v>
      </c>
      <c r="V39" s="238">
        <f t="shared" si="11"/>
        <v>0</v>
      </c>
      <c r="W39" s="193">
        <v>868.97000000000003</v>
      </c>
      <c r="X39" s="238">
        <f t="shared" si="12"/>
        <v>41276.075000000004</v>
      </c>
      <c r="Y39" s="193">
        <v>0</v>
      </c>
      <c r="Z39" s="238">
        <f t="shared" si="13"/>
        <v>0</v>
      </c>
      <c r="AA39" s="193">
        <v>0</v>
      </c>
      <c r="AB39" s="238">
        <f t="shared" si="14"/>
        <v>0</v>
      </c>
      <c r="AC39" s="193">
        <v>0</v>
      </c>
      <c r="AD39" s="238">
        <f t="shared" si="15"/>
        <v>0</v>
      </c>
      <c r="AE39" s="193">
        <v>0</v>
      </c>
      <c r="AF39" s="238">
        <f t="shared" si="16"/>
        <v>0</v>
      </c>
      <c r="AG39" s="193">
        <v>0</v>
      </c>
      <c r="AH39" s="238">
        <f t="shared" si="17"/>
        <v>0</v>
      </c>
      <c r="AI39" s="193">
        <v>0</v>
      </c>
      <c r="AJ39" s="238">
        <f t="shared" si="18"/>
        <v>0</v>
      </c>
      <c r="AK39" s="193">
        <v>0</v>
      </c>
      <c r="AL39" s="238">
        <f t="shared" si="19"/>
        <v>0</v>
      </c>
      <c r="AM39" s="193">
        <v>498</v>
      </c>
      <c r="AN39" s="238">
        <f t="shared" si="20"/>
        <v>23655</v>
      </c>
      <c r="AO39" s="193">
        <v>0</v>
      </c>
      <c r="AP39" s="238">
        <f t="shared" si="21"/>
        <v>0</v>
      </c>
      <c r="AQ39" s="193">
        <v>0</v>
      </c>
      <c r="AR39" s="238">
        <f t="shared" si="22"/>
        <v>0</v>
      </c>
      <c r="AS39" s="193">
        <v>0</v>
      </c>
      <c r="AT39" s="238">
        <f t="shared" si="23"/>
        <v>0</v>
      </c>
      <c r="AU39" s="193">
        <v>0</v>
      </c>
      <c r="AV39" s="238">
        <f t="shared" si="24"/>
        <v>0</v>
      </c>
      <c r="AW39" s="193">
        <v>0</v>
      </c>
      <c r="AX39" s="238">
        <f t="shared" si="25"/>
        <v>0</v>
      </c>
      <c r="AY39" s="193">
        <v>0</v>
      </c>
      <c r="AZ39" s="238">
        <f t="shared" si="26"/>
        <v>0</v>
      </c>
      <c r="BA39" s="193">
        <v>0</v>
      </c>
      <c r="BB39" s="238">
        <f t="shared" si="27"/>
        <v>0</v>
      </c>
      <c r="BC39" s="193">
        <v>0</v>
      </c>
      <c r="BD39" s="238">
        <f t="shared" si="28"/>
        <v>0</v>
      </c>
      <c r="BE39" s="193">
        <v>0</v>
      </c>
      <c r="BF39" s="238">
        <f t="shared" si="29"/>
        <v>0</v>
      </c>
      <c r="BG39" s="193">
        <v>0</v>
      </c>
      <c r="BH39" s="238">
        <f t="shared" si="30"/>
        <v>0</v>
      </c>
      <c r="BI39" s="193">
        <v>0</v>
      </c>
      <c r="BJ39" s="238">
        <f t="shared" si="31"/>
        <v>0</v>
      </c>
      <c r="BK39" s="193">
        <v>0</v>
      </c>
      <c r="BL39" s="238">
        <f t="shared" si="32"/>
        <v>0</v>
      </c>
      <c r="BM39" s="193">
        <v>0</v>
      </c>
      <c r="BN39" s="238">
        <f t="shared" si="33"/>
        <v>0</v>
      </c>
      <c r="BO39" s="193">
        <v>0</v>
      </c>
      <c r="BP39" s="238">
        <f t="shared" si="34"/>
        <v>0</v>
      </c>
      <c r="BQ39" s="193">
        <v>0</v>
      </c>
      <c r="BR39" s="238">
        <f t="shared" si="35"/>
        <v>0</v>
      </c>
      <c r="BS39" s="225"/>
      <c r="BT39" s="239">
        <f t="shared" si="36"/>
        <v>2825.0100000000002</v>
      </c>
      <c r="BU39" s="238">
        <f t="shared" si="38"/>
        <v>134187.97500000001</v>
      </c>
    </row>
    <row r="40" spans="1:73" ht="14.25">
      <c r="A40" s="241">
        <v>1974</v>
      </c>
      <c r="B40" s="240">
        <f t="shared" si="37"/>
        <v>46.5</v>
      </c>
      <c r="C40" s="193">
        <v>0</v>
      </c>
      <c r="D40" s="238">
        <f t="shared" si="2"/>
        <v>0</v>
      </c>
      <c r="E40" s="193">
        <v>714.32000000000005</v>
      </c>
      <c r="F40" s="238">
        <f t="shared" si="3"/>
        <v>33215.880000000005</v>
      </c>
      <c r="G40" s="193">
        <v>0</v>
      </c>
      <c r="H40" s="238">
        <f t="shared" si="4"/>
        <v>0</v>
      </c>
      <c r="I40" s="193">
        <v>0</v>
      </c>
      <c r="J40" s="238">
        <f t="shared" si="5"/>
        <v>0</v>
      </c>
      <c r="K40" s="193">
        <v>0</v>
      </c>
      <c r="L40" s="238">
        <f t="shared" si="6"/>
        <v>0</v>
      </c>
      <c r="M40" s="193">
        <v>0</v>
      </c>
      <c r="N40" s="238">
        <f t="shared" si="7"/>
        <v>0</v>
      </c>
      <c r="O40" s="193">
        <v>0</v>
      </c>
      <c r="P40" s="238">
        <f t="shared" si="8"/>
        <v>0</v>
      </c>
      <c r="Q40" s="193">
        <v>0</v>
      </c>
      <c r="R40" s="238">
        <f t="shared" si="9"/>
        <v>0</v>
      </c>
      <c r="S40" s="193">
        <v>0</v>
      </c>
      <c r="T40" s="238">
        <f t="shared" si="10"/>
        <v>0</v>
      </c>
      <c r="U40" s="193">
        <v>0</v>
      </c>
      <c r="V40" s="238">
        <f t="shared" si="11"/>
        <v>0</v>
      </c>
      <c r="W40" s="193">
        <v>533.95000000000005</v>
      </c>
      <c r="X40" s="238">
        <f t="shared" si="12"/>
        <v>24828.675000000003</v>
      </c>
      <c r="Y40" s="193">
        <v>0</v>
      </c>
      <c r="Z40" s="238">
        <f t="shared" si="13"/>
        <v>0</v>
      </c>
      <c r="AA40" s="193">
        <v>0</v>
      </c>
      <c r="AB40" s="238">
        <f t="shared" si="14"/>
        <v>0</v>
      </c>
      <c r="AC40" s="193">
        <v>0</v>
      </c>
      <c r="AD40" s="238">
        <f t="shared" si="15"/>
        <v>0</v>
      </c>
      <c r="AE40" s="193">
        <v>0</v>
      </c>
      <c r="AF40" s="238">
        <f t="shared" si="16"/>
        <v>0</v>
      </c>
      <c r="AG40" s="193">
        <v>0</v>
      </c>
      <c r="AH40" s="238">
        <f t="shared" si="17"/>
        <v>0</v>
      </c>
      <c r="AI40" s="193">
        <v>0</v>
      </c>
      <c r="AJ40" s="238">
        <f t="shared" si="18"/>
        <v>0</v>
      </c>
      <c r="AK40" s="193">
        <v>179.52000000000001</v>
      </c>
      <c r="AL40" s="238">
        <f t="shared" si="19"/>
        <v>8347.6800000000003</v>
      </c>
      <c r="AM40" s="193">
        <v>1489.9000000000001</v>
      </c>
      <c r="AN40" s="238">
        <f t="shared" si="20"/>
        <v>69280.350000000006</v>
      </c>
      <c r="AO40" s="193">
        <v>0</v>
      </c>
      <c r="AP40" s="238">
        <f t="shared" si="21"/>
        <v>0</v>
      </c>
      <c r="AQ40" s="193">
        <v>0</v>
      </c>
      <c r="AR40" s="238">
        <f t="shared" si="22"/>
        <v>0</v>
      </c>
      <c r="AS40" s="193">
        <v>0</v>
      </c>
      <c r="AT40" s="238">
        <f t="shared" si="23"/>
        <v>0</v>
      </c>
      <c r="AU40" s="193">
        <v>0</v>
      </c>
      <c r="AV40" s="238">
        <f t="shared" si="24"/>
        <v>0</v>
      </c>
      <c r="AW40" s="193">
        <v>0</v>
      </c>
      <c r="AX40" s="238">
        <f t="shared" si="25"/>
        <v>0</v>
      </c>
      <c r="AY40" s="193">
        <v>0</v>
      </c>
      <c r="AZ40" s="238">
        <f t="shared" si="26"/>
        <v>0</v>
      </c>
      <c r="BA40" s="193">
        <v>0</v>
      </c>
      <c r="BB40" s="238">
        <f t="shared" si="27"/>
        <v>0</v>
      </c>
      <c r="BC40" s="193">
        <v>0</v>
      </c>
      <c r="BD40" s="238">
        <f t="shared" si="28"/>
        <v>0</v>
      </c>
      <c r="BE40" s="193">
        <v>0</v>
      </c>
      <c r="BF40" s="238">
        <f t="shared" si="29"/>
        <v>0</v>
      </c>
      <c r="BG40" s="193">
        <v>0</v>
      </c>
      <c r="BH40" s="238">
        <f t="shared" si="30"/>
        <v>0</v>
      </c>
      <c r="BI40" s="193">
        <v>0</v>
      </c>
      <c r="BJ40" s="238">
        <f t="shared" si="31"/>
        <v>0</v>
      </c>
      <c r="BK40" s="193">
        <v>0</v>
      </c>
      <c r="BL40" s="238">
        <f t="shared" si="32"/>
        <v>0</v>
      </c>
      <c r="BM40" s="193">
        <v>0</v>
      </c>
      <c r="BN40" s="238">
        <f t="shared" si="33"/>
        <v>0</v>
      </c>
      <c r="BO40" s="193">
        <v>0</v>
      </c>
      <c r="BP40" s="238">
        <f t="shared" si="34"/>
        <v>0</v>
      </c>
      <c r="BQ40" s="193">
        <v>0</v>
      </c>
      <c r="BR40" s="238">
        <f t="shared" si="35"/>
        <v>0</v>
      </c>
      <c r="BS40" s="225"/>
      <c r="BT40" s="239">
        <f t="shared" si="36"/>
        <v>2917.6900000000005</v>
      </c>
      <c r="BU40" s="238">
        <f t="shared" si="38"/>
        <v>135672.58500000002</v>
      </c>
    </row>
    <row r="41" spans="1:73" ht="14.25">
      <c r="A41" s="241">
        <v>1975</v>
      </c>
      <c r="B41" s="240">
        <f t="shared" si="37"/>
        <v>45.5</v>
      </c>
      <c r="C41" s="193">
        <v>0</v>
      </c>
      <c r="D41" s="238">
        <f t="shared" si="2"/>
        <v>0</v>
      </c>
      <c r="E41" s="193">
        <v>0</v>
      </c>
      <c r="F41" s="238">
        <f t="shared" si="3"/>
        <v>0</v>
      </c>
      <c r="G41" s="193">
        <v>0</v>
      </c>
      <c r="H41" s="238">
        <f t="shared" si="4"/>
        <v>0</v>
      </c>
      <c r="I41" s="193">
        <v>0</v>
      </c>
      <c r="J41" s="238">
        <f t="shared" si="5"/>
        <v>0</v>
      </c>
      <c r="K41" s="193">
        <v>0</v>
      </c>
      <c r="L41" s="238">
        <f t="shared" si="6"/>
        <v>0</v>
      </c>
      <c r="M41" s="193">
        <v>0</v>
      </c>
      <c r="N41" s="238">
        <f t="shared" si="7"/>
        <v>0</v>
      </c>
      <c r="O41" s="193">
        <v>0</v>
      </c>
      <c r="P41" s="238">
        <f t="shared" si="8"/>
        <v>0</v>
      </c>
      <c r="Q41" s="193">
        <v>0</v>
      </c>
      <c r="R41" s="238">
        <f t="shared" si="9"/>
        <v>0</v>
      </c>
      <c r="S41" s="193">
        <v>0</v>
      </c>
      <c r="T41" s="238">
        <f t="shared" si="10"/>
        <v>0</v>
      </c>
      <c r="U41" s="193">
        <v>0</v>
      </c>
      <c r="V41" s="238">
        <f t="shared" si="11"/>
        <v>0</v>
      </c>
      <c r="W41" s="193">
        <v>265.10000000000002</v>
      </c>
      <c r="X41" s="238">
        <f t="shared" si="12"/>
        <v>12062.050000000001</v>
      </c>
      <c r="Y41" s="193">
        <v>0</v>
      </c>
      <c r="Z41" s="238">
        <f t="shared" si="13"/>
        <v>0</v>
      </c>
      <c r="AA41" s="193">
        <v>0</v>
      </c>
      <c r="AB41" s="238">
        <f t="shared" si="14"/>
        <v>0</v>
      </c>
      <c r="AC41" s="193">
        <v>0</v>
      </c>
      <c r="AD41" s="238">
        <f t="shared" si="15"/>
        <v>0</v>
      </c>
      <c r="AE41" s="193">
        <v>947.76999999999998</v>
      </c>
      <c r="AF41" s="238">
        <f t="shared" si="16"/>
        <v>43123.534999999996</v>
      </c>
      <c r="AG41" s="193">
        <v>0</v>
      </c>
      <c r="AH41" s="238">
        <f t="shared" si="17"/>
        <v>0</v>
      </c>
      <c r="AI41" s="193">
        <v>0</v>
      </c>
      <c r="AJ41" s="238">
        <f t="shared" si="18"/>
        <v>0</v>
      </c>
      <c r="AK41" s="193">
        <v>0</v>
      </c>
      <c r="AL41" s="238">
        <f t="shared" si="19"/>
        <v>0</v>
      </c>
      <c r="AM41" s="193">
        <v>0</v>
      </c>
      <c r="AN41" s="238">
        <f t="shared" si="20"/>
        <v>0</v>
      </c>
      <c r="AO41" s="193">
        <v>0</v>
      </c>
      <c r="AP41" s="238">
        <f t="shared" si="21"/>
        <v>0</v>
      </c>
      <c r="AQ41" s="193">
        <v>0</v>
      </c>
      <c r="AR41" s="238">
        <f t="shared" si="22"/>
        <v>0</v>
      </c>
      <c r="AS41" s="193">
        <v>0</v>
      </c>
      <c r="AT41" s="238">
        <f t="shared" si="23"/>
        <v>0</v>
      </c>
      <c r="AU41" s="193">
        <v>0</v>
      </c>
      <c r="AV41" s="238">
        <f t="shared" si="24"/>
        <v>0</v>
      </c>
      <c r="AW41" s="193">
        <v>0</v>
      </c>
      <c r="AX41" s="238">
        <f t="shared" si="25"/>
        <v>0</v>
      </c>
      <c r="AY41" s="193">
        <v>0</v>
      </c>
      <c r="AZ41" s="238">
        <f t="shared" si="26"/>
        <v>0</v>
      </c>
      <c r="BA41" s="193">
        <v>0</v>
      </c>
      <c r="BB41" s="238">
        <f t="shared" si="27"/>
        <v>0</v>
      </c>
      <c r="BC41" s="193">
        <v>0</v>
      </c>
      <c r="BD41" s="238">
        <f t="shared" si="28"/>
        <v>0</v>
      </c>
      <c r="BE41" s="193">
        <v>0</v>
      </c>
      <c r="BF41" s="238">
        <f t="shared" si="29"/>
        <v>0</v>
      </c>
      <c r="BG41" s="193">
        <v>0</v>
      </c>
      <c r="BH41" s="238">
        <f t="shared" si="30"/>
        <v>0</v>
      </c>
      <c r="BI41" s="193">
        <v>0</v>
      </c>
      <c r="BJ41" s="238">
        <f t="shared" si="31"/>
        <v>0</v>
      </c>
      <c r="BK41" s="193">
        <v>0</v>
      </c>
      <c r="BL41" s="238">
        <f t="shared" si="32"/>
        <v>0</v>
      </c>
      <c r="BM41" s="193">
        <v>0</v>
      </c>
      <c r="BN41" s="238">
        <f t="shared" si="33"/>
        <v>0</v>
      </c>
      <c r="BO41" s="193">
        <v>0</v>
      </c>
      <c r="BP41" s="238">
        <f t="shared" si="34"/>
        <v>0</v>
      </c>
      <c r="BQ41" s="193">
        <v>0</v>
      </c>
      <c r="BR41" s="238">
        <f t="shared" si="35"/>
        <v>0</v>
      </c>
      <c r="BS41" s="225"/>
      <c r="BT41" s="239">
        <f t="shared" si="36"/>
        <v>1212.8699999999999</v>
      </c>
      <c r="BU41" s="238">
        <f t="shared" si="38"/>
        <v>55185.584999999992</v>
      </c>
    </row>
    <row r="42" spans="1:73" ht="14.25">
      <c r="A42" s="241">
        <v>1976</v>
      </c>
      <c r="B42" s="240">
        <f t="shared" si="37"/>
        <v>44.5</v>
      </c>
      <c r="C42" s="193">
        <v>0</v>
      </c>
      <c r="D42" s="238">
        <f t="shared" si="2"/>
        <v>0</v>
      </c>
      <c r="E42" s="193">
        <v>0</v>
      </c>
      <c r="F42" s="238">
        <f t="shared" si="3"/>
        <v>0</v>
      </c>
      <c r="G42" s="193">
        <v>0</v>
      </c>
      <c r="H42" s="238">
        <f t="shared" si="4"/>
        <v>0</v>
      </c>
      <c r="I42" s="193">
        <v>0</v>
      </c>
      <c r="J42" s="238">
        <f t="shared" si="5"/>
        <v>0</v>
      </c>
      <c r="K42" s="193">
        <v>0</v>
      </c>
      <c r="L42" s="238">
        <f t="shared" si="6"/>
        <v>0</v>
      </c>
      <c r="M42" s="193">
        <v>0</v>
      </c>
      <c r="N42" s="238">
        <f t="shared" si="7"/>
        <v>0</v>
      </c>
      <c r="O42" s="193">
        <v>0</v>
      </c>
      <c r="P42" s="238">
        <f t="shared" si="8"/>
        <v>0</v>
      </c>
      <c r="Q42" s="193">
        <v>133.78</v>
      </c>
      <c r="R42" s="238">
        <f t="shared" si="9"/>
        <v>5953.21</v>
      </c>
      <c r="S42" s="193">
        <v>184</v>
      </c>
      <c r="T42" s="238">
        <f t="shared" si="10"/>
        <v>8188</v>
      </c>
      <c r="U42" s="193">
        <v>0</v>
      </c>
      <c r="V42" s="238">
        <f t="shared" si="11"/>
        <v>0</v>
      </c>
      <c r="W42" s="193">
        <v>1534.4300000000001</v>
      </c>
      <c r="X42" s="238">
        <f t="shared" si="12"/>
        <v>68282.135000000009</v>
      </c>
      <c r="Y42" s="193">
        <v>0</v>
      </c>
      <c r="Z42" s="238">
        <f t="shared" si="13"/>
        <v>0</v>
      </c>
      <c r="AA42" s="193">
        <v>0</v>
      </c>
      <c r="AB42" s="238">
        <f t="shared" si="14"/>
        <v>0</v>
      </c>
      <c r="AC42" s="193">
        <v>0</v>
      </c>
      <c r="AD42" s="238">
        <f t="shared" si="15"/>
        <v>0</v>
      </c>
      <c r="AE42" s="193">
        <v>289.72000000000003</v>
      </c>
      <c r="AF42" s="238">
        <f t="shared" si="16"/>
        <v>12892.540000000001</v>
      </c>
      <c r="AG42" s="193">
        <v>0</v>
      </c>
      <c r="AH42" s="238">
        <f t="shared" si="17"/>
        <v>0</v>
      </c>
      <c r="AI42" s="193">
        <v>0</v>
      </c>
      <c r="AJ42" s="238">
        <f t="shared" si="18"/>
        <v>0</v>
      </c>
      <c r="AK42" s="193">
        <v>0</v>
      </c>
      <c r="AL42" s="238">
        <f t="shared" si="19"/>
        <v>0</v>
      </c>
      <c r="AM42" s="193">
        <v>0</v>
      </c>
      <c r="AN42" s="238">
        <f t="shared" si="20"/>
        <v>0</v>
      </c>
      <c r="AO42" s="193">
        <v>0</v>
      </c>
      <c r="AP42" s="238">
        <f t="shared" si="21"/>
        <v>0</v>
      </c>
      <c r="AQ42" s="193">
        <v>0</v>
      </c>
      <c r="AR42" s="238">
        <f t="shared" si="22"/>
        <v>0</v>
      </c>
      <c r="AS42" s="193">
        <v>0</v>
      </c>
      <c r="AT42" s="238">
        <f t="shared" si="23"/>
        <v>0</v>
      </c>
      <c r="AU42" s="193">
        <v>0</v>
      </c>
      <c r="AV42" s="238">
        <f t="shared" si="24"/>
        <v>0</v>
      </c>
      <c r="AW42" s="193">
        <v>0</v>
      </c>
      <c r="AX42" s="238">
        <f t="shared" si="25"/>
        <v>0</v>
      </c>
      <c r="AY42" s="193">
        <v>0</v>
      </c>
      <c r="AZ42" s="238">
        <f t="shared" si="26"/>
        <v>0</v>
      </c>
      <c r="BA42" s="193">
        <v>0</v>
      </c>
      <c r="BB42" s="238">
        <f t="shared" si="27"/>
        <v>0</v>
      </c>
      <c r="BC42" s="193">
        <v>0</v>
      </c>
      <c r="BD42" s="238">
        <f t="shared" si="28"/>
        <v>0</v>
      </c>
      <c r="BE42" s="193">
        <v>0</v>
      </c>
      <c r="BF42" s="238">
        <f t="shared" si="29"/>
        <v>0</v>
      </c>
      <c r="BG42" s="193">
        <v>0</v>
      </c>
      <c r="BH42" s="238">
        <f t="shared" si="30"/>
        <v>0</v>
      </c>
      <c r="BI42" s="193">
        <v>0</v>
      </c>
      <c r="BJ42" s="238">
        <f t="shared" si="31"/>
        <v>0</v>
      </c>
      <c r="BK42" s="193">
        <v>0</v>
      </c>
      <c r="BL42" s="238">
        <f t="shared" si="32"/>
        <v>0</v>
      </c>
      <c r="BM42" s="193">
        <v>0</v>
      </c>
      <c r="BN42" s="238">
        <f t="shared" si="33"/>
        <v>0</v>
      </c>
      <c r="BO42" s="193">
        <v>0</v>
      </c>
      <c r="BP42" s="238">
        <f t="shared" si="34"/>
        <v>0</v>
      </c>
      <c r="BQ42" s="193">
        <v>0</v>
      </c>
      <c r="BR42" s="238">
        <f t="shared" si="35"/>
        <v>0</v>
      </c>
      <c r="BS42" s="225"/>
      <c r="BT42" s="239">
        <f t="shared" si="36"/>
        <v>2141.9300000000003</v>
      </c>
      <c r="BU42" s="238">
        <f t="shared" si="38"/>
        <v>95315.885000000009</v>
      </c>
    </row>
    <row r="43" spans="1:73" ht="14.25">
      <c r="A43" s="241">
        <v>1977</v>
      </c>
      <c r="B43" s="240">
        <f t="shared" si="37"/>
        <v>43.5</v>
      </c>
      <c r="C43" s="193">
        <v>0</v>
      </c>
      <c r="D43" s="238">
        <f t="shared" si="2"/>
        <v>0</v>
      </c>
      <c r="E43" s="193">
        <v>0</v>
      </c>
      <c r="F43" s="238">
        <f t="shared" si="3"/>
        <v>0</v>
      </c>
      <c r="G43" s="193">
        <v>97.019999999999996</v>
      </c>
      <c r="H43" s="238">
        <f t="shared" si="4"/>
        <v>4220.3699999999999</v>
      </c>
      <c r="I43" s="193">
        <v>0</v>
      </c>
      <c r="J43" s="238">
        <f t="shared" si="5"/>
        <v>0</v>
      </c>
      <c r="K43" s="193">
        <v>0</v>
      </c>
      <c r="L43" s="238">
        <f t="shared" si="6"/>
        <v>0</v>
      </c>
      <c r="M43" s="193">
        <v>0</v>
      </c>
      <c r="N43" s="238">
        <f t="shared" si="7"/>
        <v>0</v>
      </c>
      <c r="O43" s="193">
        <v>0</v>
      </c>
      <c r="P43" s="238">
        <f t="shared" si="8"/>
        <v>0</v>
      </c>
      <c r="Q43" s="193">
        <v>0</v>
      </c>
      <c r="R43" s="238">
        <f t="shared" si="9"/>
        <v>0</v>
      </c>
      <c r="S43" s="193">
        <v>2346.6599999999999</v>
      </c>
      <c r="T43" s="238">
        <f t="shared" si="10"/>
        <v>102079.70999999999</v>
      </c>
      <c r="U43" s="193">
        <v>0</v>
      </c>
      <c r="V43" s="238">
        <f t="shared" si="11"/>
        <v>0</v>
      </c>
      <c r="W43" s="193">
        <v>983.27999999999997</v>
      </c>
      <c r="X43" s="238">
        <f t="shared" si="12"/>
        <v>42772.68</v>
      </c>
      <c r="Y43" s="193">
        <v>0</v>
      </c>
      <c r="Z43" s="238">
        <f t="shared" si="13"/>
        <v>0</v>
      </c>
      <c r="AA43" s="193">
        <v>0</v>
      </c>
      <c r="AB43" s="238">
        <f t="shared" si="14"/>
        <v>0</v>
      </c>
      <c r="AC43" s="193">
        <v>0</v>
      </c>
      <c r="AD43" s="238">
        <f t="shared" si="15"/>
        <v>0</v>
      </c>
      <c r="AE43" s="193">
        <v>3118.4699999999998</v>
      </c>
      <c r="AF43" s="238">
        <f t="shared" si="16"/>
        <v>135653.44499999998</v>
      </c>
      <c r="AG43" s="193">
        <v>0</v>
      </c>
      <c r="AH43" s="238">
        <f t="shared" si="17"/>
        <v>0</v>
      </c>
      <c r="AI43" s="193">
        <v>0</v>
      </c>
      <c r="AJ43" s="238">
        <f t="shared" si="18"/>
        <v>0</v>
      </c>
      <c r="AK43" s="193">
        <v>0</v>
      </c>
      <c r="AL43" s="238">
        <f t="shared" si="19"/>
        <v>0</v>
      </c>
      <c r="AM43" s="193">
        <v>222.93000000000001</v>
      </c>
      <c r="AN43" s="238">
        <f t="shared" si="20"/>
        <v>9697.4549999999999</v>
      </c>
      <c r="AO43" s="193">
        <v>0</v>
      </c>
      <c r="AP43" s="238">
        <f t="shared" si="21"/>
        <v>0</v>
      </c>
      <c r="AQ43" s="193">
        <v>0</v>
      </c>
      <c r="AR43" s="238">
        <f t="shared" si="22"/>
        <v>0</v>
      </c>
      <c r="AS43" s="193">
        <v>0</v>
      </c>
      <c r="AT43" s="238">
        <f t="shared" si="23"/>
        <v>0</v>
      </c>
      <c r="AU43" s="193">
        <v>0</v>
      </c>
      <c r="AV43" s="238">
        <f t="shared" si="24"/>
        <v>0</v>
      </c>
      <c r="AW43" s="193">
        <v>0</v>
      </c>
      <c r="AX43" s="238">
        <f t="shared" si="25"/>
        <v>0</v>
      </c>
      <c r="AY43" s="193">
        <v>0</v>
      </c>
      <c r="AZ43" s="238">
        <f t="shared" si="26"/>
        <v>0</v>
      </c>
      <c r="BA43" s="193">
        <v>0</v>
      </c>
      <c r="BB43" s="238">
        <f t="shared" si="27"/>
        <v>0</v>
      </c>
      <c r="BC43" s="193">
        <v>0</v>
      </c>
      <c r="BD43" s="238">
        <f t="shared" si="28"/>
        <v>0</v>
      </c>
      <c r="BE43" s="193">
        <v>0</v>
      </c>
      <c r="BF43" s="238">
        <f t="shared" si="29"/>
        <v>0</v>
      </c>
      <c r="BG43" s="193">
        <v>0</v>
      </c>
      <c r="BH43" s="238">
        <f t="shared" si="30"/>
        <v>0</v>
      </c>
      <c r="BI43" s="193">
        <v>0</v>
      </c>
      <c r="BJ43" s="238">
        <f t="shared" si="31"/>
        <v>0</v>
      </c>
      <c r="BK43" s="193">
        <v>0</v>
      </c>
      <c r="BL43" s="238">
        <f t="shared" si="32"/>
        <v>0</v>
      </c>
      <c r="BM43" s="193">
        <v>0</v>
      </c>
      <c r="BN43" s="238">
        <f t="shared" si="33"/>
        <v>0</v>
      </c>
      <c r="BO43" s="193">
        <v>0</v>
      </c>
      <c r="BP43" s="238">
        <f t="shared" si="34"/>
        <v>0</v>
      </c>
      <c r="BQ43" s="193">
        <v>0</v>
      </c>
      <c r="BR43" s="238">
        <f t="shared" si="35"/>
        <v>0</v>
      </c>
      <c r="BS43" s="225"/>
      <c r="BT43" s="239">
        <f t="shared" si="36"/>
        <v>6768.3599999999997</v>
      </c>
      <c r="BU43" s="238">
        <f t="shared" si="38"/>
        <v>294423.65999999997</v>
      </c>
    </row>
    <row r="44" spans="1:73" ht="14.25">
      <c r="A44" s="241">
        <v>1978</v>
      </c>
      <c r="B44" s="240">
        <f t="shared" si="37"/>
        <v>42.5</v>
      </c>
      <c r="C44" s="193">
        <v>0</v>
      </c>
      <c r="D44" s="238">
        <f t="shared" si="2"/>
        <v>0</v>
      </c>
      <c r="E44" s="193">
        <v>10107.52</v>
      </c>
      <c r="F44" s="238">
        <f t="shared" si="3"/>
        <v>429569.60000000003</v>
      </c>
      <c r="G44" s="193">
        <v>7042.6599999999999</v>
      </c>
      <c r="H44" s="238">
        <f t="shared" si="4"/>
        <v>299313.04999999999</v>
      </c>
      <c r="I44" s="193">
        <v>1.0800000000000001</v>
      </c>
      <c r="J44" s="238">
        <f t="shared" si="5"/>
        <v>45.900000000000006</v>
      </c>
      <c r="K44" s="193">
        <v>0</v>
      </c>
      <c r="L44" s="238">
        <f t="shared" si="6"/>
        <v>0</v>
      </c>
      <c r="M44" s="193">
        <v>0</v>
      </c>
      <c r="N44" s="238">
        <f t="shared" si="7"/>
        <v>0</v>
      </c>
      <c r="O44" s="193">
        <v>0</v>
      </c>
      <c r="P44" s="238">
        <f t="shared" si="8"/>
        <v>0</v>
      </c>
      <c r="Q44" s="193">
        <v>204.66</v>
      </c>
      <c r="R44" s="238">
        <f t="shared" si="9"/>
        <v>8698.0499999999993</v>
      </c>
      <c r="S44" s="193">
        <v>175</v>
      </c>
      <c r="T44" s="238">
        <f t="shared" si="10"/>
        <v>7437.5</v>
      </c>
      <c r="U44" s="193">
        <v>0</v>
      </c>
      <c r="V44" s="238">
        <f t="shared" si="11"/>
        <v>0</v>
      </c>
      <c r="W44" s="193">
        <v>474.36000000000001</v>
      </c>
      <c r="X44" s="238">
        <f t="shared" si="12"/>
        <v>20160.299999999999</v>
      </c>
      <c r="Y44" s="193">
        <v>0</v>
      </c>
      <c r="Z44" s="238">
        <f t="shared" si="13"/>
        <v>0</v>
      </c>
      <c r="AA44" s="193">
        <v>0</v>
      </c>
      <c r="AB44" s="238">
        <f t="shared" si="14"/>
        <v>0</v>
      </c>
      <c r="AC44" s="193">
        <v>0</v>
      </c>
      <c r="AD44" s="238">
        <f t="shared" si="15"/>
        <v>0</v>
      </c>
      <c r="AE44" s="193">
        <v>427.95999999999998</v>
      </c>
      <c r="AF44" s="238">
        <f t="shared" si="16"/>
        <v>18188.299999999999</v>
      </c>
      <c r="AG44" s="193">
        <v>0</v>
      </c>
      <c r="AH44" s="238">
        <f t="shared" si="17"/>
        <v>0</v>
      </c>
      <c r="AI44" s="193">
        <v>0</v>
      </c>
      <c r="AJ44" s="238">
        <f t="shared" si="18"/>
        <v>0</v>
      </c>
      <c r="AK44" s="193">
        <v>0</v>
      </c>
      <c r="AL44" s="238">
        <f t="shared" si="19"/>
        <v>0</v>
      </c>
      <c r="AM44" s="193">
        <v>0</v>
      </c>
      <c r="AN44" s="238">
        <f t="shared" si="20"/>
        <v>0</v>
      </c>
      <c r="AO44" s="193">
        <v>0</v>
      </c>
      <c r="AP44" s="238">
        <f t="shared" si="21"/>
        <v>0</v>
      </c>
      <c r="AQ44" s="193">
        <v>0</v>
      </c>
      <c r="AR44" s="238">
        <f t="shared" si="22"/>
        <v>0</v>
      </c>
      <c r="AS44" s="193">
        <v>0</v>
      </c>
      <c r="AT44" s="238">
        <f t="shared" si="23"/>
        <v>0</v>
      </c>
      <c r="AU44" s="193">
        <v>0</v>
      </c>
      <c r="AV44" s="238">
        <f t="shared" si="24"/>
        <v>0</v>
      </c>
      <c r="AW44" s="193">
        <v>0</v>
      </c>
      <c r="AX44" s="238">
        <f t="shared" si="25"/>
        <v>0</v>
      </c>
      <c r="AY44" s="193">
        <v>0</v>
      </c>
      <c r="AZ44" s="238">
        <f t="shared" si="26"/>
        <v>0</v>
      </c>
      <c r="BA44" s="193">
        <v>0</v>
      </c>
      <c r="BB44" s="238">
        <f t="shared" si="27"/>
        <v>0</v>
      </c>
      <c r="BC44" s="193">
        <v>0</v>
      </c>
      <c r="BD44" s="238">
        <f t="shared" si="28"/>
        <v>0</v>
      </c>
      <c r="BE44" s="193">
        <v>0</v>
      </c>
      <c r="BF44" s="238">
        <f t="shared" si="29"/>
        <v>0</v>
      </c>
      <c r="BG44" s="193">
        <v>0</v>
      </c>
      <c r="BH44" s="238">
        <f t="shared" si="30"/>
        <v>0</v>
      </c>
      <c r="BI44" s="193">
        <v>0</v>
      </c>
      <c r="BJ44" s="238">
        <f t="shared" si="31"/>
        <v>0</v>
      </c>
      <c r="BK44" s="193">
        <v>0</v>
      </c>
      <c r="BL44" s="238">
        <f t="shared" si="32"/>
        <v>0</v>
      </c>
      <c r="BM44" s="193">
        <v>0</v>
      </c>
      <c r="BN44" s="238">
        <f t="shared" si="33"/>
        <v>0</v>
      </c>
      <c r="BO44" s="193">
        <v>0</v>
      </c>
      <c r="BP44" s="238">
        <f t="shared" si="34"/>
        <v>0</v>
      </c>
      <c r="BQ44" s="193">
        <v>0</v>
      </c>
      <c r="BR44" s="238">
        <f t="shared" si="35"/>
        <v>0</v>
      </c>
      <c r="BS44" s="225"/>
      <c r="BT44" s="239">
        <f t="shared" si="36"/>
        <v>18433.240000000002</v>
      </c>
      <c r="BU44" s="238">
        <f t="shared" si="38"/>
        <v>783412.70000000007</v>
      </c>
    </row>
    <row r="45" spans="1:73" ht="14.25">
      <c r="A45" s="241">
        <v>1979</v>
      </c>
      <c r="B45" s="240">
        <f t="shared" si="37"/>
        <v>41.5</v>
      </c>
      <c r="C45" s="193">
        <v>0</v>
      </c>
      <c r="D45" s="238">
        <f t="shared" si="2"/>
        <v>0</v>
      </c>
      <c r="E45" s="193">
        <v>0</v>
      </c>
      <c r="F45" s="238">
        <f t="shared" si="3"/>
        <v>0</v>
      </c>
      <c r="G45" s="193">
        <v>322.06999999999999</v>
      </c>
      <c r="H45" s="238">
        <f t="shared" si="4"/>
        <v>13365.904999999999</v>
      </c>
      <c r="I45" s="193">
        <v>27274.830000000002</v>
      </c>
      <c r="J45" s="238">
        <f t="shared" si="5"/>
        <v>1131905.4450000001</v>
      </c>
      <c r="K45" s="193">
        <v>0</v>
      </c>
      <c r="L45" s="238">
        <f t="shared" si="6"/>
        <v>0</v>
      </c>
      <c r="M45" s="193">
        <v>0</v>
      </c>
      <c r="N45" s="238">
        <f t="shared" si="7"/>
        <v>0</v>
      </c>
      <c r="O45" s="193">
        <v>0</v>
      </c>
      <c r="P45" s="238">
        <f t="shared" si="8"/>
        <v>0</v>
      </c>
      <c r="Q45" s="193">
        <v>1841.52</v>
      </c>
      <c r="R45" s="238">
        <f t="shared" si="9"/>
        <v>76423.080000000002</v>
      </c>
      <c r="S45" s="193">
        <v>0</v>
      </c>
      <c r="T45" s="238">
        <f t="shared" si="10"/>
        <v>0</v>
      </c>
      <c r="U45" s="193">
        <v>0</v>
      </c>
      <c r="V45" s="238">
        <f t="shared" si="11"/>
        <v>0</v>
      </c>
      <c r="W45" s="193">
        <v>477.06999999999999</v>
      </c>
      <c r="X45" s="238">
        <f t="shared" si="12"/>
        <v>19798.404999999999</v>
      </c>
      <c r="Y45" s="193">
        <v>0</v>
      </c>
      <c r="Z45" s="238">
        <f t="shared" si="13"/>
        <v>0</v>
      </c>
      <c r="AA45" s="193">
        <v>0</v>
      </c>
      <c r="AB45" s="238">
        <f t="shared" si="14"/>
        <v>0</v>
      </c>
      <c r="AC45" s="193">
        <v>0</v>
      </c>
      <c r="AD45" s="238">
        <f t="shared" si="15"/>
        <v>0</v>
      </c>
      <c r="AE45" s="193">
        <v>0</v>
      </c>
      <c r="AF45" s="238">
        <f t="shared" si="16"/>
        <v>0</v>
      </c>
      <c r="AG45" s="193">
        <v>0</v>
      </c>
      <c r="AH45" s="238">
        <f t="shared" si="17"/>
        <v>0</v>
      </c>
      <c r="AI45" s="193">
        <v>0</v>
      </c>
      <c r="AJ45" s="238">
        <f t="shared" si="18"/>
        <v>0</v>
      </c>
      <c r="AK45" s="193">
        <v>0</v>
      </c>
      <c r="AL45" s="238">
        <f t="shared" si="19"/>
        <v>0</v>
      </c>
      <c r="AM45" s="193">
        <v>0</v>
      </c>
      <c r="AN45" s="238">
        <f t="shared" si="20"/>
        <v>0</v>
      </c>
      <c r="AO45" s="193">
        <v>0</v>
      </c>
      <c r="AP45" s="238">
        <f t="shared" si="21"/>
        <v>0</v>
      </c>
      <c r="AQ45" s="193">
        <v>0</v>
      </c>
      <c r="AR45" s="238">
        <f t="shared" si="22"/>
        <v>0</v>
      </c>
      <c r="AS45" s="193">
        <v>0</v>
      </c>
      <c r="AT45" s="238">
        <f t="shared" si="23"/>
        <v>0</v>
      </c>
      <c r="AU45" s="193">
        <v>0</v>
      </c>
      <c r="AV45" s="238">
        <f t="shared" si="24"/>
        <v>0</v>
      </c>
      <c r="AW45" s="193">
        <v>0</v>
      </c>
      <c r="AX45" s="238">
        <f t="shared" si="25"/>
        <v>0</v>
      </c>
      <c r="AY45" s="193">
        <v>0</v>
      </c>
      <c r="AZ45" s="238">
        <f t="shared" si="26"/>
        <v>0</v>
      </c>
      <c r="BA45" s="193">
        <v>0</v>
      </c>
      <c r="BB45" s="238">
        <f t="shared" si="27"/>
        <v>0</v>
      </c>
      <c r="BC45" s="193">
        <v>0</v>
      </c>
      <c r="BD45" s="238">
        <f t="shared" si="28"/>
        <v>0</v>
      </c>
      <c r="BE45" s="193">
        <v>0</v>
      </c>
      <c r="BF45" s="238">
        <f t="shared" si="29"/>
        <v>0</v>
      </c>
      <c r="BG45" s="193">
        <v>0</v>
      </c>
      <c r="BH45" s="238">
        <f t="shared" si="30"/>
        <v>0</v>
      </c>
      <c r="BI45" s="193">
        <v>0</v>
      </c>
      <c r="BJ45" s="238">
        <f t="shared" si="31"/>
        <v>0</v>
      </c>
      <c r="BK45" s="193">
        <v>0</v>
      </c>
      <c r="BL45" s="238">
        <f t="shared" si="32"/>
        <v>0</v>
      </c>
      <c r="BM45" s="193">
        <v>0</v>
      </c>
      <c r="BN45" s="238">
        <f t="shared" si="33"/>
        <v>0</v>
      </c>
      <c r="BO45" s="193">
        <v>0</v>
      </c>
      <c r="BP45" s="238">
        <f t="shared" si="34"/>
        <v>0</v>
      </c>
      <c r="BQ45" s="193">
        <v>0</v>
      </c>
      <c r="BR45" s="238">
        <f t="shared" si="35"/>
        <v>0</v>
      </c>
      <c r="BS45" s="225"/>
      <c r="BT45" s="239">
        <f t="shared" si="36"/>
        <v>29915.490000000002</v>
      </c>
      <c r="BU45" s="238">
        <f t="shared" si="38"/>
        <v>1241492.835</v>
      </c>
    </row>
    <row r="46" spans="1:73" ht="14.25">
      <c r="A46" s="241">
        <v>1980</v>
      </c>
      <c r="B46" s="240">
        <f t="shared" si="37"/>
        <v>40.5</v>
      </c>
      <c r="C46" s="193">
        <v>0</v>
      </c>
      <c r="D46" s="238">
        <f t="shared" si="2"/>
        <v>0</v>
      </c>
      <c r="E46" s="193">
        <v>0</v>
      </c>
      <c r="F46" s="238">
        <f t="shared" si="3"/>
        <v>0</v>
      </c>
      <c r="G46" s="193">
        <v>116.95</v>
      </c>
      <c r="H46" s="238">
        <f t="shared" si="4"/>
        <v>4736.4750000000004</v>
      </c>
      <c r="I46" s="193">
        <v>28222.310000000001</v>
      </c>
      <c r="J46" s="238">
        <f t="shared" si="5"/>
        <v>1143003.5550000002</v>
      </c>
      <c r="K46" s="193">
        <v>0</v>
      </c>
      <c r="L46" s="238">
        <f t="shared" si="6"/>
        <v>0</v>
      </c>
      <c r="M46" s="193">
        <v>0</v>
      </c>
      <c r="N46" s="238">
        <f t="shared" si="7"/>
        <v>0</v>
      </c>
      <c r="O46" s="193">
        <v>0</v>
      </c>
      <c r="P46" s="238">
        <f t="shared" si="8"/>
        <v>0</v>
      </c>
      <c r="Q46" s="193">
        <v>38.609999999999999</v>
      </c>
      <c r="R46" s="238">
        <f t="shared" si="9"/>
        <v>1563.7049999999999</v>
      </c>
      <c r="S46" s="193">
        <v>0</v>
      </c>
      <c r="T46" s="238">
        <f t="shared" si="10"/>
        <v>0</v>
      </c>
      <c r="U46" s="193">
        <v>0</v>
      </c>
      <c r="V46" s="238">
        <f t="shared" si="11"/>
        <v>0</v>
      </c>
      <c r="W46" s="193">
        <v>0</v>
      </c>
      <c r="X46" s="238">
        <f t="shared" si="12"/>
        <v>0</v>
      </c>
      <c r="Y46" s="193">
        <v>0</v>
      </c>
      <c r="Z46" s="238">
        <f t="shared" si="13"/>
        <v>0</v>
      </c>
      <c r="AA46" s="193">
        <v>0</v>
      </c>
      <c r="AB46" s="238">
        <f t="shared" si="14"/>
        <v>0</v>
      </c>
      <c r="AC46" s="193">
        <v>0</v>
      </c>
      <c r="AD46" s="238">
        <f t="shared" si="15"/>
        <v>0</v>
      </c>
      <c r="AE46" s="193">
        <v>13.109999999999999</v>
      </c>
      <c r="AF46" s="238">
        <f t="shared" si="16"/>
        <v>530.95499999999993</v>
      </c>
      <c r="AG46" s="193">
        <v>0</v>
      </c>
      <c r="AH46" s="238">
        <f t="shared" si="17"/>
        <v>0</v>
      </c>
      <c r="AI46" s="193">
        <v>0</v>
      </c>
      <c r="AJ46" s="238">
        <f t="shared" si="18"/>
        <v>0</v>
      </c>
      <c r="AK46" s="193">
        <v>0</v>
      </c>
      <c r="AL46" s="238">
        <f t="shared" si="19"/>
        <v>0</v>
      </c>
      <c r="AM46" s="193">
        <v>0</v>
      </c>
      <c r="AN46" s="238">
        <f t="shared" si="20"/>
        <v>0</v>
      </c>
      <c r="AO46" s="193">
        <v>0</v>
      </c>
      <c r="AP46" s="238">
        <f t="shared" si="21"/>
        <v>0</v>
      </c>
      <c r="AQ46" s="193">
        <v>0</v>
      </c>
      <c r="AR46" s="238">
        <f t="shared" si="22"/>
        <v>0</v>
      </c>
      <c r="AS46" s="193">
        <v>0</v>
      </c>
      <c r="AT46" s="238">
        <f t="shared" si="23"/>
        <v>0</v>
      </c>
      <c r="AU46" s="193">
        <v>0</v>
      </c>
      <c r="AV46" s="238">
        <f t="shared" si="24"/>
        <v>0</v>
      </c>
      <c r="AW46" s="193">
        <v>0</v>
      </c>
      <c r="AX46" s="238">
        <f t="shared" si="25"/>
        <v>0</v>
      </c>
      <c r="AY46" s="193">
        <v>0</v>
      </c>
      <c r="AZ46" s="238">
        <f t="shared" si="26"/>
        <v>0</v>
      </c>
      <c r="BA46" s="193">
        <v>0</v>
      </c>
      <c r="BB46" s="238">
        <f t="shared" si="27"/>
        <v>0</v>
      </c>
      <c r="BC46" s="193">
        <v>0</v>
      </c>
      <c r="BD46" s="238">
        <f t="shared" si="28"/>
        <v>0</v>
      </c>
      <c r="BE46" s="193">
        <v>0</v>
      </c>
      <c r="BF46" s="238">
        <f t="shared" si="29"/>
        <v>0</v>
      </c>
      <c r="BG46" s="193">
        <v>0</v>
      </c>
      <c r="BH46" s="238">
        <f t="shared" si="30"/>
        <v>0</v>
      </c>
      <c r="BI46" s="193">
        <v>0</v>
      </c>
      <c r="BJ46" s="238">
        <f t="shared" si="31"/>
        <v>0</v>
      </c>
      <c r="BK46" s="193">
        <v>0</v>
      </c>
      <c r="BL46" s="238">
        <f t="shared" si="32"/>
        <v>0</v>
      </c>
      <c r="BM46" s="193">
        <v>0</v>
      </c>
      <c r="BN46" s="238">
        <f t="shared" si="33"/>
        <v>0</v>
      </c>
      <c r="BO46" s="193">
        <v>0</v>
      </c>
      <c r="BP46" s="238">
        <f t="shared" si="34"/>
        <v>0</v>
      </c>
      <c r="BQ46" s="193">
        <v>0</v>
      </c>
      <c r="BR46" s="238">
        <f t="shared" si="35"/>
        <v>0</v>
      </c>
      <c r="BS46" s="225"/>
      <c r="BT46" s="239">
        <f t="shared" si="36"/>
        <v>28390.980000000003</v>
      </c>
      <c r="BU46" s="238">
        <f t="shared" si="38"/>
        <v>1149834.6900000002</v>
      </c>
    </row>
    <row r="47" spans="1:73" ht="14.25">
      <c r="A47" s="241">
        <v>1981</v>
      </c>
      <c r="B47" s="240">
        <f t="shared" si="37"/>
        <v>39.5</v>
      </c>
      <c r="C47" s="193">
        <v>0</v>
      </c>
      <c r="D47" s="238">
        <f t="shared" si="2"/>
        <v>0</v>
      </c>
      <c r="E47" s="193">
        <v>115.09999999999999</v>
      </c>
      <c r="F47" s="238">
        <f t="shared" si="3"/>
        <v>4546.4499999999998</v>
      </c>
      <c r="G47" s="193">
        <v>878.00999999999999</v>
      </c>
      <c r="H47" s="238">
        <f t="shared" si="4"/>
        <v>34681.394999999997</v>
      </c>
      <c r="I47" s="193">
        <v>28738.240000000002</v>
      </c>
      <c r="J47" s="238">
        <f t="shared" si="5"/>
        <v>1135160.48</v>
      </c>
      <c r="K47" s="193">
        <v>0</v>
      </c>
      <c r="L47" s="238">
        <f t="shared" si="6"/>
        <v>0</v>
      </c>
      <c r="M47" s="193">
        <v>0</v>
      </c>
      <c r="N47" s="238">
        <f t="shared" si="7"/>
        <v>0</v>
      </c>
      <c r="O47" s="193">
        <v>0</v>
      </c>
      <c r="P47" s="238">
        <f t="shared" si="8"/>
        <v>0</v>
      </c>
      <c r="Q47" s="193">
        <v>897.39999999999998</v>
      </c>
      <c r="R47" s="238">
        <f t="shared" si="9"/>
        <v>35447.299999999996</v>
      </c>
      <c r="S47" s="193">
        <v>2576.7800000000002</v>
      </c>
      <c r="T47" s="238">
        <f t="shared" si="10"/>
        <v>101782.81000000001</v>
      </c>
      <c r="U47" s="193">
        <v>0</v>
      </c>
      <c r="V47" s="238">
        <f t="shared" si="11"/>
        <v>0</v>
      </c>
      <c r="W47" s="193">
        <v>5104.2700000000004</v>
      </c>
      <c r="X47" s="238">
        <f t="shared" si="12"/>
        <v>201618.66500000001</v>
      </c>
      <c r="Y47" s="193">
        <v>0</v>
      </c>
      <c r="Z47" s="238">
        <f t="shared" si="13"/>
        <v>0</v>
      </c>
      <c r="AA47" s="193">
        <v>0</v>
      </c>
      <c r="AB47" s="238">
        <f t="shared" si="14"/>
        <v>0</v>
      </c>
      <c r="AC47" s="193">
        <v>0</v>
      </c>
      <c r="AD47" s="238">
        <f t="shared" si="15"/>
        <v>0</v>
      </c>
      <c r="AE47" s="193">
        <v>1527.3299999999999</v>
      </c>
      <c r="AF47" s="238">
        <f t="shared" si="16"/>
        <v>60329.534999999996</v>
      </c>
      <c r="AG47" s="193">
        <v>0</v>
      </c>
      <c r="AH47" s="238">
        <f t="shared" si="17"/>
        <v>0</v>
      </c>
      <c r="AI47" s="193">
        <v>0</v>
      </c>
      <c r="AJ47" s="238">
        <f t="shared" si="18"/>
        <v>0</v>
      </c>
      <c r="AK47" s="193">
        <v>0</v>
      </c>
      <c r="AL47" s="238">
        <f t="shared" si="19"/>
        <v>0</v>
      </c>
      <c r="AM47" s="193">
        <v>0</v>
      </c>
      <c r="AN47" s="238">
        <f t="shared" si="20"/>
        <v>0</v>
      </c>
      <c r="AO47" s="193">
        <v>0</v>
      </c>
      <c r="AP47" s="238">
        <f t="shared" si="21"/>
        <v>0</v>
      </c>
      <c r="AQ47" s="193">
        <v>0</v>
      </c>
      <c r="AR47" s="238">
        <f t="shared" si="22"/>
        <v>0</v>
      </c>
      <c r="AS47" s="193">
        <v>0</v>
      </c>
      <c r="AT47" s="238">
        <f t="shared" si="23"/>
        <v>0</v>
      </c>
      <c r="AU47" s="193">
        <v>0</v>
      </c>
      <c r="AV47" s="238">
        <f t="shared" si="24"/>
        <v>0</v>
      </c>
      <c r="AW47" s="193">
        <v>0</v>
      </c>
      <c r="AX47" s="238">
        <f t="shared" si="25"/>
        <v>0</v>
      </c>
      <c r="AY47" s="193">
        <v>0</v>
      </c>
      <c r="AZ47" s="238">
        <f t="shared" si="26"/>
        <v>0</v>
      </c>
      <c r="BA47" s="193">
        <v>0</v>
      </c>
      <c r="BB47" s="238">
        <f t="shared" si="27"/>
        <v>0</v>
      </c>
      <c r="BC47" s="193">
        <v>0</v>
      </c>
      <c r="BD47" s="238">
        <f t="shared" si="28"/>
        <v>0</v>
      </c>
      <c r="BE47" s="193">
        <v>0</v>
      </c>
      <c r="BF47" s="238">
        <f t="shared" si="29"/>
        <v>0</v>
      </c>
      <c r="BG47" s="193">
        <v>0</v>
      </c>
      <c r="BH47" s="238">
        <f t="shared" si="30"/>
        <v>0</v>
      </c>
      <c r="BI47" s="193">
        <v>0</v>
      </c>
      <c r="BJ47" s="238">
        <f t="shared" si="31"/>
        <v>0</v>
      </c>
      <c r="BK47" s="193">
        <v>0</v>
      </c>
      <c r="BL47" s="238">
        <f t="shared" si="32"/>
        <v>0</v>
      </c>
      <c r="BM47" s="193">
        <v>0</v>
      </c>
      <c r="BN47" s="238">
        <f t="shared" si="33"/>
        <v>0</v>
      </c>
      <c r="BO47" s="193">
        <v>0</v>
      </c>
      <c r="BP47" s="238">
        <f t="shared" si="34"/>
        <v>0</v>
      </c>
      <c r="BQ47" s="193">
        <v>0</v>
      </c>
      <c r="BR47" s="238">
        <f t="shared" si="35"/>
        <v>0</v>
      </c>
      <c r="BS47" s="225"/>
      <c r="BT47" s="239">
        <f t="shared" si="36"/>
        <v>39837.130000000005</v>
      </c>
      <c r="BU47" s="238">
        <f t="shared" si="38"/>
        <v>1573566.6350000002</v>
      </c>
    </row>
    <row r="48" spans="1:73" ht="14.25">
      <c r="A48" s="241">
        <v>1982</v>
      </c>
      <c r="B48" s="240">
        <f t="shared" si="37"/>
        <v>38.5</v>
      </c>
      <c r="C48" s="193">
        <v>0</v>
      </c>
      <c r="D48" s="238">
        <f t="shared" si="2"/>
        <v>0</v>
      </c>
      <c r="E48" s="193">
        <v>0</v>
      </c>
      <c r="F48" s="238">
        <f t="shared" si="3"/>
        <v>0</v>
      </c>
      <c r="G48" s="193">
        <v>0</v>
      </c>
      <c r="H48" s="238">
        <f t="shared" si="4"/>
        <v>0</v>
      </c>
      <c r="I48" s="193">
        <v>5113.8999999999996</v>
      </c>
      <c r="J48" s="238">
        <f t="shared" si="5"/>
        <v>196885.14999999999</v>
      </c>
      <c r="K48" s="193">
        <v>0</v>
      </c>
      <c r="L48" s="238">
        <f t="shared" si="6"/>
        <v>0</v>
      </c>
      <c r="M48" s="193">
        <v>0</v>
      </c>
      <c r="N48" s="238">
        <f t="shared" si="7"/>
        <v>0</v>
      </c>
      <c r="O48" s="193">
        <v>0</v>
      </c>
      <c r="P48" s="238">
        <f t="shared" si="8"/>
        <v>0</v>
      </c>
      <c r="Q48" s="193">
        <v>0</v>
      </c>
      <c r="R48" s="238">
        <f t="shared" si="9"/>
        <v>0</v>
      </c>
      <c r="S48" s="193">
        <v>0</v>
      </c>
      <c r="T48" s="238">
        <f t="shared" si="10"/>
        <v>0</v>
      </c>
      <c r="U48" s="193">
        <v>0</v>
      </c>
      <c r="V48" s="238">
        <f t="shared" si="11"/>
        <v>0</v>
      </c>
      <c r="W48" s="193">
        <v>4331.4200000000001</v>
      </c>
      <c r="X48" s="238">
        <f t="shared" si="12"/>
        <v>166759.67000000001</v>
      </c>
      <c r="Y48" s="193">
        <v>0</v>
      </c>
      <c r="Z48" s="238">
        <f t="shared" si="13"/>
        <v>0</v>
      </c>
      <c r="AA48" s="193">
        <v>0</v>
      </c>
      <c r="AB48" s="238">
        <f t="shared" si="14"/>
        <v>0</v>
      </c>
      <c r="AC48" s="193">
        <v>0</v>
      </c>
      <c r="AD48" s="238">
        <f t="shared" si="15"/>
        <v>0</v>
      </c>
      <c r="AE48" s="193">
        <v>3930.8699999999999</v>
      </c>
      <c r="AF48" s="238">
        <f t="shared" si="16"/>
        <v>151338.495</v>
      </c>
      <c r="AG48" s="193">
        <v>0</v>
      </c>
      <c r="AH48" s="238">
        <f t="shared" si="17"/>
        <v>0</v>
      </c>
      <c r="AI48" s="193">
        <v>0</v>
      </c>
      <c r="AJ48" s="238">
        <f t="shared" si="18"/>
        <v>0</v>
      </c>
      <c r="AK48" s="193">
        <v>0</v>
      </c>
      <c r="AL48" s="238">
        <f t="shared" si="19"/>
        <v>0</v>
      </c>
      <c r="AM48" s="193">
        <v>0</v>
      </c>
      <c r="AN48" s="238">
        <f t="shared" si="20"/>
        <v>0</v>
      </c>
      <c r="AO48" s="193">
        <v>1076.4000000000001</v>
      </c>
      <c r="AP48" s="238">
        <f t="shared" si="21"/>
        <v>41441.400000000001</v>
      </c>
      <c r="AQ48" s="193">
        <v>0</v>
      </c>
      <c r="AR48" s="238">
        <f t="shared" si="22"/>
        <v>0</v>
      </c>
      <c r="AS48" s="193">
        <v>0</v>
      </c>
      <c r="AT48" s="238">
        <f t="shared" si="23"/>
        <v>0</v>
      </c>
      <c r="AU48" s="193">
        <v>0</v>
      </c>
      <c r="AV48" s="238">
        <f t="shared" si="24"/>
        <v>0</v>
      </c>
      <c r="AW48" s="193">
        <v>0</v>
      </c>
      <c r="AX48" s="238">
        <f t="shared" si="25"/>
        <v>0</v>
      </c>
      <c r="AY48" s="193">
        <v>0</v>
      </c>
      <c r="AZ48" s="238">
        <f t="shared" si="26"/>
        <v>0</v>
      </c>
      <c r="BA48" s="193">
        <v>0</v>
      </c>
      <c r="BB48" s="238">
        <f t="shared" si="27"/>
        <v>0</v>
      </c>
      <c r="BC48" s="193">
        <v>0</v>
      </c>
      <c r="BD48" s="238">
        <f t="shared" si="28"/>
        <v>0</v>
      </c>
      <c r="BE48" s="193">
        <v>0</v>
      </c>
      <c r="BF48" s="238">
        <f t="shared" si="29"/>
        <v>0</v>
      </c>
      <c r="BG48" s="193">
        <v>0</v>
      </c>
      <c r="BH48" s="238">
        <f t="shared" si="30"/>
        <v>0</v>
      </c>
      <c r="BI48" s="193">
        <v>0</v>
      </c>
      <c r="BJ48" s="238">
        <f t="shared" si="31"/>
        <v>0</v>
      </c>
      <c r="BK48" s="193">
        <v>0</v>
      </c>
      <c r="BL48" s="238">
        <f t="shared" si="32"/>
        <v>0</v>
      </c>
      <c r="BM48" s="193">
        <v>0</v>
      </c>
      <c r="BN48" s="238">
        <f t="shared" si="33"/>
        <v>0</v>
      </c>
      <c r="BO48" s="193">
        <v>0</v>
      </c>
      <c r="BP48" s="238">
        <f t="shared" si="34"/>
        <v>0</v>
      </c>
      <c r="BQ48" s="193">
        <v>0</v>
      </c>
      <c r="BR48" s="238">
        <f t="shared" si="35"/>
        <v>0</v>
      </c>
      <c r="BS48" s="225"/>
      <c r="BT48" s="239">
        <f t="shared" si="36"/>
        <v>14452.59</v>
      </c>
      <c r="BU48" s="238">
        <f t="shared" si="38"/>
        <v>556424.71499999997</v>
      </c>
    </row>
    <row r="49" spans="1:73" ht="14.25">
      <c r="A49" s="241">
        <v>1983</v>
      </c>
      <c r="B49" s="240">
        <f t="shared" si="37"/>
        <v>37.5</v>
      </c>
      <c r="C49" s="193">
        <v>0</v>
      </c>
      <c r="D49" s="238">
        <f t="shared" si="2"/>
        <v>0</v>
      </c>
      <c r="E49" s="193">
        <v>319122.60999999999</v>
      </c>
      <c r="F49" s="238">
        <f t="shared" si="3"/>
        <v>11967097.875</v>
      </c>
      <c r="G49" s="193">
        <v>0</v>
      </c>
      <c r="H49" s="238">
        <f t="shared" si="4"/>
        <v>0</v>
      </c>
      <c r="I49" s="193">
        <v>0</v>
      </c>
      <c r="J49" s="238">
        <f t="shared" si="5"/>
        <v>0</v>
      </c>
      <c r="K49" s="193">
        <v>0</v>
      </c>
      <c r="L49" s="238">
        <f t="shared" si="6"/>
        <v>0</v>
      </c>
      <c r="M49" s="193">
        <v>0</v>
      </c>
      <c r="N49" s="238">
        <f t="shared" si="7"/>
        <v>0</v>
      </c>
      <c r="O49" s="193">
        <v>0</v>
      </c>
      <c r="P49" s="238">
        <f t="shared" si="8"/>
        <v>0</v>
      </c>
      <c r="Q49" s="193">
        <v>3001.6100000000001</v>
      </c>
      <c r="R49" s="238">
        <f t="shared" si="9"/>
        <v>112560.375</v>
      </c>
      <c r="S49" s="193">
        <v>0</v>
      </c>
      <c r="T49" s="238">
        <f t="shared" si="10"/>
        <v>0</v>
      </c>
      <c r="U49" s="193">
        <v>0</v>
      </c>
      <c r="V49" s="238">
        <f t="shared" si="11"/>
        <v>0</v>
      </c>
      <c r="W49" s="193">
        <v>1195.1400000000001</v>
      </c>
      <c r="X49" s="238">
        <f t="shared" si="12"/>
        <v>44817.750000000007</v>
      </c>
      <c r="Y49" s="193">
        <v>0</v>
      </c>
      <c r="Z49" s="238">
        <f t="shared" si="13"/>
        <v>0</v>
      </c>
      <c r="AA49" s="193">
        <v>0</v>
      </c>
      <c r="AB49" s="238">
        <f t="shared" si="14"/>
        <v>0</v>
      </c>
      <c r="AC49" s="193">
        <v>0</v>
      </c>
      <c r="AD49" s="238">
        <f t="shared" si="15"/>
        <v>0</v>
      </c>
      <c r="AE49" s="193">
        <v>282.5</v>
      </c>
      <c r="AF49" s="238">
        <f t="shared" si="16"/>
        <v>10593.75</v>
      </c>
      <c r="AG49" s="193">
        <v>0</v>
      </c>
      <c r="AH49" s="238">
        <f t="shared" si="17"/>
        <v>0</v>
      </c>
      <c r="AI49" s="193">
        <v>0</v>
      </c>
      <c r="AJ49" s="238">
        <f t="shared" si="18"/>
        <v>0</v>
      </c>
      <c r="AK49" s="193">
        <v>0</v>
      </c>
      <c r="AL49" s="238">
        <f t="shared" si="19"/>
        <v>0</v>
      </c>
      <c r="AM49" s="193">
        <v>3277.52</v>
      </c>
      <c r="AN49" s="238">
        <f t="shared" si="20"/>
        <v>122907</v>
      </c>
      <c r="AO49" s="193">
        <v>0</v>
      </c>
      <c r="AP49" s="238">
        <f t="shared" si="21"/>
        <v>0</v>
      </c>
      <c r="AQ49" s="193">
        <v>0</v>
      </c>
      <c r="AR49" s="238">
        <f t="shared" si="22"/>
        <v>0</v>
      </c>
      <c r="AS49" s="193">
        <v>1031.4000000000001</v>
      </c>
      <c r="AT49" s="238">
        <f t="shared" si="23"/>
        <v>38677.5</v>
      </c>
      <c r="AU49" s="193">
        <v>0</v>
      </c>
      <c r="AV49" s="238">
        <f t="shared" si="24"/>
        <v>0</v>
      </c>
      <c r="AW49" s="193">
        <v>0</v>
      </c>
      <c r="AX49" s="238">
        <f t="shared" si="25"/>
        <v>0</v>
      </c>
      <c r="AY49" s="193">
        <v>0</v>
      </c>
      <c r="AZ49" s="238">
        <f t="shared" si="26"/>
        <v>0</v>
      </c>
      <c r="BA49" s="193">
        <v>0</v>
      </c>
      <c r="BB49" s="238">
        <f t="shared" si="27"/>
        <v>0</v>
      </c>
      <c r="BC49" s="193">
        <v>0</v>
      </c>
      <c r="BD49" s="238">
        <f t="shared" si="28"/>
        <v>0</v>
      </c>
      <c r="BE49" s="193">
        <v>0</v>
      </c>
      <c r="BF49" s="238">
        <f t="shared" si="29"/>
        <v>0</v>
      </c>
      <c r="BG49" s="193">
        <v>0</v>
      </c>
      <c r="BH49" s="238">
        <f t="shared" si="30"/>
        <v>0</v>
      </c>
      <c r="BI49" s="193">
        <v>0</v>
      </c>
      <c r="BJ49" s="238">
        <f t="shared" si="31"/>
        <v>0</v>
      </c>
      <c r="BK49" s="193">
        <v>0</v>
      </c>
      <c r="BL49" s="238">
        <f t="shared" si="32"/>
        <v>0</v>
      </c>
      <c r="BM49" s="193">
        <v>0</v>
      </c>
      <c r="BN49" s="238">
        <f t="shared" si="33"/>
        <v>0</v>
      </c>
      <c r="BO49" s="193">
        <v>0</v>
      </c>
      <c r="BP49" s="238">
        <f t="shared" si="34"/>
        <v>0</v>
      </c>
      <c r="BQ49" s="193">
        <v>0</v>
      </c>
      <c r="BR49" s="238">
        <f t="shared" si="35"/>
        <v>0</v>
      </c>
      <c r="BS49" s="225"/>
      <c r="BT49" s="239">
        <f t="shared" si="36"/>
        <v>327910.77999999997</v>
      </c>
      <c r="BU49" s="238">
        <f t="shared" si="38"/>
        <v>12296654.249999998</v>
      </c>
    </row>
    <row r="50" spans="1:73" ht="14.25">
      <c r="A50" s="241">
        <v>1984</v>
      </c>
      <c r="B50" s="240">
        <f t="shared" si="37"/>
        <v>36.5</v>
      </c>
      <c r="C50" s="193">
        <v>0</v>
      </c>
      <c r="D50" s="238">
        <f t="shared" si="2"/>
        <v>0</v>
      </c>
      <c r="E50" s="193">
        <v>0</v>
      </c>
      <c r="F50" s="238">
        <f t="shared" si="3"/>
        <v>0</v>
      </c>
      <c r="G50" s="193">
        <v>0</v>
      </c>
      <c r="H50" s="238">
        <f t="shared" si="4"/>
        <v>0</v>
      </c>
      <c r="I50" s="193">
        <v>41.159999999999997</v>
      </c>
      <c r="J50" s="238">
        <f t="shared" si="5"/>
        <v>1502.3399999999999</v>
      </c>
      <c r="K50" s="193">
        <v>0</v>
      </c>
      <c r="L50" s="238">
        <f t="shared" si="6"/>
        <v>0</v>
      </c>
      <c r="M50" s="193">
        <v>0</v>
      </c>
      <c r="N50" s="238">
        <f t="shared" si="7"/>
        <v>0</v>
      </c>
      <c r="O50" s="193">
        <v>0</v>
      </c>
      <c r="P50" s="238">
        <f t="shared" si="8"/>
        <v>0</v>
      </c>
      <c r="Q50" s="193">
        <v>0</v>
      </c>
      <c r="R50" s="238">
        <f t="shared" si="9"/>
        <v>0</v>
      </c>
      <c r="S50" s="193">
        <v>0</v>
      </c>
      <c r="T50" s="238">
        <f t="shared" si="10"/>
        <v>0</v>
      </c>
      <c r="U50" s="193">
        <v>0</v>
      </c>
      <c r="V50" s="238">
        <f t="shared" si="11"/>
        <v>0</v>
      </c>
      <c r="W50" s="193">
        <v>308.08999999999997</v>
      </c>
      <c r="X50" s="238">
        <f t="shared" si="12"/>
        <v>11245.285</v>
      </c>
      <c r="Y50" s="193">
        <v>0</v>
      </c>
      <c r="Z50" s="238">
        <f t="shared" si="13"/>
        <v>0</v>
      </c>
      <c r="AA50" s="193">
        <v>0</v>
      </c>
      <c r="AB50" s="238">
        <f t="shared" si="14"/>
        <v>0</v>
      </c>
      <c r="AC50" s="193">
        <v>0</v>
      </c>
      <c r="AD50" s="238">
        <f t="shared" si="15"/>
        <v>0</v>
      </c>
      <c r="AE50" s="193">
        <v>688.41999999999996</v>
      </c>
      <c r="AF50" s="238">
        <f t="shared" si="16"/>
        <v>25127.329999999998</v>
      </c>
      <c r="AG50" s="193">
        <v>0</v>
      </c>
      <c r="AH50" s="238">
        <f t="shared" si="17"/>
        <v>0</v>
      </c>
      <c r="AI50" s="193">
        <v>0</v>
      </c>
      <c r="AJ50" s="238">
        <f t="shared" si="18"/>
        <v>0</v>
      </c>
      <c r="AK50" s="193">
        <v>0</v>
      </c>
      <c r="AL50" s="238">
        <f t="shared" si="19"/>
        <v>0</v>
      </c>
      <c r="AM50" s="193">
        <v>1315</v>
      </c>
      <c r="AN50" s="238">
        <f t="shared" si="20"/>
        <v>47997.5</v>
      </c>
      <c r="AO50" s="193">
        <v>0</v>
      </c>
      <c r="AP50" s="238">
        <f t="shared" si="21"/>
        <v>0</v>
      </c>
      <c r="AQ50" s="193">
        <v>0</v>
      </c>
      <c r="AR50" s="238">
        <f t="shared" si="22"/>
        <v>0</v>
      </c>
      <c r="AS50" s="193">
        <v>0</v>
      </c>
      <c r="AT50" s="238">
        <f t="shared" si="23"/>
        <v>0</v>
      </c>
      <c r="AU50" s="193">
        <v>0</v>
      </c>
      <c r="AV50" s="238">
        <f t="shared" si="24"/>
        <v>0</v>
      </c>
      <c r="AW50" s="193">
        <v>0</v>
      </c>
      <c r="AX50" s="238">
        <f t="shared" si="25"/>
        <v>0</v>
      </c>
      <c r="AY50" s="193">
        <v>0</v>
      </c>
      <c r="AZ50" s="238">
        <f t="shared" si="26"/>
        <v>0</v>
      </c>
      <c r="BA50" s="193">
        <v>0</v>
      </c>
      <c r="BB50" s="238">
        <f t="shared" si="27"/>
        <v>0</v>
      </c>
      <c r="BC50" s="193">
        <v>0</v>
      </c>
      <c r="BD50" s="238">
        <f t="shared" si="28"/>
        <v>0</v>
      </c>
      <c r="BE50" s="193">
        <v>0</v>
      </c>
      <c r="BF50" s="238">
        <f t="shared" si="29"/>
        <v>0</v>
      </c>
      <c r="BG50" s="193">
        <v>0</v>
      </c>
      <c r="BH50" s="238">
        <f t="shared" si="30"/>
        <v>0</v>
      </c>
      <c r="BI50" s="193">
        <v>0</v>
      </c>
      <c r="BJ50" s="238">
        <f t="shared" si="31"/>
        <v>0</v>
      </c>
      <c r="BK50" s="193">
        <v>0</v>
      </c>
      <c r="BL50" s="238">
        <f t="shared" si="32"/>
        <v>0</v>
      </c>
      <c r="BM50" s="193">
        <v>0</v>
      </c>
      <c r="BN50" s="238">
        <f t="shared" si="33"/>
        <v>0</v>
      </c>
      <c r="BO50" s="193">
        <v>0</v>
      </c>
      <c r="BP50" s="238">
        <f t="shared" si="34"/>
        <v>0</v>
      </c>
      <c r="BQ50" s="193">
        <v>0</v>
      </c>
      <c r="BR50" s="238">
        <f t="shared" si="35"/>
        <v>0</v>
      </c>
      <c r="BS50" s="225"/>
      <c r="BT50" s="239">
        <f t="shared" si="36"/>
        <v>2352.6700000000001</v>
      </c>
      <c r="BU50" s="238">
        <f t="shared" si="38"/>
        <v>85872.455000000002</v>
      </c>
    </row>
    <row r="51" spans="1:73" ht="14.25">
      <c r="A51" s="241">
        <v>1985</v>
      </c>
      <c r="B51" s="240">
        <f t="shared" si="37"/>
        <v>35.5</v>
      </c>
      <c r="C51" s="193">
        <v>0</v>
      </c>
      <c r="D51" s="238">
        <f t="shared" si="2"/>
        <v>0</v>
      </c>
      <c r="E51" s="193">
        <v>0</v>
      </c>
      <c r="F51" s="238">
        <f t="shared" si="3"/>
        <v>0</v>
      </c>
      <c r="G51" s="193">
        <v>3883.3200000000002</v>
      </c>
      <c r="H51" s="238">
        <f t="shared" si="4"/>
        <v>137857.86000000002</v>
      </c>
      <c r="I51" s="193">
        <v>18386.740000000002</v>
      </c>
      <c r="J51" s="238">
        <f t="shared" si="5"/>
        <v>652729.27000000002</v>
      </c>
      <c r="K51" s="193">
        <v>0</v>
      </c>
      <c r="L51" s="238">
        <f t="shared" si="6"/>
        <v>0</v>
      </c>
      <c r="M51" s="193">
        <v>0</v>
      </c>
      <c r="N51" s="238">
        <f t="shared" si="7"/>
        <v>0</v>
      </c>
      <c r="O51" s="193">
        <v>0</v>
      </c>
      <c r="P51" s="238">
        <f t="shared" si="8"/>
        <v>0</v>
      </c>
      <c r="Q51" s="193">
        <v>19782.790000000001</v>
      </c>
      <c r="R51" s="238">
        <f t="shared" si="9"/>
        <v>702289.04500000004</v>
      </c>
      <c r="S51" s="193">
        <v>21886.259999999998</v>
      </c>
      <c r="T51" s="238">
        <f t="shared" si="10"/>
        <v>776962.22999999998</v>
      </c>
      <c r="U51" s="193">
        <v>0</v>
      </c>
      <c r="V51" s="238">
        <f t="shared" si="11"/>
        <v>0</v>
      </c>
      <c r="W51" s="193">
        <v>6642.96</v>
      </c>
      <c r="X51" s="238">
        <f t="shared" si="12"/>
        <v>235825.07999999999</v>
      </c>
      <c r="Y51" s="193">
        <v>0</v>
      </c>
      <c r="Z51" s="238">
        <f t="shared" si="13"/>
        <v>0</v>
      </c>
      <c r="AA51" s="193">
        <v>0</v>
      </c>
      <c r="AB51" s="238">
        <f t="shared" si="14"/>
        <v>0</v>
      </c>
      <c r="AC51" s="193">
        <v>0</v>
      </c>
      <c r="AD51" s="238">
        <f t="shared" si="15"/>
        <v>0</v>
      </c>
      <c r="AE51" s="193">
        <v>0</v>
      </c>
      <c r="AF51" s="238">
        <f t="shared" si="16"/>
        <v>0</v>
      </c>
      <c r="AG51" s="193">
        <v>0</v>
      </c>
      <c r="AH51" s="238">
        <f t="shared" si="17"/>
        <v>0</v>
      </c>
      <c r="AI51" s="193">
        <v>0</v>
      </c>
      <c r="AJ51" s="238">
        <f t="shared" si="18"/>
        <v>0</v>
      </c>
      <c r="AK51" s="193">
        <v>0</v>
      </c>
      <c r="AL51" s="238">
        <f t="shared" si="19"/>
        <v>0</v>
      </c>
      <c r="AM51" s="193">
        <v>7637.2600000000002</v>
      </c>
      <c r="AN51" s="238">
        <f t="shared" si="20"/>
        <v>271122.72999999998</v>
      </c>
      <c r="AO51" s="193">
        <v>0</v>
      </c>
      <c r="AP51" s="238">
        <f t="shared" si="21"/>
        <v>0</v>
      </c>
      <c r="AQ51" s="193">
        <v>0</v>
      </c>
      <c r="AR51" s="238">
        <f t="shared" si="22"/>
        <v>0</v>
      </c>
      <c r="AS51" s="193">
        <v>3092.8499999999999</v>
      </c>
      <c r="AT51" s="238">
        <f t="shared" si="23"/>
        <v>109796.175</v>
      </c>
      <c r="AU51" s="193">
        <v>0</v>
      </c>
      <c r="AV51" s="238">
        <f t="shared" si="24"/>
        <v>0</v>
      </c>
      <c r="AW51" s="193">
        <v>0</v>
      </c>
      <c r="AX51" s="238">
        <f t="shared" si="25"/>
        <v>0</v>
      </c>
      <c r="AY51" s="193">
        <v>0</v>
      </c>
      <c r="AZ51" s="238">
        <f t="shared" si="26"/>
        <v>0</v>
      </c>
      <c r="BA51" s="193">
        <v>0</v>
      </c>
      <c r="BB51" s="238">
        <f t="shared" si="27"/>
        <v>0</v>
      </c>
      <c r="BC51" s="193">
        <v>0</v>
      </c>
      <c r="BD51" s="238">
        <f t="shared" si="28"/>
        <v>0</v>
      </c>
      <c r="BE51" s="193">
        <v>0</v>
      </c>
      <c r="BF51" s="238">
        <f t="shared" si="29"/>
        <v>0</v>
      </c>
      <c r="BG51" s="193">
        <v>0</v>
      </c>
      <c r="BH51" s="238">
        <f t="shared" si="30"/>
        <v>0</v>
      </c>
      <c r="BI51" s="193">
        <v>0</v>
      </c>
      <c r="BJ51" s="238">
        <f t="shared" si="31"/>
        <v>0</v>
      </c>
      <c r="BK51" s="193">
        <v>0</v>
      </c>
      <c r="BL51" s="238">
        <f t="shared" si="32"/>
        <v>0</v>
      </c>
      <c r="BM51" s="193">
        <v>0</v>
      </c>
      <c r="BN51" s="238">
        <f t="shared" si="33"/>
        <v>0</v>
      </c>
      <c r="BO51" s="193">
        <v>0</v>
      </c>
      <c r="BP51" s="238">
        <f t="shared" si="34"/>
        <v>0</v>
      </c>
      <c r="BQ51" s="193">
        <v>0</v>
      </c>
      <c r="BR51" s="238">
        <f t="shared" si="35"/>
        <v>0</v>
      </c>
      <c r="BS51" s="225"/>
      <c r="BT51" s="239">
        <f t="shared" si="36"/>
        <v>81312.180000000008</v>
      </c>
      <c r="BU51" s="238">
        <f t="shared" si="38"/>
        <v>2886582.3900000001</v>
      </c>
    </row>
    <row r="52" spans="1:73" ht="14.25">
      <c r="A52" s="241">
        <v>1986</v>
      </c>
      <c r="B52" s="240">
        <f t="shared" si="37"/>
        <v>34.5</v>
      </c>
      <c r="C52" s="193">
        <v>0</v>
      </c>
      <c r="D52" s="238">
        <f t="shared" si="2"/>
        <v>0</v>
      </c>
      <c r="E52" s="193">
        <v>0</v>
      </c>
      <c r="F52" s="238">
        <f t="shared" si="3"/>
        <v>0</v>
      </c>
      <c r="G52" s="193">
        <v>0</v>
      </c>
      <c r="H52" s="238">
        <f t="shared" si="4"/>
        <v>0</v>
      </c>
      <c r="I52" s="193">
        <v>0</v>
      </c>
      <c r="J52" s="238">
        <f t="shared" si="5"/>
        <v>0</v>
      </c>
      <c r="K52" s="193">
        <v>0</v>
      </c>
      <c r="L52" s="238">
        <f t="shared" si="6"/>
        <v>0</v>
      </c>
      <c r="M52" s="193">
        <v>0</v>
      </c>
      <c r="N52" s="238">
        <f t="shared" si="7"/>
        <v>0</v>
      </c>
      <c r="O52" s="193">
        <v>0</v>
      </c>
      <c r="P52" s="238">
        <f t="shared" si="8"/>
        <v>0</v>
      </c>
      <c r="Q52" s="193">
        <v>22541.52</v>
      </c>
      <c r="R52" s="238">
        <f t="shared" si="9"/>
        <v>777682.44000000006</v>
      </c>
      <c r="S52" s="193">
        <v>0</v>
      </c>
      <c r="T52" s="238">
        <f t="shared" si="10"/>
        <v>0</v>
      </c>
      <c r="U52" s="193">
        <v>0</v>
      </c>
      <c r="V52" s="238">
        <f t="shared" si="11"/>
        <v>0</v>
      </c>
      <c r="W52" s="193">
        <v>3310.2199999999998</v>
      </c>
      <c r="X52" s="238">
        <f t="shared" si="12"/>
        <v>114202.59</v>
      </c>
      <c r="Y52" s="193">
        <v>0</v>
      </c>
      <c r="Z52" s="238">
        <f t="shared" si="13"/>
        <v>0</v>
      </c>
      <c r="AA52" s="193">
        <v>0</v>
      </c>
      <c r="AB52" s="238">
        <f t="shared" si="14"/>
        <v>0</v>
      </c>
      <c r="AC52" s="193">
        <v>0</v>
      </c>
      <c r="AD52" s="238">
        <f t="shared" si="15"/>
        <v>0</v>
      </c>
      <c r="AE52" s="193">
        <v>0</v>
      </c>
      <c r="AF52" s="238">
        <f t="shared" si="16"/>
        <v>0</v>
      </c>
      <c r="AG52" s="193">
        <v>0</v>
      </c>
      <c r="AH52" s="238">
        <f t="shared" si="17"/>
        <v>0</v>
      </c>
      <c r="AI52" s="193">
        <v>0</v>
      </c>
      <c r="AJ52" s="238">
        <f t="shared" si="18"/>
        <v>0</v>
      </c>
      <c r="AK52" s="193">
        <v>0</v>
      </c>
      <c r="AL52" s="238">
        <f t="shared" si="19"/>
        <v>0</v>
      </c>
      <c r="AM52" s="193">
        <v>1565.5</v>
      </c>
      <c r="AN52" s="238">
        <f t="shared" si="20"/>
        <v>54009.75</v>
      </c>
      <c r="AO52" s="193">
        <v>0</v>
      </c>
      <c r="AP52" s="238">
        <f t="shared" si="21"/>
        <v>0</v>
      </c>
      <c r="AQ52" s="193">
        <v>0</v>
      </c>
      <c r="AR52" s="238">
        <f t="shared" si="22"/>
        <v>0</v>
      </c>
      <c r="AS52" s="193">
        <v>929.25</v>
      </c>
      <c r="AT52" s="238">
        <f t="shared" si="23"/>
        <v>32059.125</v>
      </c>
      <c r="AU52" s="193">
        <v>0</v>
      </c>
      <c r="AV52" s="238">
        <f t="shared" si="24"/>
        <v>0</v>
      </c>
      <c r="AW52" s="193">
        <v>0</v>
      </c>
      <c r="AX52" s="238">
        <f t="shared" si="25"/>
        <v>0</v>
      </c>
      <c r="AY52" s="193">
        <v>0</v>
      </c>
      <c r="AZ52" s="238">
        <f t="shared" si="26"/>
        <v>0</v>
      </c>
      <c r="BA52" s="193">
        <v>0</v>
      </c>
      <c r="BB52" s="238">
        <f t="shared" si="27"/>
        <v>0</v>
      </c>
      <c r="BC52" s="193">
        <v>0</v>
      </c>
      <c r="BD52" s="238">
        <f t="shared" si="28"/>
        <v>0</v>
      </c>
      <c r="BE52" s="193">
        <v>0</v>
      </c>
      <c r="BF52" s="238">
        <f t="shared" si="29"/>
        <v>0</v>
      </c>
      <c r="BG52" s="193">
        <v>0</v>
      </c>
      <c r="BH52" s="238">
        <f t="shared" si="30"/>
        <v>0</v>
      </c>
      <c r="BI52" s="193">
        <v>0</v>
      </c>
      <c r="BJ52" s="238">
        <f t="shared" si="31"/>
        <v>0</v>
      </c>
      <c r="BK52" s="193">
        <v>0</v>
      </c>
      <c r="BL52" s="238">
        <f t="shared" si="32"/>
        <v>0</v>
      </c>
      <c r="BM52" s="193">
        <v>0</v>
      </c>
      <c r="BN52" s="238">
        <f t="shared" si="33"/>
        <v>0</v>
      </c>
      <c r="BO52" s="193">
        <v>529.25999999999999</v>
      </c>
      <c r="BP52" s="238">
        <f t="shared" si="34"/>
        <v>18259.470000000001</v>
      </c>
      <c r="BQ52" s="193">
        <v>0</v>
      </c>
      <c r="BR52" s="238">
        <f t="shared" si="35"/>
        <v>0</v>
      </c>
      <c r="BS52" s="225"/>
      <c r="BT52" s="239">
        <f t="shared" si="36"/>
        <v>28875.75</v>
      </c>
      <c r="BU52" s="238">
        <f t="shared" si="38"/>
        <v>996213.375</v>
      </c>
    </row>
    <row r="53" spans="1:73" ht="14.25">
      <c r="A53" s="241">
        <v>1987</v>
      </c>
      <c r="B53" s="240">
        <f t="shared" si="37"/>
        <v>33.5</v>
      </c>
      <c r="C53" s="193">
        <v>0</v>
      </c>
      <c r="D53" s="238">
        <f t="shared" si="2"/>
        <v>0</v>
      </c>
      <c r="E53" s="193">
        <v>0</v>
      </c>
      <c r="F53" s="238">
        <f t="shared" si="3"/>
        <v>0</v>
      </c>
      <c r="G53" s="193">
        <v>11257.08</v>
      </c>
      <c r="H53" s="238">
        <f t="shared" si="4"/>
        <v>377112.17999999999</v>
      </c>
      <c r="I53" s="193">
        <v>0</v>
      </c>
      <c r="J53" s="238">
        <f t="shared" si="5"/>
        <v>0</v>
      </c>
      <c r="K53" s="193">
        <v>0</v>
      </c>
      <c r="L53" s="238">
        <f t="shared" si="6"/>
        <v>0</v>
      </c>
      <c r="M53" s="193">
        <v>0</v>
      </c>
      <c r="N53" s="238">
        <f t="shared" si="7"/>
        <v>0</v>
      </c>
      <c r="O53" s="193">
        <v>0</v>
      </c>
      <c r="P53" s="238">
        <f t="shared" si="8"/>
        <v>0</v>
      </c>
      <c r="Q53" s="193">
        <v>6684.21</v>
      </c>
      <c r="R53" s="238">
        <f t="shared" si="9"/>
        <v>223921.035</v>
      </c>
      <c r="S53" s="193">
        <v>0</v>
      </c>
      <c r="T53" s="238">
        <f t="shared" si="10"/>
        <v>0</v>
      </c>
      <c r="U53" s="193">
        <v>0</v>
      </c>
      <c r="V53" s="238">
        <f t="shared" si="11"/>
        <v>0</v>
      </c>
      <c r="W53" s="193">
        <v>893.20000000000005</v>
      </c>
      <c r="X53" s="238">
        <f t="shared" si="12"/>
        <v>29922.200000000001</v>
      </c>
      <c r="Y53" s="193">
        <v>0</v>
      </c>
      <c r="Z53" s="238">
        <f t="shared" si="13"/>
        <v>0</v>
      </c>
      <c r="AA53" s="193">
        <v>0</v>
      </c>
      <c r="AB53" s="238">
        <f t="shared" si="14"/>
        <v>0</v>
      </c>
      <c r="AC53" s="193">
        <v>0</v>
      </c>
      <c r="AD53" s="238">
        <f t="shared" si="15"/>
        <v>0</v>
      </c>
      <c r="AE53" s="193">
        <v>0</v>
      </c>
      <c r="AF53" s="238">
        <f t="shared" si="16"/>
        <v>0</v>
      </c>
      <c r="AG53" s="193">
        <v>0</v>
      </c>
      <c r="AH53" s="238">
        <f t="shared" si="17"/>
        <v>0</v>
      </c>
      <c r="AI53" s="193">
        <v>0</v>
      </c>
      <c r="AJ53" s="238">
        <f t="shared" si="18"/>
        <v>0</v>
      </c>
      <c r="AK53" s="193">
        <v>0</v>
      </c>
      <c r="AL53" s="238">
        <f t="shared" si="19"/>
        <v>0</v>
      </c>
      <c r="AM53" s="193">
        <v>0</v>
      </c>
      <c r="AN53" s="238">
        <f t="shared" si="20"/>
        <v>0</v>
      </c>
      <c r="AO53" s="193">
        <v>0</v>
      </c>
      <c r="AP53" s="238">
        <f t="shared" si="21"/>
        <v>0</v>
      </c>
      <c r="AQ53" s="193">
        <v>0</v>
      </c>
      <c r="AR53" s="238">
        <f t="shared" si="22"/>
        <v>0</v>
      </c>
      <c r="AS53" s="193">
        <v>0</v>
      </c>
      <c r="AT53" s="238">
        <f t="shared" si="23"/>
        <v>0</v>
      </c>
      <c r="AU53" s="193">
        <v>0</v>
      </c>
      <c r="AV53" s="238">
        <f t="shared" si="24"/>
        <v>0</v>
      </c>
      <c r="AW53" s="193">
        <v>0</v>
      </c>
      <c r="AX53" s="238">
        <f t="shared" si="25"/>
        <v>0</v>
      </c>
      <c r="AY53" s="193">
        <v>0</v>
      </c>
      <c r="AZ53" s="238">
        <f t="shared" si="26"/>
        <v>0</v>
      </c>
      <c r="BA53" s="193">
        <v>0</v>
      </c>
      <c r="BB53" s="238">
        <f t="shared" si="27"/>
        <v>0</v>
      </c>
      <c r="BC53" s="193">
        <v>0</v>
      </c>
      <c r="BD53" s="238">
        <f t="shared" si="28"/>
        <v>0</v>
      </c>
      <c r="BE53" s="193">
        <v>0</v>
      </c>
      <c r="BF53" s="238">
        <f t="shared" si="29"/>
        <v>0</v>
      </c>
      <c r="BG53" s="193">
        <v>0</v>
      </c>
      <c r="BH53" s="238">
        <f t="shared" si="30"/>
        <v>0</v>
      </c>
      <c r="BI53" s="193">
        <v>0</v>
      </c>
      <c r="BJ53" s="238">
        <f t="shared" si="31"/>
        <v>0</v>
      </c>
      <c r="BK53" s="193">
        <v>0</v>
      </c>
      <c r="BL53" s="238">
        <f t="shared" si="32"/>
        <v>0</v>
      </c>
      <c r="BM53" s="193">
        <v>0</v>
      </c>
      <c r="BN53" s="238">
        <f t="shared" si="33"/>
        <v>0</v>
      </c>
      <c r="BO53" s="193">
        <v>0</v>
      </c>
      <c r="BP53" s="238">
        <f t="shared" si="34"/>
        <v>0</v>
      </c>
      <c r="BQ53" s="193">
        <v>0</v>
      </c>
      <c r="BR53" s="238">
        <f t="shared" si="35"/>
        <v>0</v>
      </c>
      <c r="BS53" s="225"/>
      <c r="BT53" s="239">
        <f t="shared" si="36"/>
        <v>18834.490000000002</v>
      </c>
      <c r="BU53" s="238">
        <f t="shared" si="38"/>
        <v>630955.41500000004</v>
      </c>
    </row>
    <row r="54" spans="1:73" ht="14.25">
      <c r="A54" s="241">
        <v>1988</v>
      </c>
      <c r="B54" s="240">
        <f t="shared" si="37"/>
        <v>32.5</v>
      </c>
      <c r="C54" s="193">
        <v>0</v>
      </c>
      <c r="D54" s="238">
        <f t="shared" si="2"/>
        <v>0</v>
      </c>
      <c r="E54" s="193">
        <v>0</v>
      </c>
      <c r="F54" s="238">
        <f t="shared" si="3"/>
        <v>0</v>
      </c>
      <c r="G54" s="193">
        <v>1107.26</v>
      </c>
      <c r="H54" s="238">
        <f t="shared" si="4"/>
        <v>35985.949999999997</v>
      </c>
      <c r="I54" s="193">
        <v>6561.5</v>
      </c>
      <c r="J54" s="238">
        <f t="shared" si="5"/>
        <v>213248.75</v>
      </c>
      <c r="K54" s="193">
        <v>0</v>
      </c>
      <c r="L54" s="238">
        <f t="shared" si="6"/>
        <v>0</v>
      </c>
      <c r="M54" s="193">
        <v>0</v>
      </c>
      <c r="N54" s="238">
        <f t="shared" si="7"/>
        <v>0</v>
      </c>
      <c r="O54" s="193">
        <v>0</v>
      </c>
      <c r="P54" s="238">
        <f t="shared" si="8"/>
        <v>0</v>
      </c>
      <c r="Q54" s="193">
        <v>0</v>
      </c>
      <c r="R54" s="238">
        <f t="shared" si="9"/>
        <v>0</v>
      </c>
      <c r="S54" s="193">
        <v>0</v>
      </c>
      <c r="T54" s="238">
        <f t="shared" si="10"/>
        <v>0</v>
      </c>
      <c r="U54" s="193">
        <v>0</v>
      </c>
      <c r="V54" s="238">
        <f t="shared" si="11"/>
        <v>0</v>
      </c>
      <c r="W54" s="193">
        <v>1775.0999999999999</v>
      </c>
      <c r="X54" s="238">
        <f t="shared" si="12"/>
        <v>57690.75</v>
      </c>
      <c r="Y54" s="193">
        <v>0</v>
      </c>
      <c r="Z54" s="238">
        <f t="shared" si="13"/>
        <v>0</v>
      </c>
      <c r="AA54" s="193">
        <v>0</v>
      </c>
      <c r="AB54" s="238">
        <f t="shared" si="14"/>
        <v>0</v>
      </c>
      <c r="AC54" s="193">
        <v>0</v>
      </c>
      <c r="AD54" s="238">
        <f t="shared" si="15"/>
        <v>0</v>
      </c>
      <c r="AE54" s="193">
        <v>0</v>
      </c>
      <c r="AF54" s="238">
        <f t="shared" si="16"/>
        <v>0</v>
      </c>
      <c r="AG54" s="193">
        <v>0</v>
      </c>
      <c r="AH54" s="238">
        <f t="shared" si="17"/>
        <v>0</v>
      </c>
      <c r="AI54" s="193">
        <v>0</v>
      </c>
      <c r="AJ54" s="238">
        <f t="shared" si="18"/>
        <v>0</v>
      </c>
      <c r="AK54" s="193">
        <v>0</v>
      </c>
      <c r="AL54" s="238">
        <f t="shared" si="19"/>
        <v>0</v>
      </c>
      <c r="AM54" s="193">
        <v>0</v>
      </c>
      <c r="AN54" s="238">
        <f t="shared" si="20"/>
        <v>0</v>
      </c>
      <c r="AO54" s="193">
        <v>0</v>
      </c>
      <c r="AP54" s="238">
        <f t="shared" si="21"/>
        <v>0</v>
      </c>
      <c r="AQ54" s="193">
        <v>0</v>
      </c>
      <c r="AR54" s="238">
        <f t="shared" si="22"/>
        <v>0</v>
      </c>
      <c r="AS54" s="193">
        <v>511.05000000000001</v>
      </c>
      <c r="AT54" s="238">
        <f t="shared" si="23"/>
        <v>16609.125</v>
      </c>
      <c r="AU54" s="193">
        <v>0</v>
      </c>
      <c r="AV54" s="238">
        <f t="shared" si="24"/>
        <v>0</v>
      </c>
      <c r="AW54" s="193">
        <v>0</v>
      </c>
      <c r="AX54" s="238">
        <f t="shared" si="25"/>
        <v>0</v>
      </c>
      <c r="AY54" s="193">
        <v>0</v>
      </c>
      <c r="AZ54" s="238">
        <f t="shared" si="26"/>
        <v>0</v>
      </c>
      <c r="BA54" s="193">
        <v>0</v>
      </c>
      <c r="BB54" s="238">
        <f t="shared" si="27"/>
        <v>0</v>
      </c>
      <c r="BC54" s="193">
        <v>0</v>
      </c>
      <c r="BD54" s="238">
        <f t="shared" si="28"/>
        <v>0</v>
      </c>
      <c r="BE54" s="193">
        <v>0</v>
      </c>
      <c r="BF54" s="238">
        <f t="shared" si="29"/>
        <v>0</v>
      </c>
      <c r="BG54" s="193">
        <v>0</v>
      </c>
      <c r="BH54" s="238">
        <f t="shared" si="30"/>
        <v>0</v>
      </c>
      <c r="BI54" s="193">
        <v>0</v>
      </c>
      <c r="BJ54" s="238">
        <f t="shared" si="31"/>
        <v>0</v>
      </c>
      <c r="BK54" s="193">
        <v>0</v>
      </c>
      <c r="BL54" s="238">
        <f t="shared" si="32"/>
        <v>0</v>
      </c>
      <c r="BM54" s="193">
        <v>0</v>
      </c>
      <c r="BN54" s="238">
        <f t="shared" si="33"/>
        <v>0</v>
      </c>
      <c r="BO54" s="193">
        <v>0</v>
      </c>
      <c r="BP54" s="238">
        <f t="shared" si="34"/>
        <v>0</v>
      </c>
      <c r="BQ54" s="193">
        <v>0</v>
      </c>
      <c r="BR54" s="238">
        <f t="shared" si="35"/>
        <v>0</v>
      </c>
      <c r="BS54" s="225"/>
      <c r="BT54" s="239">
        <f t="shared" si="36"/>
        <v>9954.9099999999999</v>
      </c>
      <c r="BU54" s="238">
        <f t="shared" si="38"/>
        <v>323534.57500000001</v>
      </c>
    </row>
    <row r="55" spans="1:73" ht="14.25">
      <c r="A55" s="241">
        <v>1989</v>
      </c>
      <c r="B55" s="240">
        <f t="shared" si="37"/>
        <v>31.5</v>
      </c>
      <c r="C55" s="193">
        <v>0</v>
      </c>
      <c r="D55" s="238">
        <f t="shared" si="2"/>
        <v>0</v>
      </c>
      <c r="E55" s="193">
        <v>0</v>
      </c>
      <c r="F55" s="238">
        <f t="shared" si="3"/>
        <v>0</v>
      </c>
      <c r="G55" s="193">
        <v>0</v>
      </c>
      <c r="H55" s="238">
        <f t="shared" si="4"/>
        <v>0</v>
      </c>
      <c r="I55" s="193">
        <v>0</v>
      </c>
      <c r="J55" s="238">
        <f t="shared" si="5"/>
        <v>0</v>
      </c>
      <c r="K55" s="193">
        <v>0</v>
      </c>
      <c r="L55" s="238">
        <f t="shared" si="6"/>
        <v>0</v>
      </c>
      <c r="M55" s="193">
        <v>0</v>
      </c>
      <c r="N55" s="238">
        <f t="shared" si="7"/>
        <v>0</v>
      </c>
      <c r="O55" s="193">
        <v>0</v>
      </c>
      <c r="P55" s="238">
        <f t="shared" si="8"/>
        <v>0</v>
      </c>
      <c r="Q55" s="193">
        <v>5293.6800000000003</v>
      </c>
      <c r="R55" s="238">
        <f t="shared" si="9"/>
        <v>166750.92000000001</v>
      </c>
      <c r="S55" s="193">
        <v>0</v>
      </c>
      <c r="T55" s="238">
        <f t="shared" si="10"/>
        <v>0</v>
      </c>
      <c r="U55" s="193">
        <v>0</v>
      </c>
      <c r="V55" s="238">
        <f t="shared" si="11"/>
        <v>0</v>
      </c>
      <c r="W55" s="193">
        <v>4073.0500000000002</v>
      </c>
      <c r="X55" s="238">
        <f t="shared" si="12"/>
        <v>128301.07500000001</v>
      </c>
      <c r="Y55" s="193">
        <v>0</v>
      </c>
      <c r="Z55" s="238">
        <f t="shared" si="13"/>
        <v>0</v>
      </c>
      <c r="AA55" s="193">
        <v>0</v>
      </c>
      <c r="AB55" s="238">
        <f t="shared" si="14"/>
        <v>0</v>
      </c>
      <c r="AC55" s="193">
        <v>0</v>
      </c>
      <c r="AD55" s="238">
        <f t="shared" si="15"/>
        <v>0</v>
      </c>
      <c r="AE55" s="193">
        <v>0</v>
      </c>
      <c r="AF55" s="238">
        <f t="shared" si="16"/>
        <v>0</v>
      </c>
      <c r="AG55" s="193">
        <v>0</v>
      </c>
      <c r="AH55" s="238">
        <f t="shared" si="17"/>
        <v>0</v>
      </c>
      <c r="AI55" s="193">
        <v>0</v>
      </c>
      <c r="AJ55" s="238">
        <f t="shared" si="18"/>
        <v>0</v>
      </c>
      <c r="AK55" s="193">
        <v>0</v>
      </c>
      <c r="AL55" s="238">
        <f t="shared" si="19"/>
        <v>0</v>
      </c>
      <c r="AM55" s="193">
        <v>0</v>
      </c>
      <c r="AN55" s="238">
        <f t="shared" si="20"/>
        <v>0</v>
      </c>
      <c r="AO55" s="193">
        <v>740.94000000000005</v>
      </c>
      <c r="AP55" s="238">
        <f t="shared" si="21"/>
        <v>23339.610000000001</v>
      </c>
      <c r="AQ55" s="193">
        <v>0</v>
      </c>
      <c r="AR55" s="238">
        <f t="shared" si="22"/>
        <v>0</v>
      </c>
      <c r="AS55" s="193">
        <v>0</v>
      </c>
      <c r="AT55" s="238">
        <f t="shared" si="23"/>
        <v>0</v>
      </c>
      <c r="AU55" s="193">
        <v>0</v>
      </c>
      <c r="AV55" s="238">
        <f t="shared" si="24"/>
        <v>0</v>
      </c>
      <c r="AW55" s="193">
        <v>0</v>
      </c>
      <c r="AX55" s="238">
        <f t="shared" si="25"/>
        <v>0</v>
      </c>
      <c r="AY55" s="193">
        <v>0</v>
      </c>
      <c r="AZ55" s="238">
        <f t="shared" si="26"/>
        <v>0</v>
      </c>
      <c r="BA55" s="193">
        <v>0</v>
      </c>
      <c r="BB55" s="238">
        <f t="shared" si="27"/>
        <v>0</v>
      </c>
      <c r="BC55" s="193">
        <v>0</v>
      </c>
      <c r="BD55" s="238">
        <f t="shared" si="28"/>
        <v>0</v>
      </c>
      <c r="BE55" s="193">
        <v>0</v>
      </c>
      <c r="BF55" s="238">
        <f t="shared" si="29"/>
        <v>0</v>
      </c>
      <c r="BG55" s="193">
        <v>0</v>
      </c>
      <c r="BH55" s="238">
        <f t="shared" si="30"/>
        <v>0</v>
      </c>
      <c r="BI55" s="193">
        <v>0</v>
      </c>
      <c r="BJ55" s="238">
        <f t="shared" si="31"/>
        <v>0</v>
      </c>
      <c r="BK55" s="193">
        <v>0</v>
      </c>
      <c r="BL55" s="238">
        <f t="shared" si="32"/>
        <v>0</v>
      </c>
      <c r="BM55" s="193">
        <v>0</v>
      </c>
      <c r="BN55" s="238">
        <f t="shared" si="33"/>
        <v>0</v>
      </c>
      <c r="BO55" s="193">
        <v>0</v>
      </c>
      <c r="BP55" s="238">
        <f t="shared" si="34"/>
        <v>0</v>
      </c>
      <c r="BQ55" s="193">
        <v>0</v>
      </c>
      <c r="BR55" s="238">
        <f t="shared" si="35"/>
        <v>0</v>
      </c>
      <c r="BS55" s="225"/>
      <c r="BT55" s="239">
        <f t="shared" si="36"/>
        <v>10107.670000000002</v>
      </c>
      <c r="BU55" s="238">
        <f t="shared" si="38"/>
        <v>318391.60500000004</v>
      </c>
    </row>
    <row r="56" spans="1:73" ht="14.25">
      <c r="A56" s="241">
        <v>1990</v>
      </c>
      <c r="B56" s="240">
        <f t="shared" si="37"/>
        <v>30.5</v>
      </c>
      <c r="C56" s="193">
        <v>0</v>
      </c>
      <c r="D56" s="238">
        <f t="shared" si="2"/>
        <v>0</v>
      </c>
      <c r="E56" s="193">
        <v>0</v>
      </c>
      <c r="F56" s="238">
        <f t="shared" si="3"/>
        <v>0</v>
      </c>
      <c r="G56" s="193">
        <v>0</v>
      </c>
      <c r="H56" s="238">
        <f t="shared" si="4"/>
        <v>0</v>
      </c>
      <c r="I56" s="193">
        <v>0</v>
      </c>
      <c r="J56" s="238">
        <f t="shared" si="5"/>
        <v>0</v>
      </c>
      <c r="K56" s="193">
        <v>0</v>
      </c>
      <c r="L56" s="238">
        <f t="shared" si="6"/>
        <v>0</v>
      </c>
      <c r="M56" s="193">
        <v>0</v>
      </c>
      <c r="N56" s="238">
        <f t="shared" si="7"/>
        <v>0</v>
      </c>
      <c r="O56" s="193">
        <v>0</v>
      </c>
      <c r="P56" s="238">
        <f t="shared" si="8"/>
        <v>0</v>
      </c>
      <c r="Q56" s="193">
        <v>26810.900000000001</v>
      </c>
      <c r="R56" s="238">
        <f t="shared" si="9"/>
        <v>817732.45000000007</v>
      </c>
      <c r="S56" s="193">
        <v>0</v>
      </c>
      <c r="T56" s="238">
        <f t="shared" si="10"/>
        <v>0</v>
      </c>
      <c r="U56" s="193">
        <v>0</v>
      </c>
      <c r="V56" s="238">
        <f t="shared" si="11"/>
        <v>0</v>
      </c>
      <c r="W56" s="193">
        <v>90.040000000000006</v>
      </c>
      <c r="X56" s="238">
        <f t="shared" si="12"/>
        <v>2746.2200000000003</v>
      </c>
      <c r="Y56" s="193">
        <v>0</v>
      </c>
      <c r="Z56" s="238">
        <f t="shared" si="13"/>
        <v>0</v>
      </c>
      <c r="AA56" s="193">
        <v>0</v>
      </c>
      <c r="AB56" s="238">
        <f t="shared" si="14"/>
        <v>0</v>
      </c>
      <c r="AC56" s="193">
        <v>0</v>
      </c>
      <c r="AD56" s="238">
        <f t="shared" si="15"/>
        <v>0</v>
      </c>
      <c r="AE56" s="193">
        <v>0</v>
      </c>
      <c r="AF56" s="238">
        <f t="shared" si="16"/>
        <v>0</v>
      </c>
      <c r="AG56" s="193">
        <v>0</v>
      </c>
      <c r="AH56" s="238">
        <f t="shared" si="17"/>
        <v>0</v>
      </c>
      <c r="AI56" s="193">
        <v>0</v>
      </c>
      <c r="AJ56" s="238">
        <f t="shared" si="18"/>
        <v>0</v>
      </c>
      <c r="AK56" s="193">
        <v>56981.43</v>
      </c>
      <c r="AL56" s="238">
        <f t="shared" si="19"/>
        <v>1737933.615</v>
      </c>
      <c r="AM56" s="193">
        <v>2681.8000000000002</v>
      </c>
      <c r="AN56" s="238">
        <f t="shared" si="20"/>
        <v>81794.900000000009</v>
      </c>
      <c r="AO56" s="193">
        <v>0</v>
      </c>
      <c r="AP56" s="238">
        <f t="shared" si="21"/>
        <v>0</v>
      </c>
      <c r="AQ56" s="193">
        <v>0</v>
      </c>
      <c r="AR56" s="238">
        <f t="shared" si="22"/>
        <v>0</v>
      </c>
      <c r="AS56" s="193">
        <v>980.5</v>
      </c>
      <c r="AT56" s="238">
        <f t="shared" si="23"/>
        <v>29905.25</v>
      </c>
      <c r="AU56" s="193">
        <v>0</v>
      </c>
      <c r="AV56" s="238">
        <f t="shared" si="24"/>
        <v>0</v>
      </c>
      <c r="AW56" s="193">
        <v>0</v>
      </c>
      <c r="AX56" s="238">
        <f t="shared" si="25"/>
        <v>0</v>
      </c>
      <c r="AY56" s="193">
        <v>0</v>
      </c>
      <c r="AZ56" s="238">
        <f t="shared" si="26"/>
        <v>0</v>
      </c>
      <c r="BA56" s="193">
        <v>0</v>
      </c>
      <c r="BB56" s="238">
        <f t="shared" si="27"/>
        <v>0</v>
      </c>
      <c r="BC56" s="193">
        <v>0</v>
      </c>
      <c r="BD56" s="238">
        <f t="shared" si="28"/>
        <v>0</v>
      </c>
      <c r="BE56" s="193">
        <v>0</v>
      </c>
      <c r="BF56" s="238">
        <f t="shared" si="29"/>
        <v>0</v>
      </c>
      <c r="BG56" s="193">
        <v>0</v>
      </c>
      <c r="BH56" s="238">
        <f t="shared" si="30"/>
        <v>0</v>
      </c>
      <c r="BI56" s="193">
        <v>0</v>
      </c>
      <c r="BJ56" s="238">
        <f t="shared" si="31"/>
        <v>0</v>
      </c>
      <c r="BK56" s="193">
        <v>0</v>
      </c>
      <c r="BL56" s="238">
        <f t="shared" si="32"/>
        <v>0</v>
      </c>
      <c r="BM56" s="193">
        <v>0</v>
      </c>
      <c r="BN56" s="238">
        <f t="shared" si="33"/>
        <v>0</v>
      </c>
      <c r="BO56" s="193">
        <v>0</v>
      </c>
      <c r="BP56" s="238">
        <f t="shared" si="34"/>
        <v>0</v>
      </c>
      <c r="BQ56" s="193">
        <v>0</v>
      </c>
      <c r="BR56" s="238">
        <f t="shared" si="35"/>
        <v>0</v>
      </c>
      <c r="BS56" s="225"/>
      <c r="BT56" s="239">
        <f t="shared" si="36"/>
        <v>87544.669999999998</v>
      </c>
      <c r="BU56" s="238">
        <f t="shared" si="38"/>
        <v>2670112.4350000001</v>
      </c>
    </row>
    <row r="57" spans="1:73" ht="14.25">
      <c r="A57" s="241">
        <v>1991</v>
      </c>
      <c r="B57" s="240">
        <f t="shared" si="37"/>
        <v>29.5</v>
      </c>
      <c r="C57" s="193">
        <v>0</v>
      </c>
      <c r="D57" s="238">
        <f t="shared" si="2"/>
        <v>0</v>
      </c>
      <c r="E57" s="193">
        <v>0</v>
      </c>
      <c r="F57" s="238">
        <f t="shared" si="3"/>
        <v>0</v>
      </c>
      <c r="G57" s="193">
        <v>0</v>
      </c>
      <c r="H57" s="238">
        <f t="shared" si="4"/>
        <v>0</v>
      </c>
      <c r="I57" s="193">
        <v>0</v>
      </c>
      <c r="J57" s="238">
        <f t="shared" si="5"/>
        <v>0</v>
      </c>
      <c r="K57" s="193">
        <v>0</v>
      </c>
      <c r="L57" s="238">
        <f t="shared" si="6"/>
        <v>0</v>
      </c>
      <c r="M57" s="193">
        <v>0</v>
      </c>
      <c r="N57" s="238">
        <f t="shared" si="7"/>
        <v>0</v>
      </c>
      <c r="O57" s="193">
        <v>0</v>
      </c>
      <c r="P57" s="238">
        <f t="shared" si="8"/>
        <v>0</v>
      </c>
      <c r="Q57" s="193">
        <v>25613.799999999999</v>
      </c>
      <c r="R57" s="238">
        <f t="shared" si="9"/>
        <v>755607.09999999998</v>
      </c>
      <c r="S57" s="193">
        <v>0</v>
      </c>
      <c r="T57" s="238">
        <f t="shared" si="10"/>
        <v>0</v>
      </c>
      <c r="U57" s="193">
        <v>0</v>
      </c>
      <c r="V57" s="238">
        <f t="shared" si="11"/>
        <v>0</v>
      </c>
      <c r="W57" s="193">
        <v>92.959999999999994</v>
      </c>
      <c r="X57" s="238">
        <f t="shared" si="12"/>
        <v>2742.3199999999997</v>
      </c>
      <c r="Y57" s="193">
        <v>0</v>
      </c>
      <c r="Z57" s="238">
        <f t="shared" si="13"/>
        <v>0</v>
      </c>
      <c r="AA57" s="193">
        <v>0</v>
      </c>
      <c r="AB57" s="238">
        <f t="shared" si="14"/>
        <v>0</v>
      </c>
      <c r="AC57" s="193">
        <v>0</v>
      </c>
      <c r="AD57" s="238">
        <f t="shared" si="15"/>
        <v>0</v>
      </c>
      <c r="AE57" s="193">
        <v>0</v>
      </c>
      <c r="AF57" s="238">
        <f t="shared" si="16"/>
        <v>0</v>
      </c>
      <c r="AG57" s="193">
        <v>0</v>
      </c>
      <c r="AH57" s="238">
        <f t="shared" si="17"/>
        <v>0</v>
      </c>
      <c r="AI57" s="193">
        <v>0</v>
      </c>
      <c r="AJ57" s="238">
        <f t="shared" si="18"/>
        <v>0</v>
      </c>
      <c r="AK57" s="193">
        <v>0</v>
      </c>
      <c r="AL57" s="238">
        <f t="shared" si="19"/>
        <v>0</v>
      </c>
      <c r="AM57" s="193">
        <v>0</v>
      </c>
      <c r="AN57" s="238">
        <f t="shared" si="20"/>
        <v>0</v>
      </c>
      <c r="AO57" s="193">
        <v>0</v>
      </c>
      <c r="AP57" s="238">
        <f t="shared" si="21"/>
        <v>0</v>
      </c>
      <c r="AQ57" s="193">
        <v>397.5</v>
      </c>
      <c r="AR57" s="238">
        <f t="shared" si="22"/>
        <v>11726.25</v>
      </c>
      <c r="AS57" s="193">
        <v>496.39999999999998</v>
      </c>
      <c r="AT57" s="238">
        <f t="shared" si="23"/>
        <v>14643.799999999999</v>
      </c>
      <c r="AU57" s="193">
        <v>0</v>
      </c>
      <c r="AV57" s="238">
        <f t="shared" si="24"/>
        <v>0</v>
      </c>
      <c r="AW57" s="193">
        <v>0</v>
      </c>
      <c r="AX57" s="238">
        <f t="shared" si="25"/>
        <v>0</v>
      </c>
      <c r="AY57" s="193">
        <v>0</v>
      </c>
      <c r="AZ57" s="238">
        <f t="shared" si="26"/>
        <v>0</v>
      </c>
      <c r="BA57" s="193">
        <v>0</v>
      </c>
      <c r="BB57" s="238">
        <f t="shared" si="27"/>
        <v>0</v>
      </c>
      <c r="BC57" s="193">
        <v>0</v>
      </c>
      <c r="BD57" s="238">
        <f t="shared" si="28"/>
        <v>0</v>
      </c>
      <c r="BE57" s="193">
        <v>0</v>
      </c>
      <c r="BF57" s="238">
        <f t="shared" si="29"/>
        <v>0</v>
      </c>
      <c r="BG57" s="193">
        <v>0</v>
      </c>
      <c r="BH57" s="238">
        <f t="shared" si="30"/>
        <v>0</v>
      </c>
      <c r="BI57" s="193">
        <v>0</v>
      </c>
      <c r="BJ57" s="238">
        <f t="shared" si="31"/>
        <v>0</v>
      </c>
      <c r="BK57" s="193">
        <v>0</v>
      </c>
      <c r="BL57" s="238">
        <f t="shared" si="32"/>
        <v>0</v>
      </c>
      <c r="BM57" s="193">
        <v>0</v>
      </c>
      <c r="BN57" s="238">
        <f t="shared" si="33"/>
        <v>0</v>
      </c>
      <c r="BO57" s="193">
        <v>0</v>
      </c>
      <c r="BP57" s="238">
        <f t="shared" si="34"/>
        <v>0</v>
      </c>
      <c r="BQ57" s="193">
        <v>0</v>
      </c>
      <c r="BR57" s="238">
        <f t="shared" si="35"/>
        <v>0</v>
      </c>
      <c r="BS57" s="225"/>
      <c r="BT57" s="239">
        <f t="shared" si="36"/>
        <v>26600.66</v>
      </c>
      <c r="BU57" s="238">
        <f t="shared" si="38"/>
        <v>784719.46999999997</v>
      </c>
    </row>
    <row r="58" spans="1:73" ht="14.25">
      <c r="A58" s="241">
        <v>1992</v>
      </c>
      <c r="B58" s="240">
        <f t="shared" si="37"/>
        <v>28.5</v>
      </c>
      <c r="C58" s="193">
        <v>0</v>
      </c>
      <c r="D58" s="238">
        <f t="shared" si="2"/>
        <v>0</v>
      </c>
      <c r="E58" s="193">
        <v>0</v>
      </c>
      <c r="F58" s="238">
        <f t="shared" si="3"/>
        <v>0</v>
      </c>
      <c r="G58" s="193">
        <v>0</v>
      </c>
      <c r="H58" s="238">
        <f t="shared" si="4"/>
        <v>0</v>
      </c>
      <c r="I58" s="193">
        <v>0</v>
      </c>
      <c r="J58" s="238">
        <f t="shared" si="5"/>
        <v>0</v>
      </c>
      <c r="K58" s="193">
        <v>0</v>
      </c>
      <c r="L58" s="238">
        <f t="shared" si="6"/>
        <v>0</v>
      </c>
      <c r="M58" s="193">
        <v>0</v>
      </c>
      <c r="N58" s="238">
        <f t="shared" si="7"/>
        <v>0</v>
      </c>
      <c r="O58" s="193">
        <v>0</v>
      </c>
      <c r="P58" s="238">
        <f t="shared" si="8"/>
        <v>0</v>
      </c>
      <c r="Q58" s="193">
        <v>8098.4300000000003</v>
      </c>
      <c r="R58" s="238">
        <f t="shared" si="9"/>
        <v>230805.255</v>
      </c>
      <c r="S58" s="193">
        <v>1560.49</v>
      </c>
      <c r="T58" s="238">
        <f t="shared" si="10"/>
        <v>44473.965000000004</v>
      </c>
      <c r="U58" s="193">
        <v>0</v>
      </c>
      <c r="V58" s="238">
        <f t="shared" si="11"/>
        <v>0</v>
      </c>
      <c r="W58" s="193">
        <v>2845.0500000000002</v>
      </c>
      <c r="X58" s="238">
        <f t="shared" si="12"/>
        <v>81083.925000000003</v>
      </c>
      <c r="Y58" s="193">
        <v>0</v>
      </c>
      <c r="Z58" s="238">
        <f t="shared" si="13"/>
        <v>0</v>
      </c>
      <c r="AA58" s="193">
        <v>0</v>
      </c>
      <c r="AB58" s="238">
        <f t="shared" si="14"/>
        <v>0</v>
      </c>
      <c r="AC58" s="193">
        <v>0</v>
      </c>
      <c r="AD58" s="238">
        <f t="shared" si="15"/>
        <v>0</v>
      </c>
      <c r="AE58" s="193">
        <v>0</v>
      </c>
      <c r="AF58" s="238">
        <f t="shared" si="16"/>
        <v>0</v>
      </c>
      <c r="AG58" s="193">
        <v>0</v>
      </c>
      <c r="AH58" s="238">
        <f t="shared" si="17"/>
        <v>0</v>
      </c>
      <c r="AI58" s="193">
        <v>0</v>
      </c>
      <c r="AJ58" s="238">
        <f t="shared" si="18"/>
        <v>0</v>
      </c>
      <c r="AK58" s="193">
        <v>0</v>
      </c>
      <c r="AL58" s="238">
        <f t="shared" si="19"/>
        <v>0</v>
      </c>
      <c r="AM58" s="193">
        <v>0</v>
      </c>
      <c r="AN58" s="238">
        <f t="shared" si="20"/>
        <v>0</v>
      </c>
      <c r="AO58" s="193">
        <v>0</v>
      </c>
      <c r="AP58" s="238">
        <f t="shared" si="21"/>
        <v>0</v>
      </c>
      <c r="AQ58" s="193">
        <v>0</v>
      </c>
      <c r="AR58" s="238">
        <f t="shared" si="22"/>
        <v>0</v>
      </c>
      <c r="AS58" s="193">
        <v>701.72000000000003</v>
      </c>
      <c r="AT58" s="238">
        <f t="shared" si="23"/>
        <v>19999.02</v>
      </c>
      <c r="AU58" s="193">
        <v>0</v>
      </c>
      <c r="AV58" s="238">
        <f t="shared" si="24"/>
        <v>0</v>
      </c>
      <c r="AW58" s="193">
        <v>0</v>
      </c>
      <c r="AX58" s="238">
        <f t="shared" si="25"/>
        <v>0</v>
      </c>
      <c r="AY58" s="193">
        <v>0</v>
      </c>
      <c r="AZ58" s="238">
        <f t="shared" si="26"/>
        <v>0</v>
      </c>
      <c r="BA58" s="193">
        <v>0</v>
      </c>
      <c r="BB58" s="238">
        <f t="shared" si="27"/>
        <v>0</v>
      </c>
      <c r="BC58" s="193">
        <v>0</v>
      </c>
      <c r="BD58" s="238">
        <f t="shared" si="28"/>
        <v>0</v>
      </c>
      <c r="BE58" s="193">
        <v>0</v>
      </c>
      <c r="BF58" s="238">
        <f t="shared" si="29"/>
        <v>0</v>
      </c>
      <c r="BG58" s="193">
        <v>0</v>
      </c>
      <c r="BH58" s="238">
        <f t="shared" si="30"/>
        <v>0</v>
      </c>
      <c r="BI58" s="193">
        <v>0</v>
      </c>
      <c r="BJ58" s="238">
        <f t="shared" si="31"/>
        <v>0</v>
      </c>
      <c r="BK58" s="193">
        <v>0</v>
      </c>
      <c r="BL58" s="238">
        <f t="shared" si="32"/>
        <v>0</v>
      </c>
      <c r="BM58" s="193">
        <v>0</v>
      </c>
      <c r="BN58" s="238">
        <f t="shared" si="33"/>
        <v>0</v>
      </c>
      <c r="BO58" s="193">
        <v>1858.8</v>
      </c>
      <c r="BP58" s="238">
        <f t="shared" si="34"/>
        <v>52975.799999999996</v>
      </c>
      <c r="BQ58" s="193">
        <v>0</v>
      </c>
      <c r="BR58" s="238">
        <f t="shared" si="35"/>
        <v>0</v>
      </c>
      <c r="BS58" s="225"/>
      <c r="BT58" s="239">
        <f t="shared" si="36"/>
        <v>15064.490000000002</v>
      </c>
      <c r="BU58" s="238">
        <f t="shared" si="38"/>
        <v>429337.96500000003</v>
      </c>
    </row>
    <row r="59" spans="1:73" ht="14.25">
      <c r="A59" s="241">
        <v>1993</v>
      </c>
      <c r="B59" s="240">
        <f t="shared" si="37"/>
        <v>27.5</v>
      </c>
      <c r="C59" s="193">
        <v>0</v>
      </c>
      <c r="D59" s="238">
        <f t="shared" si="2"/>
        <v>0</v>
      </c>
      <c r="E59" s="193">
        <v>0</v>
      </c>
      <c r="F59" s="238">
        <f t="shared" si="3"/>
        <v>0</v>
      </c>
      <c r="G59" s="193">
        <v>0</v>
      </c>
      <c r="H59" s="238">
        <f t="shared" si="4"/>
        <v>0</v>
      </c>
      <c r="I59" s="193">
        <v>0</v>
      </c>
      <c r="J59" s="238">
        <f t="shared" si="5"/>
        <v>0</v>
      </c>
      <c r="K59" s="193">
        <v>0</v>
      </c>
      <c r="L59" s="238">
        <f t="shared" si="6"/>
        <v>0</v>
      </c>
      <c r="M59" s="193">
        <v>0</v>
      </c>
      <c r="N59" s="238">
        <f t="shared" si="7"/>
        <v>0</v>
      </c>
      <c r="O59" s="193">
        <v>0</v>
      </c>
      <c r="P59" s="238">
        <f t="shared" si="8"/>
        <v>0</v>
      </c>
      <c r="Q59" s="193">
        <v>102522.68000000001</v>
      </c>
      <c r="R59" s="238">
        <f t="shared" si="9"/>
        <v>2819373.7000000002</v>
      </c>
      <c r="S59" s="193">
        <v>0</v>
      </c>
      <c r="T59" s="238">
        <f t="shared" si="10"/>
        <v>0</v>
      </c>
      <c r="U59" s="193">
        <v>0</v>
      </c>
      <c r="V59" s="238">
        <f t="shared" si="11"/>
        <v>0</v>
      </c>
      <c r="W59" s="193">
        <v>194</v>
      </c>
      <c r="X59" s="238">
        <f t="shared" si="12"/>
        <v>5335</v>
      </c>
      <c r="Y59" s="193">
        <v>0</v>
      </c>
      <c r="Z59" s="238">
        <f t="shared" si="13"/>
        <v>0</v>
      </c>
      <c r="AA59" s="193">
        <v>0</v>
      </c>
      <c r="AB59" s="238">
        <f t="shared" si="14"/>
        <v>0</v>
      </c>
      <c r="AC59" s="193">
        <v>0</v>
      </c>
      <c r="AD59" s="238">
        <f t="shared" si="15"/>
        <v>0</v>
      </c>
      <c r="AE59" s="193">
        <v>0</v>
      </c>
      <c r="AF59" s="238">
        <f t="shared" si="16"/>
        <v>0</v>
      </c>
      <c r="AG59" s="193">
        <v>0</v>
      </c>
      <c r="AH59" s="238">
        <f t="shared" si="17"/>
        <v>0</v>
      </c>
      <c r="AI59" s="193">
        <v>0</v>
      </c>
      <c r="AJ59" s="238">
        <f t="shared" si="18"/>
        <v>0</v>
      </c>
      <c r="AK59" s="193">
        <v>0</v>
      </c>
      <c r="AL59" s="238">
        <f t="shared" si="19"/>
        <v>0</v>
      </c>
      <c r="AM59" s="193">
        <v>0</v>
      </c>
      <c r="AN59" s="238">
        <f t="shared" si="20"/>
        <v>0</v>
      </c>
      <c r="AO59" s="193">
        <v>0</v>
      </c>
      <c r="AP59" s="238">
        <f t="shared" si="21"/>
        <v>0</v>
      </c>
      <c r="AQ59" s="193">
        <v>0</v>
      </c>
      <c r="AR59" s="238">
        <f t="shared" si="22"/>
        <v>0</v>
      </c>
      <c r="AS59" s="193">
        <v>662.5</v>
      </c>
      <c r="AT59" s="238">
        <f t="shared" si="23"/>
        <v>18218.75</v>
      </c>
      <c r="AU59" s="193">
        <v>0</v>
      </c>
      <c r="AV59" s="238">
        <f t="shared" si="24"/>
        <v>0</v>
      </c>
      <c r="AW59" s="193">
        <v>0</v>
      </c>
      <c r="AX59" s="238">
        <f t="shared" si="25"/>
        <v>0</v>
      </c>
      <c r="AY59" s="193">
        <v>0</v>
      </c>
      <c r="AZ59" s="238">
        <f t="shared" si="26"/>
        <v>0</v>
      </c>
      <c r="BA59" s="193">
        <v>0</v>
      </c>
      <c r="BB59" s="238">
        <f t="shared" si="27"/>
        <v>0</v>
      </c>
      <c r="BC59" s="193">
        <v>0</v>
      </c>
      <c r="BD59" s="238">
        <f t="shared" si="28"/>
        <v>0</v>
      </c>
      <c r="BE59" s="193">
        <v>0</v>
      </c>
      <c r="BF59" s="238">
        <f t="shared" si="29"/>
        <v>0</v>
      </c>
      <c r="BG59" s="193">
        <v>0</v>
      </c>
      <c r="BH59" s="238">
        <f t="shared" si="30"/>
        <v>0</v>
      </c>
      <c r="BI59" s="193">
        <v>0</v>
      </c>
      <c r="BJ59" s="238">
        <f t="shared" si="31"/>
        <v>0</v>
      </c>
      <c r="BK59" s="193">
        <v>0</v>
      </c>
      <c r="BL59" s="238">
        <f t="shared" si="32"/>
        <v>0</v>
      </c>
      <c r="BM59" s="193">
        <v>16063.07</v>
      </c>
      <c r="BN59" s="238">
        <f t="shared" si="33"/>
        <v>441734.42499999999</v>
      </c>
      <c r="BO59" s="193">
        <v>1475.7</v>
      </c>
      <c r="BP59" s="238">
        <f t="shared" si="34"/>
        <v>40581.75</v>
      </c>
      <c r="BQ59" s="193">
        <v>0</v>
      </c>
      <c r="BR59" s="238">
        <f t="shared" si="35"/>
        <v>0</v>
      </c>
      <c r="BS59" s="225"/>
      <c r="BT59" s="239">
        <f t="shared" si="36"/>
        <v>120917.95000000001</v>
      </c>
      <c r="BU59" s="238">
        <f t="shared" si="38"/>
        <v>3325243.6250000005</v>
      </c>
    </row>
    <row r="60" spans="1:73" ht="14.25">
      <c r="A60" s="241">
        <v>1994</v>
      </c>
      <c r="B60" s="240">
        <f t="shared" si="37"/>
        <v>26.5</v>
      </c>
      <c r="C60" s="193">
        <v>0</v>
      </c>
      <c r="D60" s="238">
        <f t="shared" si="2"/>
        <v>0</v>
      </c>
      <c r="E60" s="193">
        <v>12600</v>
      </c>
      <c r="F60" s="238">
        <f t="shared" si="3"/>
        <v>333900</v>
      </c>
      <c r="G60" s="193">
        <v>0</v>
      </c>
      <c r="H60" s="238">
        <f t="shared" si="4"/>
        <v>0</v>
      </c>
      <c r="I60" s="193">
        <v>0</v>
      </c>
      <c r="J60" s="238">
        <f t="shared" si="5"/>
        <v>0</v>
      </c>
      <c r="K60" s="193">
        <v>0</v>
      </c>
      <c r="L60" s="238">
        <f t="shared" si="6"/>
        <v>0</v>
      </c>
      <c r="M60" s="193">
        <v>0</v>
      </c>
      <c r="N60" s="238">
        <f t="shared" si="7"/>
        <v>0</v>
      </c>
      <c r="O60" s="193">
        <v>0</v>
      </c>
      <c r="P60" s="238">
        <f t="shared" si="8"/>
        <v>0</v>
      </c>
      <c r="Q60" s="193">
        <v>8833.2399999999998</v>
      </c>
      <c r="R60" s="238">
        <f t="shared" si="9"/>
        <v>234080.85999999999</v>
      </c>
      <c r="S60" s="193">
        <v>0</v>
      </c>
      <c r="T60" s="238">
        <f t="shared" si="10"/>
        <v>0</v>
      </c>
      <c r="U60" s="193">
        <v>0</v>
      </c>
      <c r="V60" s="238">
        <f t="shared" si="11"/>
        <v>0</v>
      </c>
      <c r="W60" s="193">
        <v>1733.21</v>
      </c>
      <c r="X60" s="238">
        <f t="shared" si="12"/>
        <v>45930.065000000002</v>
      </c>
      <c r="Y60" s="193">
        <v>0</v>
      </c>
      <c r="Z60" s="238">
        <f t="shared" si="13"/>
        <v>0</v>
      </c>
      <c r="AA60" s="193">
        <v>0</v>
      </c>
      <c r="AB60" s="238">
        <f t="shared" si="14"/>
        <v>0</v>
      </c>
      <c r="AC60" s="193">
        <v>0</v>
      </c>
      <c r="AD60" s="238">
        <f t="shared" si="15"/>
        <v>0</v>
      </c>
      <c r="AE60" s="193">
        <v>0</v>
      </c>
      <c r="AF60" s="238">
        <f t="shared" si="16"/>
        <v>0</v>
      </c>
      <c r="AG60" s="193">
        <v>0</v>
      </c>
      <c r="AH60" s="238">
        <f t="shared" si="17"/>
        <v>0</v>
      </c>
      <c r="AI60" s="193">
        <v>0</v>
      </c>
      <c r="AJ60" s="238">
        <f t="shared" si="18"/>
        <v>0</v>
      </c>
      <c r="AK60" s="193">
        <v>0</v>
      </c>
      <c r="AL60" s="238">
        <f t="shared" si="19"/>
        <v>0</v>
      </c>
      <c r="AM60" s="193">
        <v>0</v>
      </c>
      <c r="AN60" s="238">
        <f t="shared" si="20"/>
        <v>0</v>
      </c>
      <c r="AO60" s="193">
        <v>0</v>
      </c>
      <c r="AP60" s="238">
        <f t="shared" si="21"/>
        <v>0</v>
      </c>
      <c r="AQ60" s="193">
        <v>25625.060000000001</v>
      </c>
      <c r="AR60" s="238">
        <f t="shared" si="22"/>
        <v>679064.09000000008</v>
      </c>
      <c r="AS60" s="193">
        <v>579.23000000000002</v>
      </c>
      <c r="AT60" s="238">
        <f t="shared" si="23"/>
        <v>15349.595000000001</v>
      </c>
      <c r="AU60" s="193">
        <v>0</v>
      </c>
      <c r="AV60" s="238">
        <f t="shared" si="24"/>
        <v>0</v>
      </c>
      <c r="AW60" s="193">
        <v>0</v>
      </c>
      <c r="AX60" s="238">
        <f t="shared" si="25"/>
        <v>0</v>
      </c>
      <c r="AY60" s="193">
        <v>0</v>
      </c>
      <c r="AZ60" s="238">
        <f t="shared" si="26"/>
        <v>0</v>
      </c>
      <c r="BA60" s="193">
        <v>0</v>
      </c>
      <c r="BB60" s="238">
        <f t="shared" si="27"/>
        <v>0</v>
      </c>
      <c r="BC60" s="193">
        <v>0</v>
      </c>
      <c r="BD60" s="238">
        <f t="shared" si="28"/>
        <v>0</v>
      </c>
      <c r="BE60" s="193">
        <v>0</v>
      </c>
      <c r="BF60" s="238">
        <f t="shared" si="29"/>
        <v>0</v>
      </c>
      <c r="BG60" s="193">
        <v>0</v>
      </c>
      <c r="BH60" s="238">
        <f t="shared" si="30"/>
        <v>0</v>
      </c>
      <c r="BI60" s="193">
        <v>0</v>
      </c>
      <c r="BJ60" s="238">
        <f t="shared" si="31"/>
        <v>0</v>
      </c>
      <c r="BK60" s="193">
        <v>0</v>
      </c>
      <c r="BL60" s="238">
        <f t="shared" si="32"/>
        <v>0</v>
      </c>
      <c r="BM60" s="193">
        <v>1799.8800000000001</v>
      </c>
      <c r="BN60" s="238">
        <f t="shared" si="33"/>
        <v>47696.82</v>
      </c>
      <c r="BO60" s="193">
        <v>0</v>
      </c>
      <c r="BP60" s="238">
        <f t="shared" si="34"/>
        <v>0</v>
      </c>
      <c r="BQ60" s="193">
        <v>0</v>
      </c>
      <c r="BR60" s="238">
        <f t="shared" si="35"/>
        <v>0</v>
      </c>
      <c r="BS60" s="225"/>
      <c r="BT60" s="239">
        <f t="shared" si="36"/>
        <v>51170.619999999995</v>
      </c>
      <c r="BU60" s="238">
        <f t="shared" si="38"/>
        <v>1356021.4299999999</v>
      </c>
    </row>
    <row r="61" spans="1:73" ht="14.25">
      <c r="A61" s="241">
        <v>1995</v>
      </c>
      <c r="B61" s="240">
        <f t="shared" si="37"/>
        <v>25.5</v>
      </c>
      <c r="C61" s="193">
        <v>0</v>
      </c>
      <c r="D61" s="238">
        <f t="shared" si="2"/>
        <v>0</v>
      </c>
      <c r="E61" s="193">
        <v>0</v>
      </c>
      <c r="F61" s="238">
        <f t="shared" si="3"/>
        <v>0</v>
      </c>
      <c r="G61" s="193">
        <v>4998.21</v>
      </c>
      <c r="H61" s="238">
        <f t="shared" si="4"/>
        <v>127454.355</v>
      </c>
      <c r="I61" s="193">
        <v>0</v>
      </c>
      <c r="J61" s="238">
        <f t="shared" si="5"/>
        <v>0</v>
      </c>
      <c r="K61" s="193">
        <v>0</v>
      </c>
      <c r="L61" s="238">
        <f t="shared" si="6"/>
        <v>0</v>
      </c>
      <c r="M61" s="193">
        <v>0</v>
      </c>
      <c r="N61" s="238">
        <f t="shared" si="7"/>
        <v>0</v>
      </c>
      <c r="O61" s="193">
        <v>0</v>
      </c>
      <c r="P61" s="238">
        <f t="shared" si="8"/>
        <v>0</v>
      </c>
      <c r="Q61" s="193">
        <v>8390.1399999999994</v>
      </c>
      <c r="R61" s="238">
        <f t="shared" si="9"/>
        <v>213948.56999999998</v>
      </c>
      <c r="S61" s="193">
        <v>0</v>
      </c>
      <c r="T61" s="238">
        <f t="shared" si="10"/>
        <v>0</v>
      </c>
      <c r="U61" s="193">
        <v>0</v>
      </c>
      <c r="V61" s="238">
        <f t="shared" si="11"/>
        <v>0</v>
      </c>
      <c r="W61" s="193">
        <v>14040.83</v>
      </c>
      <c r="X61" s="238">
        <f t="shared" si="12"/>
        <v>358041.16499999998</v>
      </c>
      <c r="Y61" s="193">
        <v>0</v>
      </c>
      <c r="Z61" s="238">
        <f t="shared" si="13"/>
        <v>0</v>
      </c>
      <c r="AA61" s="193">
        <v>0</v>
      </c>
      <c r="AB61" s="238">
        <f t="shared" si="14"/>
        <v>0</v>
      </c>
      <c r="AC61" s="193">
        <v>0</v>
      </c>
      <c r="AD61" s="238">
        <f t="shared" si="15"/>
        <v>0</v>
      </c>
      <c r="AE61" s="193">
        <v>0</v>
      </c>
      <c r="AF61" s="238">
        <f t="shared" si="16"/>
        <v>0</v>
      </c>
      <c r="AG61" s="193">
        <v>0</v>
      </c>
      <c r="AH61" s="238">
        <f t="shared" si="17"/>
        <v>0</v>
      </c>
      <c r="AI61" s="193">
        <v>0</v>
      </c>
      <c r="AJ61" s="238">
        <f t="shared" si="18"/>
        <v>0</v>
      </c>
      <c r="AK61" s="193">
        <v>0</v>
      </c>
      <c r="AL61" s="238">
        <f t="shared" si="19"/>
        <v>0</v>
      </c>
      <c r="AM61" s="193">
        <v>0</v>
      </c>
      <c r="AN61" s="238">
        <f t="shared" si="20"/>
        <v>0</v>
      </c>
      <c r="AO61" s="193">
        <v>0</v>
      </c>
      <c r="AP61" s="238">
        <f t="shared" si="21"/>
        <v>0</v>
      </c>
      <c r="AQ61" s="193">
        <v>0</v>
      </c>
      <c r="AR61" s="238">
        <f t="shared" si="22"/>
        <v>0</v>
      </c>
      <c r="AS61" s="193">
        <v>0</v>
      </c>
      <c r="AT61" s="238">
        <f t="shared" si="23"/>
        <v>0</v>
      </c>
      <c r="AU61" s="193">
        <v>7991.7299999999996</v>
      </c>
      <c r="AV61" s="238">
        <f t="shared" si="24"/>
        <v>203789.11499999999</v>
      </c>
      <c r="AW61" s="193">
        <v>0</v>
      </c>
      <c r="AX61" s="238">
        <f t="shared" si="25"/>
        <v>0</v>
      </c>
      <c r="AY61" s="193">
        <v>0</v>
      </c>
      <c r="AZ61" s="238">
        <f t="shared" si="26"/>
        <v>0</v>
      </c>
      <c r="BA61" s="193">
        <v>0</v>
      </c>
      <c r="BB61" s="238">
        <f t="shared" si="27"/>
        <v>0</v>
      </c>
      <c r="BC61" s="193">
        <v>0</v>
      </c>
      <c r="BD61" s="238">
        <f t="shared" si="28"/>
        <v>0</v>
      </c>
      <c r="BE61" s="193">
        <v>0</v>
      </c>
      <c r="BF61" s="238">
        <f t="shared" si="29"/>
        <v>0</v>
      </c>
      <c r="BG61" s="193">
        <v>0</v>
      </c>
      <c r="BH61" s="238">
        <f t="shared" si="30"/>
        <v>0</v>
      </c>
      <c r="BI61" s="193">
        <v>0</v>
      </c>
      <c r="BJ61" s="238">
        <f t="shared" si="31"/>
        <v>0</v>
      </c>
      <c r="BK61" s="193">
        <v>0</v>
      </c>
      <c r="BL61" s="238">
        <f t="shared" si="32"/>
        <v>0</v>
      </c>
      <c r="BM61" s="193">
        <v>0</v>
      </c>
      <c r="BN61" s="238">
        <f t="shared" si="33"/>
        <v>0</v>
      </c>
      <c r="BO61" s="193">
        <v>959.23000000000002</v>
      </c>
      <c r="BP61" s="238">
        <f t="shared" si="34"/>
        <v>24460.365000000002</v>
      </c>
      <c r="BQ61" s="193">
        <v>0</v>
      </c>
      <c r="BR61" s="238">
        <f t="shared" si="35"/>
        <v>0</v>
      </c>
      <c r="BS61" s="225"/>
      <c r="BT61" s="239">
        <f t="shared" si="36"/>
        <v>36380.139999999999</v>
      </c>
      <c r="BU61" s="238">
        <f t="shared" si="38"/>
        <v>927693.56999999995</v>
      </c>
    </row>
    <row r="62" spans="1:73" ht="14.25">
      <c r="A62" s="241">
        <v>1996</v>
      </c>
      <c r="B62" s="240">
        <f t="shared" si="37"/>
        <v>24.5</v>
      </c>
      <c r="C62" s="193">
        <v>0</v>
      </c>
      <c r="D62" s="238">
        <f t="shared" si="2"/>
        <v>0</v>
      </c>
      <c r="E62" s="193">
        <v>0</v>
      </c>
      <c r="F62" s="238">
        <f t="shared" si="3"/>
        <v>0</v>
      </c>
      <c r="G62" s="193">
        <v>1323.1199999999999</v>
      </c>
      <c r="H62" s="238">
        <f t="shared" si="4"/>
        <v>32416.439999999999</v>
      </c>
      <c r="I62" s="193">
        <v>8772.9799999999996</v>
      </c>
      <c r="J62" s="238">
        <f t="shared" si="5"/>
        <v>214938.00999999998</v>
      </c>
      <c r="K62" s="193">
        <v>0</v>
      </c>
      <c r="L62" s="238">
        <f t="shared" si="6"/>
        <v>0</v>
      </c>
      <c r="M62" s="193">
        <v>0</v>
      </c>
      <c r="N62" s="238">
        <f t="shared" si="7"/>
        <v>0</v>
      </c>
      <c r="O62" s="193">
        <v>0</v>
      </c>
      <c r="P62" s="238">
        <f t="shared" si="8"/>
        <v>0</v>
      </c>
      <c r="Q62" s="193">
        <v>32953.389999999999</v>
      </c>
      <c r="R62" s="238">
        <f t="shared" si="9"/>
        <v>807358.05499999993</v>
      </c>
      <c r="S62" s="193">
        <v>174</v>
      </c>
      <c r="T62" s="238">
        <f t="shared" si="10"/>
        <v>4263</v>
      </c>
      <c r="U62" s="193">
        <v>0</v>
      </c>
      <c r="V62" s="238">
        <f t="shared" si="11"/>
        <v>0</v>
      </c>
      <c r="W62" s="193">
        <v>1062.4000000000001</v>
      </c>
      <c r="X62" s="238">
        <f t="shared" si="12"/>
        <v>26028.800000000003</v>
      </c>
      <c r="Y62" s="193">
        <v>0</v>
      </c>
      <c r="Z62" s="238">
        <f t="shared" si="13"/>
        <v>0</v>
      </c>
      <c r="AA62" s="193">
        <v>0</v>
      </c>
      <c r="AB62" s="238">
        <f t="shared" si="14"/>
        <v>0</v>
      </c>
      <c r="AC62" s="193">
        <v>0</v>
      </c>
      <c r="AD62" s="238">
        <f t="shared" si="15"/>
        <v>0</v>
      </c>
      <c r="AE62" s="193">
        <v>0</v>
      </c>
      <c r="AF62" s="238">
        <f t="shared" si="16"/>
        <v>0</v>
      </c>
      <c r="AG62" s="193">
        <v>0</v>
      </c>
      <c r="AH62" s="238">
        <f t="shared" si="17"/>
        <v>0</v>
      </c>
      <c r="AI62" s="193">
        <v>0</v>
      </c>
      <c r="AJ62" s="238">
        <f t="shared" si="18"/>
        <v>0</v>
      </c>
      <c r="AK62" s="193">
        <v>0</v>
      </c>
      <c r="AL62" s="238">
        <f t="shared" si="19"/>
        <v>0</v>
      </c>
      <c r="AM62" s="193">
        <v>0</v>
      </c>
      <c r="AN62" s="238">
        <f t="shared" si="20"/>
        <v>0</v>
      </c>
      <c r="AO62" s="193">
        <v>0</v>
      </c>
      <c r="AP62" s="238">
        <f t="shared" si="21"/>
        <v>0</v>
      </c>
      <c r="AQ62" s="193">
        <v>0</v>
      </c>
      <c r="AR62" s="238">
        <f t="shared" si="22"/>
        <v>0</v>
      </c>
      <c r="AS62" s="193">
        <v>0</v>
      </c>
      <c r="AT62" s="238">
        <f t="shared" si="23"/>
        <v>0</v>
      </c>
      <c r="AU62" s="193">
        <v>0</v>
      </c>
      <c r="AV62" s="238">
        <f t="shared" si="24"/>
        <v>0</v>
      </c>
      <c r="AW62" s="193">
        <v>0</v>
      </c>
      <c r="AX62" s="238">
        <f t="shared" si="25"/>
        <v>0</v>
      </c>
      <c r="AY62" s="193">
        <v>0</v>
      </c>
      <c r="AZ62" s="238">
        <f t="shared" si="26"/>
        <v>0</v>
      </c>
      <c r="BA62" s="193">
        <v>0</v>
      </c>
      <c r="BB62" s="238">
        <f t="shared" si="27"/>
        <v>0</v>
      </c>
      <c r="BC62" s="193">
        <v>0</v>
      </c>
      <c r="BD62" s="238">
        <f t="shared" si="28"/>
        <v>0</v>
      </c>
      <c r="BE62" s="193">
        <v>0</v>
      </c>
      <c r="BF62" s="238">
        <f t="shared" si="29"/>
        <v>0</v>
      </c>
      <c r="BG62" s="193">
        <v>0</v>
      </c>
      <c r="BH62" s="238">
        <f t="shared" si="30"/>
        <v>0</v>
      </c>
      <c r="BI62" s="193">
        <v>0</v>
      </c>
      <c r="BJ62" s="238">
        <f t="shared" si="31"/>
        <v>0</v>
      </c>
      <c r="BK62" s="193">
        <v>0</v>
      </c>
      <c r="BL62" s="238">
        <f t="shared" si="32"/>
        <v>0</v>
      </c>
      <c r="BM62" s="193">
        <v>5350.21</v>
      </c>
      <c r="BN62" s="238">
        <f t="shared" si="33"/>
        <v>131080.14499999999</v>
      </c>
      <c r="BO62" s="193">
        <v>0</v>
      </c>
      <c r="BP62" s="238">
        <f t="shared" si="34"/>
        <v>0</v>
      </c>
      <c r="BQ62" s="193">
        <v>0</v>
      </c>
      <c r="BR62" s="238">
        <f t="shared" si="35"/>
        <v>0</v>
      </c>
      <c r="BS62" s="225"/>
      <c r="BT62" s="239">
        <f t="shared" si="36"/>
        <v>49636.099999999999</v>
      </c>
      <c r="BU62" s="238">
        <f t="shared" si="38"/>
        <v>1216084.45</v>
      </c>
    </row>
    <row r="63" spans="1:73" ht="14.25">
      <c r="A63" s="241">
        <v>1997</v>
      </c>
      <c r="B63" s="240">
        <f t="shared" si="37"/>
        <v>23.5</v>
      </c>
      <c r="C63" s="193">
        <v>0</v>
      </c>
      <c r="D63" s="238">
        <f t="shared" si="2"/>
        <v>0</v>
      </c>
      <c r="E63" s="193">
        <v>0</v>
      </c>
      <c r="F63" s="238">
        <f t="shared" si="3"/>
        <v>0</v>
      </c>
      <c r="G63" s="193">
        <v>0</v>
      </c>
      <c r="H63" s="238">
        <f t="shared" si="4"/>
        <v>0</v>
      </c>
      <c r="I63" s="193">
        <v>0</v>
      </c>
      <c r="J63" s="238">
        <f t="shared" si="5"/>
        <v>0</v>
      </c>
      <c r="K63" s="193">
        <v>0</v>
      </c>
      <c r="L63" s="238">
        <f t="shared" si="6"/>
        <v>0</v>
      </c>
      <c r="M63" s="193">
        <v>0</v>
      </c>
      <c r="N63" s="238">
        <f t="shared" si="7"/>
        <v>0</v>
      </c>
      <c r="O63" s="193">
        <v>0</v>
      </c>
      <c r="P63" s="238">
        <f t="shared" si="8"/>
        <v>0</v>
      </c>
      <c r="Q63" s="193">
        <v>15288.15</v>
      </c>
      <c r="R63" s="238">
        <f t="shared" si="9"/>
        <v>359271.52499999997</v>
      </c>
      <c r="S63" s="193">
        <v>0</v>
      </c>
      <c r="T63" s="238">
        <f t="shared" si="10"/>
        <v>0</v>
      </c>
      <c r="U63" s="193">
        <v>0</v>
      </c>
      <c r="V63" s="238">
        <f t="shared" si="11"/>
        <v>0</v>
      </c>
      <c r="W63" s="193">
        <v>8960.2999999999993</v>
      </c>
      <c r="X63" s="238">
        <f t="shared" si="12"/>
        <v>210567.04999999999</v>
      </c>
      <c r="Y63" s="193">
        <v>0</v>
      </c>
      <c r="Z63" s="238">
        <f t="shared" si="13"/>
        <v>0</v>
      </c>
      <c r="AA63" s="193">
        <v>0</v>
      </c>
      <c r="AB63" s="238">
        <f t="shared" si="14"/>
        <v>0</v>
      </c>
      <c r="AC63" s="193">
        <v>0</v>
      </c>
      <c r="AD63" s="238">
        <f t="shared" si="15"/>
        <v>0</v>
      </c>
      <c r="AE63" s="193">
        <v>0</v>
      </c>
      <c r="AF63" s="238">
        <f t="shared" si="16"/>
        <v>0</v>
      </c>
      <c r="AG63" s="193">
        <v>0</v>
      </c>
      <c r="AH63" s="238">
        <f t="shared" si="17"/>
        <v>0</v>
      </c>
      <c r="AI63" s="193">
        <v>0</v>
      </c>
      <c r="AJ63" s="238">
        <f t="shared" si="18"/>
        <v>0</v>
      </c>
      <c r="AK63" s="193">
        <v>0</v>
      </c>
      <c r="AL63" s="238">
        <f t="shared" si="19"/>
        <v>0</v>
      </c>
      <c r="AM63" s="193">
        <v>0</v>
      </c>
      <c r="AN63" s="238">
        <f t="shared" si="20"/>
        <v>0</v>
      </c>
      <c r="AO63" s="193">
        <v>0</v>
      </c>
      <c r="AP63" s="238">
        <f t="shared" si="21"/>
        <v>0</v>
      </c>
      <c r="AQ63" s="193">
        <v>0</v>
      </c>
      <c r="AR63" s="238">
        <f t="shared" si="22"/>
        <v>0</v>
      </c>
      <c r="AS63" s="193">
        <v>965.65999999999997</v>
      </c>
      <c r="AT63" s="238">
        <f t="shared" si="23"/>
        <v>22693.009999999998</v>
      </c>
      <c r="AU63" s="193">
        <v>0</v>
      </c>
      <c r="AV63" s="238">
        <f t="shared" si="24"/>
        <v>0</v>
      </c>
      <c r="AW63" s="193">
        <v>0</v>
      </c>
      <c r="AX63" s="238">
        <f t="shared" si="25"/>
        <v>0</v>
      </c>
      <c r="AY63" s="193">
        <v>0</v>
      </c>
      <c r="AZ63" s="238">
        <f t="shared" si="26"/>
        <v>0</v>
      </c>
      <c r="BA63" s="193">
        <v>0</v>
      </c>
      <c r="BB63" s="238">
        <f t="shared" si="27"/>
        <v>0</v>
      </c>
      <c r="BC63" s="193">
        <v>0</v>
      </c>
      <c r="BD63" s="238">
        <f t="shared" si="28"/>
        <v>0</v>
      </c>
      <c r="BE63" s="193">
        <v>0</v>
      </c>
      <c r="BF63" s="238">
        <f t="shared" si="29"/>
        <v>0</v>
      </c>
      <c r="BG63" s="193">
        <v>0</v>
      </c>
      <c r="BH63" s="238">
        <f t="shared" si="30"/>
        <v>0</v>
      </c>
      <c r="BI63" s="193">
        <v>0</v>
      </c>
      <c r="BJ63" s="238">
        <f t="shared" si="31"/>
        <v>0</v>
      </c>
      <c r="BK63" s="193">
        <v>0</v>
      </c>
      <c r="BL63" s="238">
        <f t="shared" si="32"/>
        <v>0</v>
      </c>
      <c r="BM63" s="193">
        <v>0</v>
      </c>
      <c r="BN63" s="238">
        <f t="shared" si="33"/>
        <v>0</v>
      </c>
      <c r="BO63" s="193">
        <v>0</v>
      </c>
      <c r="BP63" s="238">
        <f t="shared" si="34"/>
        <v>0</v>
      </c>
      <c r="BQ63" s="193">
        <v>0</v>
      </c>
      <c r="BR63" s="238">
        <f t="shared" si="35"/>
        <v>0</v>
      </c>
      <c r="BS63" s="225"/>
      <c r="BT63" s="239">
        <f t="shared" si="36"/>
        <v>25214.110000000001</v>
      </c>
      <c r="BU63" s="238">
        <f t="shared" si="38"/>
        <v>592531.58499999996</v>
      </c>
    </row>
    <row r="64" spans="1:73" ht="14.25">
      <c r="A64" s="241">
        <v>1998</v>
      </c>
      <c r="B64" s="240">
        <f t="shared" si="37"/>
        <v>22.5</v>
      </c>
      <c r="C64" s="193">
        <v>0</v>
      </c>
      <c r="D64" s="238">
        <f t="shared" si="2"/>
        <v>0</v>
      </c>
      <c r="E64" s="193">
        <v>0</v>
      </c>
      <c r="F64" s="238">
        <f t="shared" si="3"/>
        <v>0</v>
      </c>
      <c r="G64" s="193">
        <v>5.7999999999999998</v>
      </c>
      <c r="H64" s="238">
        <f t="shared" si="4"/>
        <v>130.5</v>
      </c>
      <c r="I64" s="193">
        <v>11917.110000000001</v>
      </c>
      <c r="J64" s="238">
        <f t="shared" si="5"/>
        <v>268134.97500000003</v>
      </c>
      <c r="K64" s="193">
        <v>0</v>
      </c>
      <c r="L64" s="238">
        <f t="shared" si="6"/>
        <v>0</v>
      </c>
      <c r="M64" s="193">
        <v>0</v>
      </c>
      <c r="N64" s="238">
        <f t="shared" si="7"/>
        <v>0</v>
      </c>
      <c r="O64" s="193">
        <v>0</v>
      </c>
      <c r="P64" s="238">
        <f t="shared" si="8"/>
        <v>0</v>
      </c>
      <c r="Q64" s="193">
        <v>7323.1000000000004</v>
      </c>
      <c r="R64" s="238">
        <f t="shared" si="9"/>
        <v>164769.75</v>
      </c>
      <c r="S64" s="193">
        <v>0</v>
      </c>
      <c r="T64" s="238">
        <f t="shared" si="10"/>
        <v>0</v>
      </c>
      <c r="U64" s="193">
        <v>0</v>
      </c>
      <c r="V64" s="238">
        <f t="shared" si="11"/>
        <v>0</v>
      </c>
      <c r="W64" s="193">
        <v>1252.3599999999999</v>
      </c>
      <c r="X64" s="238">
        <f t="shared" si="12"/>
        <v>28178.099999999999</v>
      </c>
      <c r="Y64" s="193">
        <v>0</v>
      </c>
      <c r="Z64" s="238">
        <f t="shared" si="13"/>
        <v>0</v>
      </c>
      <c r="AA64" s="193">
        <v>0</v>
      </c>
      <c r="AB64" s="238">
        <f t="shared" si="14"/>
        <v>0</v>
      </c>
      <c r="AC64" s="193">
        <v>0</v>
      </c>
      <c r="AD64" s="238">
        <f t="shared" si="15"/>
        <v>0</v>
      </c>
      <c r="AE64" s="193">
        <v>0</v>
      </c>
      <c r="AF64" s="238">
        <f t="shared" si="16"/>
        <v>0</v>
      </c>
      <c r="AG64" s="193">
        <v>0</v>
      </c>
      <c r="AH64" s="238">
        <f t="shared" si="17"/>
        <v>0</v>
      </c>
      <c r="AI64" s="193">
        <v>0</v>
      </c>
      <c r="AJ64" s="238">
        <f t="shared" si="18"/>
        <v>0</v>
      </c>
      <c r="AK64" s="193">
        <v>22818.259999999998</v>
      </c>
      <c r="AL64" s="238">
        <f t="shared" si="19"/>
        <v>513410.84999999998</v>
      </c>
      <c r="AM64" s="193">
        <v>0</v>
      </c>
      <c r="AN64" s="238">
        <f t="shared" si="20"/>
        <v>0</v>
      </c>
      <c r="AO64" s="193">
        <v>0</v>
      </c>
      <c r="AP64" s="238">
        <f t="shared" si="21"/>
        <v>0</v>
      </c>
      <c r="AQ64" s="193">
        <v>0</v>
      </c>
      <c r="AR64" s="238">
        <f t="shared" si="22"/>
        <v>0</v>
      </c>
      <c r="AS64" s="193">
        <v>0</v>
      </c>
      <c r="AT64" s="238">
        <f t="shared" si="23"/>
        <v>0</v>
      </c>
      <c r="AU64" s="193">
        <v>0</v>
      </c>
      <c r="AV64" s="238">
        <f t="shared" si="24"/>
        <v>0</v>
      </c>
      <c r="AW64" s="193">
        <v>0</v>
      </c>
      <c r="AX64" s="238">
        <f t="shared" si="25"/>
        <v>0</v>
      </c>
      <c r="AY64" s="193">
        <v>0</v>
      </c>
      <c r="AZ64" s="238">
        <f t="shared" si="26"/>
        <v>0</v>
      </c>
      <c r="BA64" s="193">
        <v>0</v>
      </c>
      <c r="BB64" s="238">
        <f t="shared" si="27"/>
        <v>0</v>
      </c>
      <c r="BC64" s="193">
        <v>0</v>
      </c>
      <c r="BD64" s="238">
        <f t="shared" si="28"/>
        <v>0</v>
      </c>
      <c r="BE64" s="193">
        <v>0</v>
      </c>
      <c r="BF64" s="238">
        <f t="shared" si="29"/>
        <v>0</v>
      </c>
      <c r="BG64" s="193">
        <v>0</v>
      </c>
      <c r="BH64" s="238">
        <f t="shared" si="30"/>
        <v>0</v>
      </c>
      <c r="BI64" s="193">
        <v>0</v>
      </c>
      <c r="BJ64" s="238">
        <f t="shared" si="31"/>
        <v>0</v>
      </c>
      <c r="BK64" s="193">
        <v>0</v>
      </c>
      <c r="BL64" s="238">
        <f t="shared" si="32"/>
        <v>0</v>
      </c>
      <c r="BM64" s="193">
        <v>1770.5</v>
      </c>
      <c r="BN64" s="238">
        <f t="shared" si="33"/>
        <v>39836.25</v>
      </c>
      <c r="BO64" s="193">
        <v>0</v>
      </c>
      <c r="BP64" s="238">
        <f t="shared" si="34"/>
        <v>0</v>
      </c>
      <c r="BQ64" s="193">
        <v>0</v>
      </c>
      <c r="BR64" s="238">
        <f t="shared" si="35"/>
        <v>0</v>
      </c>
      <c r="BS64" s="225"/>
      <c r="BT64" s="239">
        <f t="shared" si="36"/>
        <v>45087.129999999997</v>
      </c>
      <c r="BU64" s="238">
        <f t="shared" si="38"/>
        <v>1014460.4249999999</v>
      </c>
    </row>
    <row r="65" spans="1:73" ht="14.25">
      <c r="A65" s="241">
        <v>1999</v>
      </c>
      <c r="B65" s="240">
        <f t="shared" si="37"/>
        <v>21.5</v>
      </c>
      <c r="C65" s="193">
        <v>0</v>
      </c>
      <c r="D65" s="238">
        <f t="shared" si="2"/>
        <v>0</v>
      </c>
      <c r="E65" s="193">
        <v>2731.0599999999999</v>
      </c>
      <c r="F65" s="238">
        <f t="shared" si="3"/>
        <v>58717.790000000001</v>
      </c>
      <c r="G65" s="193">
        <v>0</v>
      </c>
      <c r="H65" s="238">
        <f t="shared" si="4"/>
        <v>0</v>
      </c>
      <c r="I65" s="193">
        <v>0</v>
      </c>
      <c r="J65" s="238">
        <f t="shared" si="5"/>
        <v>0</v>
      </c>
      <c r="K65" s="193">
        <v>0</v>
      </c>
      <c r="L65" s="238">
        <f t="shared" si="6"/>
        <v>0</v>
      </c>
      <c r="M65" s="193">
        <v>0</v>
      </c>
      <c r="N65" s="238">
        <f t="shared" si="7"/>
        <v>0</v>
      </c>
      <c r="O65" s="193">
        <v>0</v>
      </c>
      <c r="P65" s="238">
        <f t="shared" si="8"/>
        <v>0</v>
      </c>
      <c r="Q65" s="193">
        <v>15005.809999999999</v>
      </c>
      <c r="R65" s="238">
        <f t="shared" si="9"/>
        <v>322624.91499999998</v>
      </c>
      <c r="S65" s="193">
        <v>0</v>
      </c>
      <c r="T65" s="238">
        <f t="shared" si="10"/>
        <v>0</v>
      </c>
      <c r="U65" s="193">
        <v>0</v>
      </c>
      <c r="V65" s="238">
        <f t="shared" si="11"/>
        <v>0</v>
      </c>
      <c r="W65" s="193">
        <v>8295.0499999999993</v>
      </c>
      <c r="X65" s="238">
        <f t="shared" si="12"/>
        <v>178343.57499999998</v>
      </c>
      <c r="Y65" s="193">
        <v>0</v>
      </c>
      <c r="Z65" s="238">
        <f t="shared" si="13"/>
        <v>0</v>
      </c>
      <c r="AA65" s="193">
        <v>0</v>
      </c>
      <c r="AB65" s="238">
        <f t="shared" si="14"/>
        <v>0</v>
      </c>
      <c r="AC65" s="193">
        <v>0</v>
      </c>
      <c r="AD65" s="238">
        <f t="shared" si="15"/>
        <v>0</v>
      </c>
      <c r="AE65" s="193">
        <v>0</v>
      </c>
      <c r="AF65" s="238">
        <f t="shared" si="16"/>
        <v>0</v>
      </c>
      <c r="AG65" s="193">
        <v>0</v>
      </c>
      <c r="AH65" s="238">
        <f t="shared" si="17"/>
        <v>0</v>
      </c>
      <c r="AI65" s="193">
        <v>0</v>
      </c>
      <c r="AJ65" s="238">
        <f t="shared" si="18"/>
        <v>0</v>
      </c>
      <c r="AK65" s="193">
        <v>0</v>
      </c>
      <c r="AL65" s="238">
        <f t="shared" si="19"/>
        <v>0</v>
      </c>
      <c r="AM65" s="193">
        <v>8089.8000000000002</v>
      </c>
      <c r="AN65" s="238">
        <f t="shared" si="20"/>
        <v>173930.70000000001</v>
      </c>
      <c r="AO65" s="193">
        <v>7338.3400000000001</v>
      </c>
      <c r="AP65" s="238">
        <f t="shared" si="21"/>
        <v>157774.31</v>
      </c>
      <c r="AQ65" s="193">
        <v>0</v>
      </c>
      <c r="AR65" s="238">
        <f t="shared" si="22"/>
        <v>0</v>
      </c>
      <c r="AS65" s="193">
        <v>12239.01</v>
      </c>
      <c r="AT65" s="238">
        <f t="shared" si="23"/>
        <v>263138.71500000003</v>
      </c>
      <c r="AU65" s="193">
        <v>0</v>
      </c>
      <c r="AV65" s="238">
        <f t="shared" si="24"/>
        <v>0</v>
      </c>
      <c r="AW65" s="193">
        <v>0</v>
      </c>
      <c r="AX65" s="238">
        <f t="shared" si="25"/>
        <v>0</v>
      </c>
      <c r="AY65" s="193">
        <v>0</v>
      </c>
      <c r="AZ65" s="238">
        <f t="shared" si="26"/>
        <v>0</v>
      </c>
      <c r="BA65" s="193">
        <v>0</v>
      </c>
      <c r="BB65" s="238">
        <f t="shared" si="27"/>
        <v>0</v>
      </c>
      <c r="BC65" s="193">
        <v>0</v>
      </c>
      <c r="BD65" s="238">
        <f t="shared" si="28"/>
        <v>0</v>
      </c>
      <c r="BE65" s="193">
        <v>0</v>
      </c>
      <c r="BF65" s="238">
        <f t="shared" si="29"/>
        <v>0</v>
      </c>
      <c r="BG65" s="193">
        <v>0</v>
      </c>
      <c r="BH65" s="238">
        <f t="shared" si="30"/>
        <v>0</v>
      </c>
      <c r="BI65" s="193">
        <v>0</v>
      </c>
      <c r="BJ65" s="238">
        <f t="shared" si="31"/>
        <v>0</v>
      </c>
      <c r="BK65" s="193">
        <v>0</v>
      </c>
      <c r="BL65" s="238">
        <f t="shared" si="32"/>
        <v>0</v>
      </c>
      <c r="BM65" s="193">
        <v>0</v>
      </c>
      <c r="BN65" s="238">
        <f t="shared" si="33"/>
        <v>0</v>
      </c>
      <c r="BO65" s="193">
        <v>1748.46</v>
      </c>
      <c r="BP65" s="238">
        <f t="shared" si="34"/>
        <v>37591.889999999999</v>
      </c>
      <c r="BQ65" s="193">
        <v>0</v>
      </c>
      <c r="BR65" s="238">
        <f t="shared" si="35"/>
        <v>0</v>
      </c>
      <c r="BS65" s="225"/>
      <c r="BT65" s="239">
        <f t="shared" si="36"/>
        <v>55447.529999999999</v>
      </c>
      <c r="BU65" s="238">
        <f t="shared" si="38"/>
        <v>1192121.895</v>
      </c>
    </row>
    <row r="66" spans="1:73" ht="14.25">
      <c r="A66" s="241">
        <v>2000</v>
      </c>
      <c r="B66" s="240">
        <f t="shared" si="37"/>
        <v>20.5</v>
      </c>
      <c r="C66" s="193">
        <v>0</v>
      </c>
      <c r="D66" s="238">
        <f t="shared" si="2"/>
        <v>0</v>
      </c>
      <c r="E66" s="193">
        <v>1600</v>
      </c>
      <c r="F66" s="238">
        <f t="shared" si="3"/>
        <v>32800</v>
      </c>
      <c r="G66" s="193">
        <v>0</v>
      </c>
      <c r="H66" s="238">
        <f t="shared" si="4"/>
        <v>0</v>
      </c>
      <c r="I66" s="193">
        <v>0</v>
      </c>
      <c r="J66" s="238">
        <f t="shared" si="5"/>
        <v>0</v>
      </c>
      <c r="K66" s="193">
        <v>0</v>
      </c>
      <c r="L66" s="238">
        <f t="shared" si="6"/>
        <v>0</v>
      </c>
      <c r="M66" s="193">
        <v>0</v>
      </c>
      <c r="N66" s="238">
        <f t="shared" si="7"/>
        <v>0</v>
      </c>
      <c r="O66" s="193">
        <v>0</v>
      </c>
      <c r="P66" s="238">
        <f t="shared" si="8"/>
        <v>0</v>
      </c>
      <c r="Q66" s="193">
        <v>3804.3400000000001</v>
      </c>
      <c r="R66" s="238">
        <f t="shared" si="9"/>
        <v>77988.970000000001</v>
      </c>
      <c r="S66" s="193">
        <v>17.850000000000001</v>
      </c>
      <c r="T66" s="238">
        <f t="shared" si="10"/>
        <v>365.92500000000001</v>
      </c>
      <c r="U66" s="193">
        <v>0</v>
      </c>
      <c r="V66" s="238">
        <f t="shared" si="11"/>
        <v>0</v>
      </c>
      <c r="W66" s="193">
        <v>1470.49</v>
      </c>
      <c r="X66" s="238">
        <f t="shared" si="12"/>
        <v>30145.045000000002</v>
      </c>
      <c r="Y66" s="193">
        <v>0</v>
      </c>
      <c r="Z66" s="238">
        <f t="shared" si="13"/>
        <v>0</v>
      </c>
      <c r="AA66" s="193">
        <v>0</v>
      </c>
      <c r="AB66" s="238">
        <f t="shared" si="14"/>
        <v>0</v>
      </c>
      <c r="AC66" s="193">
        <v>0</v>
      </c>
      <c r="AD66" s="238">
        <f t="shared" si="15"/>
        <v>0</v>
      </c>
      <c r="AE66" s="193">
        <v>0</v>
      </c>
      <c r="AF66" s="238">
        <f t="shared" si="16"/>
        <v>0</v>
      </c>
      <c r="AG66" s="193">
        <v>0</v>
      </c>
      <c r="AH66" s="238">
        <f t="shared" si="17"/>
        <v>0</v>
      </c>
      <c r="AI66" s="193">
        <v>0</v>
      </c>
      <c r="AJ66" s="238">
        <f t="shared" si="18"/>
        <v>0</v>
      </c>
      <c r="AK66" s="193">
        <v>0</v>
      </c>
      <c r="AL66" s="238">
        <f t="shared" si="19"/>
        <v>0</v>
      </c>
      <c r="AM66" s="193">
        <v>500</v>
      </c>
      <c r="AN66" s="238">
        <f t="shared" si="20"/>
        <v>10250</v>
      </c>
      <c r="AO66" s="193">
        <v>0</v>
      </c>
      <c r="AP66" s="238">
        <f t="shared" si="21"/>
        <v>0</v>
      </c>
      <c r="AQ66" s="193">
        <v>2250.8099999999999</v>
      </c>
      <c r="AR66" s="238">
        <f t="shared" si="22"/>
        <v>46141.604999999996</v>
      </c>
      <c r="AS66" s="193">
        <v>0</v>
      </c>
      <c r="AT66" s="238">
        <f t="shared" si="23"/>
        <v>0</v>
      </c>
      <c r="AU66" s="193">
        <v>1302350.4299999999</v>
      </c>
      <c r="AV66" s="238">
        <f t="shared" si="24"/>
        <v>26698183.814999998</v>
      </c>
      <c r="AW66" s="193">
        <v>0</v>
      </c>
      <c r="AX66" s="238">
        <f t="shared" si="25"/>
        <v>0</v>
      </c>
      <c r="AY66" s="193">
        <v>0</v>
      </c>
      <c r="AZ66" s="238">
        <f t="shared" si="26"/>
        <v>0</v>
      </c>
      <c r="BA66" s="193">
        <v>0</v>
      </c>
      <c r="BB66" s="238">
        <f t="shared" si="27"/>
        <v>0</v>
      </c>
      <c r="BC66" s="193">
        <v>0</v>
      </c>
      <c r="BD66" s="238">
        <f t="shared" si="28"/>
        <v>0</v>
      </c>
      <c r="BE66" s="193">
        <v>0</v>
      </c>
      <c r="BF66" s="238">
        <f t="shared" si="29"/>
        <v>0</v>
      </c>
      <c r="BG66" s="193">
        <v>0</v>
      </c>
      <c r="BH66" s="238">
        <f t="shared" si="30"/>
        <v>0</v>
      </c>
      <c r="BI66" s="193">
        <v>0</v>
      </c>
      <c r="BJ66" s="238">
        <f t="shared" si="31"/>
        <v>0</v>
      </c>
      <c r="BK66" s="193">
        <v>0</v>
      </c>
      <c r="BL66" s="238">
        <f t="shared" si="32"/>
        <v>0</v>
      </c>
      <c r="BM66" s="193">
        <v>72560.229999999996</v>
      </c>
      <c r="BN66" s="238">
        <f t="shared" si="33"/>
        <v>1487484.7149999999</v>
      </c>
      <c r="BO66" s="193">
        <v>794.98000000000002</v>
      </c>
      <c r="BP66" s="238">
        <f t="shared" si="34"/>
        <v>16297.09</v>
      </c>
      <c r="BQ66" s="193">
        <v>0</v>
      </c>
      <c r="BR66" s="238">
        <f t="shared" si="35"/>
        <v>0</v>
      </c>
      <c r="BS66" s="225"/>
      <c r="BT66" s="239">
        <f t="shared" si="36"/>
        <v>1385349.1299999999</v>
      </c>
      <c r="BU66" s="238">
        <f t="shared" si="38"/>
        <v>28399657.164999999</v>
      </c>
    </row>
    <row r="67" spans="1:73" ht="14.25">
      <c r="A67" s="241">
        <v>2001</v>
      </c>
      <c r="B67" s="240">
        <f t="shared" si="37"/>
        <v>19.5</v>
      </c>
      <c r="C67" s="193">
        <v>0</v>
      </c>
      <c r="D67" s="238">
        <f t="shared" si="2"/>
        <v>0</v>
      </c>
      <c r="E67" s="193">
        <v>0</v>
      </c>
      <c r="F67" s="238">
        <f t="shared" si="3"/>
        <v>0</v>
      </c>
      <c r="G67" s="193">
        <v>0</v>
      </c>
      <c r="H67" s="238">
        <f t="shared" si="4"/>
        <v>0</v>
      </c>
      <c r="I67" s="193">
        <v>0</v>
      </c>
      <c r="J67" s="238">
        <f t="shared" si="5"/>
        <v>0</v>
      </c>
      <c r="K67" s="193">
        <v>0</v>
      </c>
      <c r="L67" s="238">
        <f t="shared" si="6"/>
        <v>0</v>
      </c>
      <c r="M67" s="193">
        <v>0</v>
      </c>
      <c r="N67" s="238">
        <f t="shared" si="7"/>
        <v>0</v>
      </c>
      <c r="O67" s="193">
        <v>0</v>
      </c>
      <c r="P67" s="238">
        <f t="shared" si="8"/>
        <v>0</v>
      </c>
      <c r="Q67" s="193">
        <v>2738.52</v>
      </c>
      <c r="R67" s="238">
        <f t="shared" si="9"/>
        <v>53401.139999999999</v>
      </c>
      <c r="S67" s="193">
        <v>546.41999999999996</v>
      </c>
      <c r="T67" s="238">
        <f t="shared" si="10"/>
        <v>10655.189999999999</v>
      </c>
      <c r="U67" s="193">
        <v>0</v>
      </c>
      <c r="V67" s="238">
        <f t="shared" si="11"/>
        <v>0</v>
      </c>
      <c r="W67" s="193">
        <v>16234.299999999999</v>
      </c>
      <c r="X67" s="238">
        <f t="shared" si="12"/>
        <v>316568.84999999998</v>
      </c>
      <c r="Y67" s="193">
        <v>0</v>
      </c>
      <c r="Z67" s="238">
        <f t="shared" si="13"/>
        <v>0</v>
      </c>
      <c r="AA67" s="193">
        <v>0</v>
      </c>
      <c r="AB67" s="238">
        <f t="shared" si="14"/>
        <v>0</v>
      </c>
      <c r="AC67" s="193">
        <v>0</v>
      </c>
      <c r="AD67" s="238">
        <f t="shared" si="15"/>
        <v>0</v>
      </c>
      <c r="AE67" s="193">
        <v>0</v>
      </c>
      <c r="AF67" s="238">
        <f t="shared" si="16"/>
        <v>0</v>
      </c>
      <c r="AG67" s="193">
        <v>0</v>
      </c>
      <c r="AH67" s="238">
        <f t="shared" si="17"/>
        <v>0</v>
      </c>
      <c r="AI67" s="193">
        <v>0</v>
      </c>
      <c r="AJ67" s="238">
        <f t="shared" si="18"/>
        <v>0</v>
      </c>
      <c r="AK67" s="193">
        <v>0</v>
      </c>
      <c r="AL67" s="238">
        <f t="shared" si="19"/>
        <v>0</v>
      </c>
      <c r="AM67" s="193">
        <v>8863.3500000000004</v>
      </c>
      <c r="AN67" s="238">
        <f t="shared" si="20"/>
        <v>172835.32500000001</v>
      </c>
      <c r="AO67" s="193">
        <v>2565.1999999999998</v>
      </c>
      <c r="AP67" s="238">
        <f t="shared" si="21"/>
        <v>50021.399999999994</v>
      </c>
      <c r="AQ67" s="193">
        <v>900</v>
      </c>
      <c r="AR67" s="238">
        <f t="shared" si="22"/>
        <v>17550</v>
      </c>
      <c r="AS67" s="193">
        <v>1546.54</v>
      </c>
      <c r="AT67" s="238">
        <f t="shared" si="23"/>
        <v>30157.529999999999</v>
      </c>
      <c r="AU67" s="193">
        <v>69631.489999999991</v>
      </c>
      <c r="AV67" s="238">
        <f t="shared" si="24"/>
        <v>1357814.0549999997</v>
      </c>
      <c r="AW67" s="193">
        <v>0</v>
      </c>
      <c r="AX67" s="238">
        <f t="shared" si="25"/>
        <v>0</v>
      </c>
      <c r="AY67" s="193">
        <v>0</v>
      </c>
      <c r="AZ67" s="238">
        <f t="shared" si="26"/>
        <v>0</v>
      </c>
      <c r="BA67" s="193">
        <v>0</v>
      </c>
      <c r="BB67" s="238">
        <f t="shared" si="27"/>
        <v>0</v>
      </c>
      <c r="BC67" s="193">
        <v>0</v>
      </c>
      <c r="BD67" s="238">
        <f t="shared" si="28"/>
        <v>0</v>
      </c>
      <c r="BE67" s="193">
        <v>0</v>
      </c>
      <c r="BF67" s="238">
        <f t="shared" si="29"/>
        <v>0</v>
      </c>
      <c r="BG67" s="193">
        <v>0</v>
      </c>
      <c r="BH67" s="238">
        <f t="shared" si="30"/>
        <v>0</v>
      </c>
      <c r="BI67" s="193">
        <v>0</v>
      </c>
      <c r="BJ67" s="238">
        <f t="shared" si="31"/>
        <v>0</v>
      </c>
      <c r="BK67" s="193">
        <v>2027.98</v>
      </c>
      <c r="BL67" s="238">
        <f t="shared" si="32"/>
        <v>39545.610000000001</v>
      </c>
      <c r="BM67" s="193">
        <v>91244.600000000006</v>
      </c>
      <c r="BN67" s="238">
        <f t="shared" si="33"/>
        <v>1779269.7000000002</v>
      </c>
      <c r="BO67" s="193">
        <v>3917</v>
      </c>
      <c r="BP67" s="238">
        <f t="shared" si="34"/>
        <v>76381.5</v>
      </c>
      <c r="BQ67" s="193">
        <v>0</v>
      </c>
      <c r="BR67" s="238">
        <f t="shared" si="35"/>
        <v>0</v>
      </c>
      <c r="BS67" s="225"/>
      <c r="BT67" s="239">
        <f t="shared" si="36"/>
        <v>200215.39999999999</v>
      </c>
      <c r="BU67" s="238">
        <f t="shared" si="38"/>
        <v>3904200.2999999998</v>
      </c>
    </row>
    <row r="68" spans="1:73" ht="14.25">
      <c r="A68" s="241">
        <v>2002</v>
      </c>
      <c r="B68" s="240">
        <f t="shared" si="37"/>
        <v>18.5</v>
      </c>
      <c r="C68" s="193">
        <v>0</v>
      </c>
      <c r="D68" s="238">
        <f t="shared" si="2"/>
        <v>0</v>
      </c>
      <c r="E68" s="193">
        <v>26971.669999999998</v>
      </c>
      <c r="F68" s="238">
        <f t="shared" si="3"/>
        <v>498975.89499999996</v>
      </c>
      <c r="G68" s="193">
        <v>0</v>
      </c>
      <c r="H68" s="238">
        <f t="shared" si="4"/>
        <v>0</v>
      </c>
      <c r="I68" s="193">
        <v>41.710000000000001</v>
      </c>
      <c r="J68" s="238">
        <f t="shared" si="5"/>
        <v>771.63499999999999</v>
      </c>
      <c r="K68" s="193">
        <v>0</v>
      </c>
      <c r="L68" s="238">
        <f t="shared" si="6"/>
        <v>0</v>
      </c>
      <c r="M68" s="193">
        <v>0</v>
      </c>
      <c r="N68" s="238">
        <f t="shared" si="7"/>
        <v>0</v>
      </c>
      <c r="O68" s="193">
        <v>0</v>
      </c>
      <c r="P68" s="238">
        <f t="shared" si="8"/>
        <v>0</v>
      </c>
      <c r="Q68" s="193">
        <v>3026.96</v>
      </c>
      <c r="R68" s="238">
        <f t="shared" si="9"/>
        <v>55998.760000000002</v>
      </c>
      <c r="S68" s="193">
        <v>0</v>
      </c>
      <c r="T68" s="238">
        <f t="shared" si="10"/>
        <v>0</v>
      </c>
      <c r="U68" s="193">
        <v>0</v>
      </c>
      <c r="V68" s="238">
        <f t="shared" si="11"/>
        <v>0</v>
      </c>
      <c r="W68" s="193">
        <v>1011.23</v>
      </c>
      <c r="X68" s="238">
        <f t="shared" si="12"/>
        <v>18707.755000000001</v>
      </c>
      <c r="Y68" s="193">
        <v>0</v>
      </c>
      <c r="Z68" s="238">
        <f t="shared" si="13"/>
        <v>0</v>
      </c>
      <c r="AA68" s="193">
        <v>0</v>
      </c>
      <c r="AB68" s="238">
        <f t="shared" si="14"/>
        <v>0</v>
      </c>
      <c r="AC68" s="193">
        <v>0</v>
      </c>
      <c r="AD68" s="238">
        <f t="shared" si="15"/>
        <v>0</v>
      </c>
      <c r="AE68" s="193">
        <v>0</v>
      </c>
      <c r="AF68" s="238">
        <f t="shared" si="16"/>
        <v>0</v>
      </c>
      <c r="AG68" s="193">
        <v>0</v>
      </c>
      <c r="AH68" s="238">
        <f t="shared" si="17"/>
        <v>0</v>
      </c>
      <c r="AI68" s="193">
        <v>0</v>
      </c>
      <c r="AJ68" s="238">
        <f t="shared" si="18"/>
        <v>0</v>
      </c>
      <c r="AK68" s="193">
        <v>0</v>
      </c>
      <c r="AL68" s="238">
        <f t="shared" si="19"/>
        <v>0</v>
      </c>
      <c r="AM68" s="193">
        <v>3984.75</v>
      </c>
      <c r="AN68" s="238">
        <f t="shared" si="20"/>
        <v>73717.875</v>
      </c>
      <c r="AO68" s="193">
        <v>4587.8000000000002</v>
      </c>
      <c r="AP68" s="238">
        <f t="shared" si="21"/>
        <v>84874.300000000003</v>
      </c>
      <c r="AQ68" s="193">
        <v>14468.73</v>
      </c>
      <c r="AR68" s="238">
        <f t="shared" si="22"/>
        <v>267671.505</v>
      </c>
      <c r="AS68" s="193">
        <v>0</v>
      </c>
      <c r="AT68" s="238">
        <f t="shared" si="23"/>
        <v>0</v>
      </c>
      <c r="AU68" s="193">
        <v>0</v>
      </c>
      <c r="AV68" s="238">
        <f t="shared" si="24"/>
        <v>0</v>
      </c>
      <c r="AW68" s="193">
        <v>0</v>
      </c>
      <c r="AX68" s="238">
        <f t="shared" si="25"/>
        <v>0</v>
      </c>
      <c r="AY68" s="193">
        <v>0</v>
      </c>
      <c r="AZ68" s="238">
        <f t="shared" si="26"/>
        <v>0</v>
      </c>
      <c r="BA68" s="193">
        <v>0</v>
      </c>
      <c r="BB68" s="238">
        <f t="shared" si="27"/>
        <v>0</v>
      </c>
      <c r="BC68" s="193">
        <v>0</v>
      </c>
      <c r="BD68" s="238">
        <f t="shared" si="28"/>
        <v>0</v>
      </c>
      <c r="BE68" s="193">
        <v>0</v>
      </c>
      <c r="BF68" s="238">
        <f t="shared" si="29"/>
        <v>0</v>
      </c>
      <c r="BG68" s="193">
        <v>0</v>
      </c>
      <c r="BH68" s="238">
        <f t="shared" si="30"/>
        <v>0</v>
      </c>
      <c r="BI68" s="193">
        <v>0</v>
      </c>
      <c r="BJ68" s="238">
        <f t="shared" si="31"/>
        <v>0</v>
      </c>
      <c r="BK68" s="193">
        <v>0</v>
      </c>
      <c r="BL68" s="238">
        <f t="shared" si="32"/>
        <v>0</v>
      </c>
      <c r="BM68" s="193">
        <v>60906.760000000002</v>
      </c>
      <c r="BN68" s="238">
        <f t="shared" si="33"/>
        <v>1126775.0600000001</v>
      </c>
      <c r="BO68" s="193">
        <v>6530.9200000000001</v>
      </c>
      <c r="BP68" s="238">
        <f t="shared" si="34"/>
        <v>120822.02</v>
      </c>
      <c r="BQ68" s="193">
        <v>0</v>
      </c>
      <c r="BR68" s="238">
        <f t="shared" si="35"/>
        <v>0</v>
      </c>
      <c r="BS68" s="225"/>
      <c r="BT68" s="239">
        <f t="shared" si="36"/>
        <v>121530.53000000001</v>
      </c>
      <c r="BU68" s="238">
        <f t="shared" si="38"/>
        <v>2248314.8050000002</v>
      </c>
    </row>
    <row r="69" spans="1:73" ht="14.25">
      <c r="A69" s="241">
        <v>2003</v>
      </c>
      <c r="B69" s="240">
        <f t="shared" si="37"/>
        <v>17.5</v>
      </c>
      <c r="C69" s="193">
        <v>0</v>
      </c>
      <c r="D69" s="238">
        <f t="shared" si="2"/>
        <v>0</v>
      </c>
      <c r="E69" s="193">
        <v>0</v>
      </c>
      <c r="F69" s="238">
        <f t="shared" si="3"/>
        <v>0</v>
      </c>
      <c r="G69" s="193">
        <v>1629.6400000000001</v>
      </c>
      <c r="H69" s="238">
        <f t="shared" si="4"/>
        <v>28518.700000000001</v>
      </c>
      <c r="I69" s="193">
        <v>5520.5200000000004</v>
      </c>
      <c r="J69" s="238">
        <f t="shared" si="5"/>
        <v>96609.100000000006</v>
      </c>
      <c r="K69" s="193">
        <v>0</v>
      </c>
      <c r="L69" s="238">
        <f t="shared" si="6"/>
        <v>0</v>
      </c>
      <c r="M69" s="193">
        <v>0</v>
      </c>
      <c r="N69" s="238">
        <f t="shared" si="7"/>
        <v>0</v>
      </c>
      <c r="O69" s="193">
        <v>0</v>
      </c>
      <c r="P69" s="238">
        <f t="shared" si="8"/>
        <v>0</v>
      </c>
      <c r="Q69" s="193">
        <v>3398.75</v>
      </c>
      <c r="R69" s="238">
        <f t="shared" si="9"/>
        <v>59478.125</v>
      </c>
      <c r="S69" s="193">
        <v>0</v>
      </c>
      <c r="T69" s="238">
        <f t="shared" si="10"/>
        <v>0</v>
      </c>
      <c r="U69" s="193">
        <v>0</v>
      </c>
      <c r="V69" s="238">
        <f t="shared" si="11"/>
        <v>0</v>
      </c>
      <c r="W69" s="193">
        <v>2188.6199999999999</v>
      </c>
      <c r="X69" s="238">
        <f t="shared" si="12"/>
        <v>38300.849999999999</v>
      </c>
      <c r="Y69" s="193">
        <v>0</v>
      </c>
      <c r="Z69" s="238">
        <f t="shared" si="13"/>
        <v>0</v>
      </c>
      <c r="AA69" s="193">
        <v>0</v>
      </c>
      <c r="AB69" s="238">
        <f t="shared" si="14"/>
        <v>0</v>
      </c>
      <c r="AC69" s="193">
        <v>0</v>
      </c>
      <c r="AD69" s="238">
        <f t="shared" si="15"/>
        <v>0</v>
      </c>
      <c r="AE69" s="193">
        <v>0</v>
      </c>
      <c r="AF69" s="238">
        <f t="shared" si="16"/>
        <v>0</v>
      </c>
      <c r="AG69" s="193">
        <v>0</v>
      </c>
      <c r="AH69" s="238">
        <f t="shared" si="17"/>
        <v>0</v>
      </c>
      <c r="AI69" s="193">
        <v>0</v>
      </c>
      <c r="AJ69" s="238">
        <f t="shared" si="18"/>
        <v>0</v>
      </c>
      <c r="AK69" s="193">
        <v>0</v>
      </c>
      <c r="AL69" s="238">
        <f t="shared" si="19"/>
        <v>0</v>
      </c>
      <c r="AM69" s="193">
        <v>0</v>
      </c>
      <c r="AN69" s="238">
        <f t="shared" si="20"/>
        <v>0</v>
      </c>
      <c r="AO69" s="193">
        <v>0</v>
      </c>
      <c r="AP69" s="238">
        <f t="shared" si="21"/>
        <v>0</v>
      </c>
      <c r="AQ69" s="193">
        <v>25733.77</v>
      </c>
      <c r="AR69" s="238">
        <f t="shared" si="22"/>
        <v>450340.97500000003</v>
      </c>
      <c r="AS69" s="193">
        <v>0</v>
      </c>
      <c r="AT69" s="238">
        <f t="shared" si="23"/>
        <v>0</v>
      </c>
      <c r="AU69" s="193">
        <v>26353.060000000001</v>
      </c>
      <c r="AV69" s="238">
        <f t="shared" si="24"/>
        <v>461178.55000000005</v>
      </c>
      <c r="AW69" s="193">
        <v>0</v>
      </c>
      <c r="AX69" s="238">
        <f t="shared" si="25"/>
        <v>0</v>
      </c>
      <c r="AY69" s="193">
        <v>0</v>
      </c>
      <c r="AZ69" s="238">
        <f t="shared" si="26"/>
        <v>0</v>
      </c>
      <c r="BA69" s="193">
        <v>0</v>
      </c>
      <c r="BB69" s="238">
        <f t="shared" si="27"/>
        <v>0</v>
      </c>
      <c r="BC69" s="193">
        <v>0</v>
      </c>
      <c r="BD69" s="238">
        <f t="shared" si="28"/>
        <v>0</v>
      </c>
      <c r="BE69" s="193">
        <v>0</v>
      </c>
      <c r="BF69" s="238">
        <f t="shared" si="29"/>
        <v>0</v>
      </c>
      <c r="BG69" s="193">
        <v>15361.129999999999</v>
      </c>
      <c r="BH69" s="238">
        <f t="shared" si="30"/>
        <v>268819.77499999997</v>
      </c>
      <c r="BI69" s="193">
        <v>0</v>
      </c>
      <c r="BJ69" s="238">
        <f t="shared" si="31"/>
        <v>0</v>
      </c>
      <c r="BK69" s="193">
        <v>0</v>
      </c>
      <c r="BL69" s="238">
        <f t="shared" si="32"/>
        <v>0</v>
      </c>
      <c r="BM69" s="193">
        <v>87046.5</v>
      </c>
      <c r="BN69" s="238">
        <f t="shared" si="33"/>
        <v>1523313.75</v>
      </c>
      <c r="BO69" s="193">
        <v>3410</v>
      </c>
      <c r="BP69" s="238">
        <f t="shared" si="34"/>
        <v>59675</v>
      </c>
      <c r="BQ69" s="193">
        <v>6243.5</v>
      </c>
      <c r="BR69" s="238">
        <f t="shared" si="35"/>
        <v>109261.25</v>
      </c>
      <c r="BS69" s="225"/>
      <c r="BT69" s="239">
        <f t="shared" si="36"/>
        <v>176885.48999999999</v>
      </c>
      <c r="BU69" s="238">
        <f t="shared" si="38"/>
        <v>3095496.0749999997</v>
      </c>
    </row>
    <row r="70" spans="1:73" ht="14.25">
      <c r="A70" s="241">
        <v>2004</v>
      </c>
      <c r="B70" s="240">
        <f t="shared" si="39" ref="B70:B85">$A$86-A70+0.5</f>
        <v>16.5</v>
      </c>
      <c r="C70" s="193">
        <v>0</v>
      </c>
      <c r="D70" s="238">
        <f t="shared" si="2"/>
        <v>0</v>
      </c>
      <c r="E70" s="193">
        <v>0</v>
      </c>
      <c r="F70" s="238">
        <f t="shared" si="3"/>
        <v>0</v>
      </c>
      <c r="G70" s="193">
        <v>0</v>
      </c>
      <c r="H70" s="238">
        <f t="shared" si="4"/>
        <v>0</v>
      </c>
      <c r="I70" s="193">
        <v>0</v>
      </c>
      <c r="J70" s="238">
        <f t="shared" si="5"/>
        <v>0</v>
      </c>
      <c r="K70" s="193">
        <v>0</v>
      </c>
      <c r="L70" s="238">
        <f t="shared" si="6"/>
        <v>0</v>
      </c>
      <c r="M70" s="193">
        <v>0</v>
      </c>
      <c r="N70" s="238">
        <f t="shared" si="7"/>
        <v>0</v>
      </c>
      <c r="O70" s="193">
        <v>0</v>
      </c>
      <c r="P70" s="238">
        <f t="shared" si="8"/>
        <v>0</v>
      </c>
      <c r="Q70" s="193">
        <v>90611.710000000006</v>
      </c>
      <c r="R70" s="238">
        <f t="shared" si="9"/>
        <v>1495093.2150000001</v>
      </c>
      <c r="S70" s="193">
        <v>0</v>
      </c>
      <c r="T70" s="238">
        <f t="shared" si="10"/>
        <v>0</v>
      </c>
      <c r="U70" s="193">
        <v>0</v>
      </c>
      <c r="V70" s="238">
        <f t="shared" si="11"/>
        <v>0</v>
      </c>
      <c r="W70" s="193">
        <v>908.05999999999995</v>
      </c>
      <c r="X70" s="238">
        <f t="shared" si="12"/>
        <v>14982.99</v>
      </c>
      <c r="Y70" s="193">
        <v>0</v>
      </c>
      <c r="Z70" s="238">
        <f t="shared" si="13"/>
        <v>0</v>
      </c>
      <c r="AA70" s="193">
        <v>0</v>
      </c>
      <c r="AB70" s="238">
        <f t="shared" si="14"/>
        <v>0</v>
      </c>
      <c r="AC70" s="193">
        <v>0</v>
      </c>
      <c r="AD70" s="238">
        <f t="shared" si="15"/>
        <v>0</v>
      </c>
      <c r="AE70" s="193">
        <v>0</v>
      </c>
      <c r="AF70" s="238">
        <f t="shared" si="16"/>
        <v>0</v>
      </c>
      <c r="AG70" s="193">
        <v>0</v>
      </c>
      <c r="AH70" s="238">
        <f t="shared" si="17"/>
        <v>0</v>
      </c>
      <c r="AI70" s="193">
        <v>0</v>
      </c>
      <c r="AJ70" s="238">
        <f t="shared" si="18"/>
        <v>0</v>
      </c>
      <c r="AK70" s="193">
        <v>0</v>
      </c>
      <c r="AL70" s="238">
        <f t="shared" si="19"/>
        <v>0</v>
      </c>
      <c r="AM70" s="193">
        <v>0</v>
      </c>
      <c r="AN70" s="238">
        <f t="shared" si="20"/>
        <v>0</v>
      </c>
      <c r="AO70" s="193">
        <v>533.67999999999995</v>
      </c>
      <c r="AP70" s="238">
        <f t="shared" si="21"/>
        <v>8805.7199999999993</v>
      </c>
      <c r="AQ70" s="193">
        <v>16815.060000000001</v>
      </c>
      <c r="AR70" s="238">
        <f t="shared" si="22"/>
        <v>277448.49000000005</v>
      </c>
      <c r="AS70" s="193">
        <v>0</v>
      </c>
      <c r="AT70" s="238">
        <f t="shared" si="23"/>
        <v>0</v>
      </c>
      <c r="AU70" s="193">
        <v>0</v>
      </c>
      <c r="AV70" s="238">
        <f t="shared" si="24"/>
        <v>0</v>
      </c>
      <c r="AW70" s="193">
        <v>0</v>
      </c>
      <c r="AX70" s="238">
        <f t="shared" si="25"/>
        <v>0</v>
      </c>
      <c r="AY70" s="193">
        <v>0</v>
      </c>
      <c r="AZ70" s="238">
        <f t="shared" si="26"/>
        <v>0</v>
      </c>
      <c r="BA70" s="193">
        <v>0</v>
      </c>
      <c r="BB70" s="238">
        <f t="shared" si="27"/>
        <v>0</v>
      </c>
      <c r="BC70" s="193">
        <v>0</v>
      </c>
      <c r="BD70" s="238">
        <f t="shared" si="28"/>
        <v>0</v>
      </c>
      <c r="BE70" s="193">
        <v>0</v>
      </c>
      <c r="BF70" s="238">
        <f t="shared" si="29"/>
        <v>0</v>
      </c>
      <c r="BG70" s="193">
        <v>13050.200000000001</v>
      </c>
      <c r="BH70" s="238">
        <f t="shared" si="30"/>
        <v>215328.30000000002</v>
      </c>
      <c r="BI70" s="193">
        <v>0</v>
      </c>
      <c r="BJ70" s="238">
        <f t="shared" si="31"/>
        <v>0</v>
      </c>
      <c r="BK70" s="193">
        <v>0</v>
      </c>
      <c r="BL70" s="238">
        <f t="shared" si="32"/>
        <v>0</v>
      </c>
      <c r="BM70" s="193">
        <v>21950.009999999998</v>
      </c>
      <c r="BN70" s="238">
        <f t="shared" si="33"/>
        <v>362175.16499999998</v>
      </c>
      <c r="BO70" s="193">
        <v>1274.1800000000001</v>
      </c>
      <c r="BP70" s="238">
        <f t="shared" si="34"/>
        <v>21023.970000000001</v>
      </c>
      <c r="BQ70" s="193">
        <v>0</v>
      </c>
      <c r="BR70" s="238">
        <f t="shared" si="35"/>
        <v>0</v>
      </c>
      <c r="BS70" s="225"/>
      <c r="BT70" s="239">
        <f t="shared" si="36"/>
        <v>145142.89999999999</v>
      </c>
      <c r="BU70" s="238">
        <f t="shared" si="40" ref="BU70:BU86">+BT70*$B70</f>
        <v>2394857.8500000001</v>
      </c>
    </row>
    <row r="71" spans="1:73" ht="14.25">
      <c r="A71" s="241">
        <v>2005</v>
      </c>
      <c r="B71" s="240">
        <f t="shared" si="39"/>
        <v>15.5</v>
      </c>
      <c r="C71" s="193">
        <v>0</v>
      </c>
      <c r="D71" s="238">
        <f t="shared" si="41" ref="D71:D86">+C71*$B71</f>
        <v>0</v>
      </c>
      <c r="E71" s="193">
        <v>4406.7299999999996</v>
      </c>
      <c r="F71" s="238">
        <f t="shared" si="42" ref="F71:F86">+E71*$B71</f>
        <v>68304.314999999988</v>
      </c>
      <c r="G71" s="193">
        <v>27.989999999999998</v>
      </c>
      <c r="H71" s="238">
        <f t="shared" si="43" ref="H71:H86">+G71*$B71</f>
        <v>433.84499999999997</v>
      </c>
      <c r="I71" s="193">
        <v>0</v>
      </c>
      <c r="J71" s="238">
        <f t="shared" si="44" ref="J71:J86">+I71*$B71</f>
        <v>0</v>
      </c>
      <c r="K71" s="193">
        <v>0</v>
      </c>
      <c r="L71" s="238">
        <f t="shared" si="45" ref="L71:L86">+K71*$B71</f>
        <v>0</v>
      </c>
      <c r="M71" s="193">
        <v>0</v>
      </c>
      <c r="N71" s="238">
        <f t="shared" si="46" ref="N71:N86">+M71*$B71</f>
        <v>0</v>
      </c>
      <c r="O71" s="193">
        <v>0</v>
      </c>
      <c r="P71" s="238">
        <f t="shared" si="47" ref="P71:P86">+O71*$B71</f>
        <v>0</v>
      </c>
      <c r="Q71" s="193">
        <v>4671.3999999999996</v>
      </c>
      <c r="R71" s="238">
        <f t="shared" si="48" ref="R71:R86">+Q71*$B71</f>
        <v>72406.699999999997</v>
      </c>
      <c r="S71" s="193">
        <v>0</v>
      </c>
      <c r="T71" s="238">
        <f t="shared" si="49" ref="T71:T86">+S71*$B71</f>
        <v>0</v>
      </c>
      <c r="U71" s="193">
        <v>0</v>
      </c>
      <c r="V71" s="238">
        <f t="shared" si="50" ref="V71:V86">+U71*$B71</f>
        <v>0</v>
      </c>
      <c r="W71" s="193">
        <v>31306.610000000001</v>
      </c>
      <c r="X71" s="238">
        <f t="shared" si="51" ref="X71:X86">+W71*$B71</f>
        <v>485252.45500000002</v>
      </c>
      <c r="Y71" s="193">
        <v>0</v>
      </c>
      <c r="Z71" s="238">
        <f t="shared" si="52" ref="Z71:Z86">+Y71*$B71</f>
        <v>0</v>
      </c>
      <c r="AA71" s="193">
        <v>0</v>
      </c>
      <c r="AB71" s="238">
        <f t="shared" si="53" ref="AB71:AB86">+AA71*$B71</f>
        <v>0</v>
      </c>
      <c r="AC71" s="193">
        <v>0</v>
      </c>
      <c r="AD71" s="238">
        <f t="shared" si="54" ref="AD71:AD86">+AC71*$B71</f>
        <v>0</v>
      </c>
      <c r="AE71" s="193">
        <v>0</v>
      </c>
      <c r="AF71" s="238">
        <f t="shared" si="55" ref="AF71:AF86">+AE71*$B71</f>
        <v>0</v>
      </c>
      <c r="AG71" s="193">
        <v>0</v>
      </c>
      <c r="AH71" s="238">
        <f t="shared" si="56" ref="AH71:AH86">+AG71*$B71</f>
        <v>0</v>
      </c>
      <c r="AI71" s="193">
        <v>0</v>
      </c>
      <c r="AJ71" s="238">
        <f t="shared" si="57" ref="AJ71:AJ86">+AI71*$B71</f>
        <v>0</v>
      </c>
      <c r="AK71" s="193">
        <v>0</v>
      </c>
      <c r="AL71" s="238">
        <f t="shared" si="58" ref="AL71:AL86">+AK71*$B71</f>
        <v>0</v>
      </c>
      <c r="AM71" s="193">
        <v>0</v>
      </c>
      <c r="AN71" s="238">
        <f t="shared" si="59" ref="AN71:AN86">+AM71*$B71</f>
        <v>0</v>
      </c>
      <c r="AO71" s="193">
        <v>745.49000000000001</v>
      </c>
      <c r="AP71" s="238">
        <f t="shared" si="60" ref="AP71:AP86">+AO71*$B71</f>
        <v>11555.094999999999</v>
      </c>
      <c r="AQ71" s="193">
        <v>116932.92999999999</v>
      </c>
      <c r="AR71" s="238">
        <f t="shared" si="61" ref="AR71:AR86">+AQ71*$B71</f>
        <v>1812460.4149999998</v>
      </c>
      <c r="AS71" s="193">
        <v>0</v>
      </c>
      <c r="AT71" s="238">
        <f t="shared" si="62" ref="AT71:AT86">+AS71*$B71</f>
        <v>0</v>
      </c>
      <c r="AU71" s="193">
        <v>29742.25</v>
      </c>
      <c r="AV71" s="238">
        <f t="shared" si="63" ref="AV71:AV86">+AU71*$B71</f>
        <v>461004.875</v>
      </c>
      <c r="AW71" s="193">
        <v>0</v>
      </c>
      <c r="AX71" s="238">
        <f t="shared" si="64" ref="AX71:AX86">+AW71*$B71</f>
        <v>0</v>
      </c>
      <c r="AY71" s="193">
        <v>0</v>
      </c>
      <c r="AZ71" s="238">
        <f t="shared" si="65" ref="AZ71:AZ86">+AY71*$B71</f>
        <v>0</v>
      </c>
      <c r="BA71" s="193">
        <v>0</v>
      </c>
      <c r="BB71" s="238">
        <f t="shared" si="66" ref="BB71:BB86">+BA71*$B71</f>
        <v>0</v>
      </c>
      <c r="BC71" s="193">
        <v>0</v>
      </c>
      <c r="BD71" s="238">
        <f t="shared" si="67" ref="BD71:BD86">+BC71*$B71</f>
        <v>0</v>
      </c>
      <c r="BE71" s="193">
        <v>0</v>
      </c>
      <c r="BF71" s="238">
        <f t="shared" si="68" ref="BF71:BF86">+BE71*$B71</f>
        <v>0</v>
      </c>
      <c r="BG71" s="193">
        <v>43520.620000000003</v>
      </c>
      <c r="BH71" s="238">
        <f t="shared" si="69" ref="BH71:BH86">+BG71*$B71</f>
        <v>674569.60999999999</v>
      </c>
      <c r="BI71" s="193">
        <v>0</v>
      </c>
      <c r="BJ71" s="238">
        <f t="shared" si="70" ref="BJ71:BJ86">+BI71*$B71</f>
        <v>0</v>
      </c>
      <c r="BK71" s="193">
        <v>2237.96</v>
      </c>
      <c r="BL71" s="238">
        <f t="shared" si="71" ref="BL71:BL86">+BK71*$B71</f>
        <v>34688.379999999997</v>
      </c>
      <c r="BM71" s="193">
        <v>104595.84</v>
      </c>
      <c r="BN71" s="238">
        <f t="shared" si="72" ref="BN71:BN86">+BM71*$B71</f>
        <v>1621235.52</v>
      </c>
      <c r="BO71" s="193">
        <v>0</v>
      </c>
      <c r="BP71" s="238">
        <f t="shared" si="73" ref="BP71:BP86">+BO71*$B71</f>
        <v>0</v>
      </c>
      <c r="BQ71" s="193">
        <v>6545.5699999999997</v>
      </c>
      <c r="BR71" s="238">
        <f t="shared" si="74" ref="BR71:BR86">+BQ71*$B71</f>
        <v>101456.33499999999</v>
      </c>
      <c r="BS71" s="225"/>
      <c r="BT71" s="239">
        <f t="shared" si="75" ref="BT71:BT86">+BO71+BM71+BK71+BG71+BE71+BC71+AY71+AW71+AS71+AQ71+AO71+AM71+AK71+AI71+AG71+AE71+AA71+C71+E71+G71+I71+M71+O71+Q71+S71+W71+BQ71+AC71+Y71+BI71+BA71+K71+U71+AU71</f>
        <v>344733.38999999996</v>
      </c>
      <c r="BU71" s="238">
        <f t="shared" si="40"/>
        <v>5343367.544999999</v>
      </c>
    </row>
    <row r="72" spans="1:73" ht="14.25">
      <c r="A72" s="241">
        <v>2006</v>
      </c>
      <c r="B72" s="240">
        <f t="shared" si="39"/>
        <v>14.5</v>
      </c>
      <c r="C72" s="193">
        <v>0</v>
      </c>
      <c r="D72" s="238">
        <f t="shared" si="41"/>
        <v>0</v>
      </c>
      <c r="E72" s="193">
        <v>5812.7700000000004</v>
      </c>
      <c r="F72" s="238">
        <f t="shared" si="42"/>
        <v>84285.165000000008</v>
      </c>
      <c r="G72" s="193">
        <v>0</v>
      </c>
      <c r="H72" s="238">
        <f t="shared" si="43"/>
        <v>0</v>
      </c>
      <c r="I72" s="193">
        <v>0</v>
      </c>
      <c r="J72" s="238">
        <f t="shared" si="44"/>
        <v>0</v>
      </c>
      <c r="K72" s="193">
        <v>0</v>
      </c>
      <c r="L72" s="238">
        <f t="shared" si="45"/>
        <v>0</v>
      </c>
      <c r="M72" s="193">
        <v>0</v>
      </c>
      <c r="N72" s="238">
        <f t="shared" si="46"/>
        <v>0</v>
      </c>
      <c r="O72" s="193">
        <v>0</v>
      </c>
      <c r="P72" s="238">
        <f t="shared" si="47"/>
        <v>0</v>
      </c>
      <c r="Q72" s="193">
        <v>6595.5500000000002</v>
      </c>
      <c r="R72" s="238">
        <f t="shared" si="48"/>
        <v>95635.475000000006</v>
      </c>
      <c r="S72" s="193">
        <v>0</v>
      </c>
      <c r="T72" s="238">
        <f t="shared" si="49"/>
        <v>0</v>
      </c>
      <c r="U72" s="193">
        <v>0</v>
      </c>
      <c r="V72" s="238">
        <f t="shared" si="50"/>
        <v>0</v>
      </c>
      <c r="W72" s="193">
        <v>4787.8500000000004</v>
      </c>
      <c r="X72" s="238">
        <f t="shared" si="51"/>
        <v>69423.825000000012</v>
      </c>
      <c r="Y72" s="193">
        <v>0</v>
      </c>
      <c r="Z72" s="238">
        <f t="shared" si="52"/>
        <v>0</v>
      </c>
      <c r="AA72" s="193">
        <v>0</v>
      </c>
      <c r="AB72" s="238">
        <f t="shared" si="53"/>
        <v>0</v>
      </c>
      <c r="AC72" s="193">
        <v>0</v>
      </c>
      <c r="AD72" s="238">
        <f t="shared" si="54"/>
        <v>0</v>
      </c>
      <c r="AE72" s="193">
        <v>0</v>
      </c>
      <c r="AF72" s="238">
        <f t="shared" si="55"/>
        <v>0</v>
      </c>
      <c r="AG72" s="193">
        <v>0</v>
      </c>
      <c r="AH72" s="238">
        <f t="shared" si="56"/>
        <v>0</v>
      </c>
      <c r="AI72" s="193">
        <v>0</v>
      </c>
      <c r="AJ72" s="238">
        <f t="shared" si="57"/>
        <v>0</v>
      </c>
      <c r="AK72" s="193">
        <v>0</v>
      </c>
      <c r="AL72" s="238">
        <f t="shared" si="58"/>
        <v>0</v>
      </c>
      <c r="AM72" s="193">
        <v>3488.9400000000001</v>
      </c>
      <c r="AN72" s="238">
        <f t="shared" si="59"/>
        <v>50589.629999999997</v>
      </c>
      <c r="AO72" s="193">
        <v>13420.219999999999</v>
      </c>
      <c r="AP72" s="238">
        <f t="shared" si="60"/>
        <v>194593.19</v>
      </c>
      <c r="AQ72" s="193">
        <v>108631.42</v>
      </c>
      <c r="AR72" s="238">
        <f t="shared" si="61"/>
        <v>1575155.5900000001</v>
      </c>
      <c r="AS72" s="193">
        <v>24687.130000000001</v>
      </c>
      <c r="AT72" s="238">
        <f t="shared" si="62"/>
        <v>357963.38500000001</v>
      </c>
      <c r="AU72" s="193">
        <v>410020.21000000002</v>
      </c>
      <c r="AV72" s="238">
        <f t="shared" si="63"/>
        <v>5945293.0449999999</v>
      </c>
      <c r="AW72" s="193">
        <v>0</v>
      </c>
      <c r="AX72" s="238">
        <f t="shared" si="64"/>
        <v>0</v>
      </c>
      <c r="AY72" s="193">
        <v>0</v>
      </c>
      <c r="AZ72" s="238">
        <f t="shared" si="65"/>
        <v>0</v>
      </c>
      <c r="BA72" s="193">
        <v>0</v>
      </c>
      <c r="BB72" s="238">
        <f t="shared" si="66"/>
        <v>0</v>
      </c>
      <c r="BC72" s="193">
        <v>0</v>
      </c>
      <c r="BD72" s="238">
        <f t="shared" si="67"/>
        <v>0</v>
      </c>
      <c r="BE72" s="193">
        <v>0</v>
      </c>
      <c r="BF72" s="238">
        <f t="shared" si="68"/>
        <v>0</v>
      </c>
      <c r="BG72" s="193">
        <v>0</v>
      </c>
      <c r="BH72" s="238">
        <f t="shared" si="69"/>
        <v>0</v>
      </c>
      <c r="BI72" s="193">
        <v>0</v>
      </c>
      <c r="BJ72" s="238">
        <f t="shared" si="70"/>
        <v>0</v>
      </c>
      <c r="BK72" s="193">
        <v>20466.639999999999</v>
      </c>
      <c r="BL72" s="238">
        <f t="shared" si="71"/>
        <v>296766.27999999997</v>
      </c>
      <c r="BM72" s="193">
        <v>35694.610000000001</v>
      </c>
      <c r="BN72" s="238">
        <f t="shared" si="72"/>
        <v>517571.84500000003</v>
      </c>
      <c r="BO72" s="193">
        <v>2915.1300000000001</v>
      </c>
      <c r="BP72" s="238">
        <f t="shared" si="73"/>
        <v>42269.385000000002</v>
      </c>
      <c r="BQ72" s="193">
        <v>10180.17</v>
      </c>
      <c r="BR72" s="238">
        <f t="shared" si="74"/>
        <v>147612.465</v>
      </c>
      <c r="BS72" s="225"/>
      <c r="BT72" s="239">
        <f t="shared" si="75"/>
        <v>646700.64000000001</v>
      </c>
      <c r="BU72" s="238">
        <f t="shared" si="40"/>
        <v>9377159.2799999993</v>
      </c>
    </row>
    <row r="73" spans="1:73" ht="14.25">
      <c r="A73" s="241">
        <v>2007</v>
      </c>
      <c r="B73" s="240">
        <f t="shared" si="39"/>
        <v>13.5</v>
      </c>
      <c r="C73" s="193">
        <v>0</v>
      </c>
      <c r="D73" s="238">
        <f t="shared" si="41"/>
        <v>0</v>
      </c>
      <c r="E73" s="193">
        <v>0</v>
      </c>
      <c r="F73" s="238">
        <f t="shared" si="42"/>
        <v>0</v>
      </c>
      <c r="G73" s="193">
        <v>0</v>
      </c>
      <c r="H73" s="238">
        <f t="shared" si="43"/>
        <v>0</v>
      </c>
      <c r="I73" s="193">
        <v>0</v>
      </c>
      <c r="J73" s="238">
        <f t="shared" si="44"/>
        <v>0</v>
      </c>
      <c r="K73" s="193">
        <v>0</v>
      </c>
      <c r="L73" s="238">
        <f t="shared" si="45"/>
        <v>0</v>
      </c>
      <c r="M73" s="193">
        <v>0</v>
      </c>
      <c r="N73" s="238">
        <f t="shared" si="46"/>
        <v>0</v>
      </c>
      <c r="O73" s="193">
        <v>0</v>
      </c>
      <c r="P73" s="238">
        <f t="shared" si="47"/>
        <v>0</v>
      </c>
      <c r="Q73" s="193">
        <v>11344.75</v>
      </c>
      <c r="R73" s="238">
        <f t="shared" si="48"/>
        <v>153154.125</v>
      </c>
      <c r="S73" s="193">
        <v>0</v>
      </c>
      <c r="T73" s="238">
        <f t="shared" si="49"/>
        <v>0</v>
      </c>
      <c r="U73" s="193">
        <v>0</v>
      </c>
      <c r="V73" s="238">
        <f t="shared" si="50"/>
        <v>0</v>
      </c>
      <c r="W73" s="193">
        <v>16926.959999999999</v>
      </c>
      <c r="X73" s="238">
        <f t="shared" si="51"/>
        <v>228513.95999999999</v>
      </c>
      <c r="Y73" s="193">
        <v>0</v>
      </c>
      <c r="Z73" s="238">
        <f t="shared" si="52"/>
        <v>0</v>
      </c>
      <c r="AA73" s="193">
        <v>0</v>
      </c>
      <c r="AB73" s="238">
        <f t="shared" si="53"/>
        <v>0</v>
      </c>
      <c r="AC73" s="193">
        <v>0</v>
      </c>
      <c r="AD73" s="238">
        <f t="shared" si="54"/>
        <v>0</v>
      </c>
      <c r="AE73" s="193">
        <v>0</v>
      </c>
      <c r="AF73" s="238">
        <f t="shared" si="55"/>
        <v>0</v>
      </c>
      <c r="AG73" s="193">
        <v>0</v>
      </c>
      <c r="AH73" s="238">
        <f t="shared" si="56"/>
        <v>0</v>
      </c>
      <c r="AI73" s="193">
        <v>0</v>
      </c>
      <c r="AJ73" s="238">
        <f t="shared" si="57"/>
        <v>0</v>
      </c>
      <c r="AK73" s="193">
        <v>0</v>
      </c>
      <c r="AL73" s="238">
        <f t="shared" si="58"/>
        <v>0</v>
      </c>
      <c r="AM73" s="193">
        <v>4398.5799999999999</v>
      </c>
      <c r="AN73" s="238">
        <f t="shared" si="59"/>
        <v>59380.830000000002</v>
      </c>
      <c r="AO73" s="193">
        <v>7348.5</v>
      </c>
      <c r="AP73" s="238">
        <f t="shared" si="60"/>
        <v>99204.75</v>
      </c>
      <c r="AQ73" s="193">
        <v>89417.509999999995</v>
      </c>
      <c r="AR73" s="238">
        <f t="shared" si="61"/>
        <v>1207136.385</v>
      </c>
      <c r="AS73" s="193">
        <v>3158.2800000000002</v>
      </c>
      <c r="AT73" s="238">
        <f t="shared" si="62"/>
        <v>42636.780000000006</v>
      </c>
      <c r="AU73" s="193">
        <v>45658.32</v>
      </c>
      <c r="AV73" s="238">
        <f t="shared" si="63"/>
        <v>616387.31999999995</v>
      </c>
      <c r="AW73" s="193">
        <v>0</v>
      </c>
      <c r="AX73" s="238">
        <f t="shared" si="64"/>
        <v>0</v>
      </c>
      <c r="AY73" s="193">
        <v>36325.529999999999</v>
      </c>
      <c r="AZ73" s="238">
        <f t="shared" si="65"/>
        <v>490394.65499999997</v>
      </c>
      <c r="BA73" s="193">
        <v>0</v>
      </c>
      <c r="BB73" s="238">
        <f t="shared" si="66"/>
        <v>0</v>
      </c>
      <c r="BC73" s="193">
        <v>0</v>
      </c>
      <c r="BD73" s="238">
        <f t="shared" si="67"/>
        <v>0</v>
      </c>
      <c r="BE73" s="193">
        <v>0</v>
      </c>
      <c r="BF73" s="238">
        <f t="shared" si="68"/>
        <v>0</v>
      </c>
      <c r="BG73" s="193">
        <v>19795.16</v>
      </c>
      <c r="BH73" s="238">
        <f t="shared" si="69"/>
        <v>267234.65999999997</v>
      </c>
      <c r="BI73" s="193">
        <v>0</v>
      </c>
      <c r="BJ73" s="238">
        <f t="shared" si="70"/>
        <v>0</v>
      </c>
      <c r="BK73" s="193">
        <v>0</v>
      </c>
      <c r="BL73" s="238">
        <f t="shared" si="71"/>
        <v>0</v>
      </c>
      <c r="BM73" s="193">
        <v>41250.010000000002</v>
      </c>
      <c r="BN73" s="238">
        <f t="shared" si="72"/>
        <v>556875.13500000001</v>
      </c>
      <c r="BO73" s="193">
        <v>0</v>
      </c>
      <c r="BP73" s="238">
        <f t="shared" si="73"/>
        <v>0</v>
      </c>
      <c r="BQ73" s="193">
        <v>0</v>
      </c>
      <c r="BR73" s="238">
        <f t="shared" si="74"/>
        <v>0</v>
      </c>
      <c r="BS73" s="225"/>
      <c r="BT73" s="239">
        <f t="shared" si="75"/>
        <v>275623.59999999998</v>
      </c>
      <c r="BU73" s="238">
        <f t="shared" si="40"/>
        <v>3720918.5999999996</v>
      </c>
    </row>
    <row r="74" spans="1:73" ht="14.25">
      <c r="A74" s="241">
        <v>2008</v>
      </c>
      <c r="B74" s="240">
        <f t="shared" si="39"/>
        <v>12.5</v>
      </c>
      <c r="C74" s="193">
        <v>0</v>
      </c>
      <c r="D74" s="238">
        <f t="shared" si="41"/>
        <v>0</v>
      </c>
      <c r="E74" s="193">
        <v>6819.0799999999999</v>
      </c>
      <c r="F74" s="238">
        <f t="shared" si="42"/>
        <v>85238.5</v>
      </c>
      <c r="G74" s="193">
        <v>0</v>
      </c>
      <c r="H74" s="238">
        <f t="shared" si="43"/>
        <v>0</v>
      </c>
      <c r="I74" s="193">
        <v>0</v>
      </c>
      <c r="J74" s="238">
        <f t="shared" si="44"/>
        <v>0</v>
      </c>
      <c r="K74" s="193">
        <v>0</v>
      </c>
      <c r="L74" s="238">
        <f t="shared" si="45"/>
        <v>0</v>
      </c>
      <c r="M74" s="193">
        <v>0</v>
      </c>
      <c r="N74" s="238">
        <f t="shared" si="46"/>
        <v>0</v>
      </c>
      <c r="O74" s="193">
        <v>0</v>
      </c>
      <c r="P74" s="238">
        <f t="shared" si="47"/>
        <v>0</v>
      </c>
      <c r="Q74" s="193">
        <v>6403.1099999999997</v>
      </c>
      <c r="R74" s="238">
        <f t="shared" si="48"/>
        <v>80038.875</v>
      </c>
      <c r="S74" s="193">
        <v>0</v>
      </c>
      <c r="T74" s="238">
        <f t="shared" si="49"/>
        <v>0</v>
      </c>
      <c r="U74" s="193">
        <v>0</v>
      </c>
      <c r="V74" s="238">
        <f t="shared" si="50"/>
        <v>0</v>
      </c>
      <c r="W74" s="193">
        <v>2284.6799999999998</v>
      </c>
      <c r="X74" s="238">
        <f t="shared" si="51"/>
        <v>28558.499999999996</v>
      </c>
      <c r="Y74" s="193">
        <v>0</v>
      </c>
      <c r="Z74" s="238">
        <f t="shared" si="52"/>
        <v>0</v>
      </c>
      <c r="AA74" s="193">
        <v>0</v>
      </c>
      <c r="AB74" s="238">
        <f t="shared" si="53"/>
        <v>0</v>
      </c>
      <c r="AC74" s="193">
        <v>0</v>
      </c>
      <c r="AD74" s="238">
        <f t="shared" si="54"/>
        <v>0</v>
      </c>
      <c r="AE74" s="193">
        <v>0</v>
      </c>
      <c r="AF74" s="238">
        <f t="shared" si="55"/>
        <v>0</v>
      </c>
      <c r="AG74" s="193">
        <v>0</v>
      </c>
      <c r="AH74" s="238">
        <f t="shared" si="56"/>
        <v>0</v>
      </c>
      <c r="AI74" s="193">
        <v>0</v>
      </c>
      <c r="AJ74" s="238">
        <f t="shared" si="57"/>
        <v>0</v>
      </c>
      <c r="AK74" s="193">
        <v>0</v>
      </c>
      <c r="AL74" s="238">
        <f t="shared" si="58"/>
        <v>0</v>
      </c>
      <c r="AM74" s="193">
        <v>0</v>
      </c>
      <c r="AN74" s="238">
        <f t="shared" si="59"/>
        <v>0</v>
      </c>
      <c r="AO74" s="193">
        <v>3401.5</v>
      </c>
      <c r="AP74" s="238">
        <f t="shared" si="60"/>
        <v>42518.75</v>
      </c>
      <c r="AQ74" s="193">
        <v>238767.95000000001</v>
      </c>
      <c r="AR74" s="238">
        <f t="shared" si="61"/>
        <v>2984599.375</v>
      </c>
      <c r="AS74" s="193">
        <v>3912.98</v>
      </c>
      <c r="AT74" s="238">
        <f t="shared" si="62"/>
        <v>48912.25</v>
      </c>
      <c r="AU74" s="193">
        <v>67577.449999999997</v>
      </c>
      <c r="AV74" s="238">
        <f t="shared" si="63"/>
        <v>844718.125</v>
      </c>
      <c r="AW74" s="193">
        <v>0</v>
      </c>
      <c r="AX74" s="238">
        <f t="shared" si="64"/>
        <v>0</v>
      </c>
      <c r="AY74" s="193">
        <v>27497.900000000001</v>
      </c>
      <c r="AZ74" s="238">
        <f t="shared" si="65"/>
        <v>343723.75</v>
      </c>
      <c r="BA74" s="193">
        <v>0</v>
      </c>
      <c r="BB74" s="238">
        <f t="shared" si="66"/>
        <v>0</v>
      </c>
      <c r="BC74" s="193">
        <v>0</v>
      </c>
      <c r="BD74" s="238">
        <f t="shared" si="67"/>
        <v>0</v>
      </c>
      <c r="BE74" s="193">
        <v>0</v>
      </c>
      <c r="BF74" s="238">
        <f t="shared" si="68"/>
        <v>0</v>
      </c>
      <c r="BG74" s="193">
        <v>314.18000000000001</v>
      </c>
      <c r="BH74" s="238">
        <f t="shared" si="69"/>
        <v>3927.25</v>
      </c>
      <c r="BI74" s="193">
        <v>0</v>
      </c>
      <c r="BJ74" s="238">
        <f t="shared" si="70"/>
        <v>0</v>
      </c>
      <c r="BK74" s="193">
        <v>0</v>
      </c>
      <c r="BL74" s="238">
        <f t="shared" si="71"/>
        <v>0</v>
      </c>
      <c r="BM74" s="193">
        <v>0</v>
      </c>
      <c r="BN74" s="238">
        <f t="shared" si="72"/>
        <v>0</v>
      </c>
      <c r="BO74" s="193">
        <v>0</v>
      </c>
      <c r="BP74" s="238">
        <f t="shared" si="73"/>
        <v>0</v>
      </c>
      <c r="BQ74" s="193">
        <v>2001.0999999999999</v>
      </c>
      <c r="BR74" s="238">
        <f t="shared" si="74"/>
        <v>25013.75</v>
      </c>
      <c r="BS74" s="225"/>
      <c r="BT74" s="239">
        <f t="shared" si="75"/>
        <v>358979.92999999999</v>
      </c>
      <c r="BU74" s="238">
        <f t="shared" si="40"/>
        <v>4487249.125</v>
      </c>
    </row>
    <row r="75" spans="1:73" ht="14.25">
      <c r="A75" s="241">
        <v>2009</v>
      </c>
      <c r="B75" s="240">
        <f t="shared" si="39"/>
        <v>11.5</v>
      </c>
      <c r="C75" s="193">
        <v>0</v>
      </c>
      <c r="D75" s="238">
        <f t="shared" si="41"/>
        <v>0</v>
      </c>
      <c r="E75" s="193">
        <v>0</v>
      </c>
      <c r="F75" s="238">
        <f t="shared" si="42"/>
        <v>0</v>
      </c>
      <c r="G75" s="193">
        <v>0</v>
      </c>
      <c r="H75" s="238">
        <f t="shared" si="43"/>
        <v>0</v>
      </c>
      <c r="I75" s="193">
        <v>35084.669999999998</v>
      </c>
      <c r="J75" s="238">
        <f t="shared" si="44"/>
        <v>403473.70499999996</v>
      </c>
      <c r="K75" s="193">
        <v>0</v>
      </c>
      <c r="L75" s="238">
        <f t="shared" si="45"/>
        <v>0</v>
      </c>
      <c r="M75" s="193">
        <v>0</v>
      </c>
      <c r="N75" s="238">
        <f t="shared" si="46"/>
        <v>0</v>
      </c>
      <c r="O75" s="193">
        <v>0</v>
      </c>
      <c r="P75" s="238">
        <f t="shared" si="47"/>
        <v>0</v>
      </c>
      <c r="Q75" s="193">
        <v>2306.2800000000002</v>
      </c>
      <c r="R75" s="238">
        <f t="shared" si="48"/>
        <v>26522.220000000001</v>
      </c>
      <c r="S75" s="193">
        <v>0</v>
      </c>
      <c r="T75" s="238">
        <f t="shared" si="49"/>
        <v>0</v>
      </c>
      <c r="U75" s="193">
        <v>0</v>
      </c>
      <c r="V75" s="238">
        <f t="shared" si="50"/>
        <v>0</v>
      </c>
      <c r="W75" s="193">
        <v>12953.74</v>
      </c>
      <c r="X75" s="238">
        <f t="shared" si="51"/>
        <v>148968.01000000001</v>
      </c>
      <c r="Y75" s="193">
        <v>0</v>
      </c>
      <c r="Z75" s="238">
        <f t="shared" si="52"/>
        <v>0</v>
      </c>
      <c r="AA75" s="193">
        <v>0</v>
      </c>
      <c r="AB75" s="238">
        <f t="shared" si="53"/>
        <v>0</v>
      </c>
      <c r="AC75" s="193">
        <v>0</v>
      </c>
      <c r="AD75" s="238">
        <f t="shared" si="54"/>
        <v>0</v>
      </c>
      <c r="AE75" s="193">
        <v>0</v>
      </c>
      <c r="AF75" s="238">
        <f t="shared" si="55"/>
        <v>0</v>
      </c>
      <c r="AG75" s="193">
        <v>0</v>
      </c>
      <c r="AH75" s="238">
        <f t="shared" si="56"/>
        <v>0</v>
      </c>
      <c r="AI75" s="193">
        <v>0</v>
      </c>
      <c r="AJ75" s="238">
        <f t="shared" si="57"/>
        <v>0</v>
      </c>
      <c r="AK75" s="193">
        <v>5939.4300000000003</v>
      </c>
      <c r="AL75" s="238">
        <f t="shared" si="58"/>
        <v>68303.445000000007</v>
      </c>
      <c r="AM75" s="193">
        <v>2653.75</v>
      </c>
      <c r="AN75" s="238">
        <f t="shared" si="59"/>
        <v>30518.125</v>
      </c>
      <c r="AO75" s="193">
        <v>0</v>
      </c>
      <c r="AP75" s="238">
        <f t="shared" si="60"/>
        <v>0</v>
      </c>
      <c r="AQ75" s="193">
        <v>68884.37000000001</v>
      </c>
      <c r="AR75" s="238">
        <f t="shared" si="61"/>
        <v>792170.25500000012</v>
      </c>
      <c r="AS75" s="193">
        <v>0</v>
      </c>
      <c r="AT75" s="238">
        <f t="shared" si="62"/>
        <v>0</v>
      </c>
      <c r="AU75" s="193">
        <v>53429.32</v>
      </c>
      <c r="AV75" s="238">
        <f t="shared" si="63"/>
        <v>614437.18000000005</v>
      </c>
      <c r="AW75" s="193">
        <v>0</v>
      </c>
      <c r="AX75" s="238">
        <f t="shared" si="64"/>
        <v>0</v>
      </c>
      <c r="AY75" s="193">
        <v>22704.48</v>
      </c>
      <c r="AZ75" s="238">
        <f t="shared" si="65"/>
        <v>261101.51999999999</v>
      </c>
      <c r="BA75" s="193">
        <v>0</v>
      </c>
      <c r="BB75" s="238">
        <f t="shared" si="66"/>
        <v>0</v>
      </c>
      <c r="BC75" s="193">
        <v>0</v>
      </c>
      <c r="BD75" s="238">
        <f t="shared" si="67"/>
        <v>0</v>
      </c>
      <c r="BE75" s="193">
        <v>0</v>
      </c>
      <c r="BF75" s="238">
        <f t="shared" si="68"/>
        <v>0</v>
      </c>
      <c r="BG75" s="193">
        <v>0</v>
      </c>
      <c r="BH75" s="238">
        <f t="shared" si="69"/>
        <v>0</v>
      </c>
      <c r="BI75" s="193">
        <v>0</v>
      </c>
      <c r="BJ75" s="238">
        <f t="shared" si="70"/>
        <v>0</v>
      </c>
      <c r="BK75" s="193">
        <v>0</v>
      </c>
      <c r="BL75" s="238">
        <f t="shared" si="71"/>
        <v>0</v>
      </c>
      <c r="BM75" s="193">
        <v>0</v>
      </c>
      <c r="BN75" s="238">
        <f t="shared" si="72"/>
        <v>0</v>
      </c>
      <c r="BO75" s="193">
        <v>0</v>
      </c>
      <c r="BP75" s="238">
        <f t="shared" si="73"/>
        <v>0</v>
      </c>
      <c r="BQ75" s="193">
        <v>0</v>
      </c>
      <c r="BR75" s="238">
        <f t="shared" si="74"/>
        <v>0</v>
      </c>
      <c r="BS75" s="225"/>
      <c r="BT75" s="239">
        <f t="shared" si="75"/>
        <v>203956.04000000001</v>
      </c>
      <c r="BU75" s="238">
        <f t="shared" si="40"/>
        <v>2345494.46</v>
      </c>
    </row>
    <row r="76" spans="1:73" ht="14.25">
      <c r="A76" s="241">
        <v>2010</v>
      </c>
      <c r="B76" s="240">
        <f t="shared" si="39"/>
        <v>10.5</v>
      </c>
      <c r="C76" s="193">
        <v>0</v>
      </c>
      <c r="D76" s="238">
        <f t="shared" si="41"/>
        <v>0</v>
      </c>
      <c r="E76" s="193">
        <v>0</v>
      </c>
      <c r="F76" s="238">
        <f t="shared" si="42"/>
        <v>0</v>
      </c>
      <c r="G76" s="193">
        <v>2692.9099999999999</v>
      </c>
      <c r="H76" s="238">
        <f t="shared" si="43"/>
        <v>28275.555</v>
      </c>
      <c r="I76" s="193">
        <v>0</v>
      </c>
      <c r="J76" s="238">
        <f t="shared" si="44"/>
        <v>0</v>
      </c>
      <c r="K76" s="193">
        <v>0</v>
      </c>
      <c r="L76" s="238">
        <f t="shared" si="45"/>
        <v>0</v>
      </c>
      <c r="M76" s="193">
        <v>0</v>
      </c>
      <c r="N76" s="238">
        <f t="shared" si="46"/>
        <v>0</v>
      </c>
      <c r="O76" s="193">
        <v>0</v>
      </c>
      <c r="P76" s="238">
        <f t="shared" si="47"/>
        <v>0</v>
      </c>
      <c r="Q76" s="193">
        <v>5485.9300000000003</v>
      </c>
      <c r="R76" s="238">
        <f t="shared" si="48"/>
        <v>57602.264999999999</v>
      </c>
      <c r="S76" s="193">
        <v>0</v>
      </c>
      <c r="T76" s="238">
        <f t="shared" si="49"/>
        <v>0</v>
      </c>
      <c r="U76" s="193">
        <v>0</v>
      </c>
      <c r="V76" s="238">
        <f t="shared" si="50"/>
        <v>0</v>
      </c>
      <c r="W76" s="193">
        <v>2400.2799999999997</v>
      </c>
      <c r="X76" s="238">
        <f t="shared" si="51"/>
        <v>25202.939999999999</v>
      </c>
      <c r="Y76" s="193">
        <v>0</v>
      </c>
      <c r="Z76" s="238">
        <f t="shared" si="52"/>
        <v>0</v>
      </c>
      <c r="AA76" s="193">
        <v>0</v>
      </c>
      <c r="AB76" s="238">
        <f t="shared" si="53"/>
        <v>0</v>
      </c>
      <c r="AC76" s="193">
        <v>0</v>
      </c>
      <c r="AD76" s="238">
        <f t="shared" si="54"/>
        <v>0</v>
      </c>
      <c r="AE76" s="193">
        <v>0</v>
      </c>
      <c r="AF76" s="238">
        <f t="shared" si="55"/>
        <v>0</v>
      </c>
      <c r="AG76" s="193">
        <v>0</v>
      </c>
      <c r="AH76" s="238">
        <f t="shared" si="56"/>
        <v>0</v>
      </c>
      <c r="AI76" s="193">
        <v>0</v>
      </c>
      <c r="AJ76" s="238">
        <f t="shared" si="57"/>
        <v>0</v>
      </c>
      <c r="AK76" s="193">
        <v>0</v>
      </c>
      <c r="AL76" s="238">
        <f t="shared" si="58"/>
        <v>0</v>
      </c>
      <c r="AM76" s="193">
        <v>590.88999999999999</v>
      </c>
      <c r="AN76" s="238">
        <f t="shared" si="59"/>
        <v>6204.3450000000003</v>
      </c>
      <c r="AO76" s="193">
        <v>0</v>
      </c>
      <c r="AP76" s="238">
        <f t="shared" si="60"/>
        <v>0</v>
      </c>
      <c r="AQ76" s="193">
        <v>31230.5</v>
      </c>
      <c r="AR76" s="238">
        <f t="shared" si="61"/>
        <v>327920.25</v>
      </c>
      <c r="AS76" s="193">
        <v>0</v>
      </c>
      <c r="AT76" s="238">
        <f t="shared" si="62"/>
        <v>0</v>
      </c>
      <c r="AU76" s="193">
        <v>571543.43000000005</v>
      </c>
      <c r="AV76" s="238">
        <f t="shared" si="63"/>
        <v>6001206.0150000006</v>
      </c>
      <c r="AW76" s="193">
        <v>0</v>
      </c>
      <c r="AX76" s="238">
        <f t="shared" si="64"/>
        <v>0</v>
      </c>
      <c r="AY76" s="193">
        <v>0</v>
      </c>
      <c r="AZ76" s="238">
        <f t="shared" si="65"/>
        <v>0</v>
      </c>
      <c r="BA76" s="193">
        <v>0</v>
      </c>
      <c r="BB76" s="238">
        <f t="shared" si="66"/>
        <v>0</v>
      </c>
      <c r="BC76" s="193">
        <v>0</v>
      </c>
      <c r="BD76" s="238">
        <f t="shared" si="67"/>
        <v>0</v>
      </c>
      <c r="BE76" s="193">
        <v>0</v>
      </c>
      <c r="BF76" s="238">
        <f t="shared" si="68"/>
        <v>0</v>
      </c>
      <c r="BG76" s="193">
        <v>0</v>
      </c>
      <c r="BH76" s="238">
        <f t="shared" si="69"/>
        <v>0</v>
      </c>
      <c r="BI76" s="193">
        <v>0</v>
      </c>
      <c r="BJ76" s="238">
        <f t="shared" si="70"/>
        <v>0</v>
      </c>
      <c r="BK76" s="193">
        <v>0</v>
      </c>
      <c r="BL76" s="238">
        <f t="shared" si="71"/>
        <v>0</v>
      </c>
      <c r="BM76" s="193">
        <v>0</v>
      </c>
      <c r="BN76" s="238">
        <f t="shared" si="72"/>
        <v>0</v>
      </c>
      <c r="BO76" s="193">
        <v>3699.4000000000001</v>
      </c>
      <c r="BP76" s="238">
        <f t="shared" si="73"/>
        <v>38843.700000000004</v>
      </c>
      <c r="BQ76" s="193">
        <v>0</v>
      </c>
      <c r="BR76" s="238">
        <f t="shared" si="74"/>
        <v>0</v>
      </c>
      <c r="BS76" s="225"/>
      <c r="BT76" s="239">
        <f t="shared" si="75"/>
        <v>617643.34000000008</v>
      </c>
      <c r="BU76" s="238">
        <f t="shared" si="40"/>
        <v>6485255.0700000012</v>
      </c>
    </row>
    <row r="77" spans="1:73" ht="14.25">
      <c r="A77" s="241">
        <v>2011</v>
      </c>
      <c r="B77" s="240">
        <f t="shared" si="39"/>
        <v>9.5</v>
      </c>
      <c r="C77" s="193">
        <v>0</v>
      </c>
      <c r="D77" s="238">
        <f t="shared" si="41"/>
        <v>0</v>
      </c>
      <c r="E77" s="193">
        <v>0</v>
      </c>
      <c r="F77" s="238">
        <f t="shared" si="42"/>
        <v>0</v>
      </c>
      <c r="G77" s="193">
        <v>0</v>
      </c>
      <c r="H77" s="238">
        <f t="shared" si="43"/>
        <v>0</v>
      </c>
      <c r="I77" s="193">
        <v>0</v>
      </c>
      <c r="J77" s="238">
        <f t="shared" si="44"/>
        <v>0</v>
      </c>
      <c r="K77" s="193">
        <v>0</v>
      </c>
      <c r="L77" s="238">
        <f t="shared" si="45"/>
        <v>0</v>
      </c>
      <c r="M77" s="193">
        <v>0</v>
      </c>
      <c r="N77" s="238">
        <f t="shared" si="46"/>
        <v>0</v>
      </c>
      <c r="O77" s="193">
        <v>0</v>
      </c>
      <c r="P77" s="238">
        <f t="shared" si="47"/>
        <v>0</v>
      </c>
      <c r="Q77" s="193">
        <v>20542.330000000002</v>
      </c>
      <c r="R77" s="238">
        <f t="shared" si="48"/>
        <v>195152.13500000001</v>
      </c>
      <c r="S77" s="193">
        <v>0</v>
      </c>
      <c r="T77" s="238">
        <f t="shared" si="49"/>
        <v>0</v>
      </c>
      <c r="U77" s="193">
        <v>0</v>
      </c>
      <c r="V77" s="238">
        <f t="shared" si="50"/>
        <v>0</v>
      </c>
      <c r="W77" s="193">
        <v>381.92000000000002</v>
      </c>
      <c r="X77" s="238">
        <f t="shared" si="51"/>
        <v>3628.2400000000002</v>
      </c>
      <c r="Y77" s="193">
        <v>0</v>
      </c>
      <c r="Z77" s="238">
        <f t="shared" si="52"/>
        <v>0</v>
      </c>
      <c r="AA77" s="193">
        <v>0</v>
      </c>
      <c r="AB77" s="238">
        <f t="shared" si="53"/>
        <v>0</v>
      </c>
      <c r="AC77" s="193">
        <v>0</v>
      </c>
      <c r="AD77" s="238">
        <f t="shared" si="54"/>
        <v>0</v>
      </c>
      <c r="AE77" s="193">
        <v>0</v>
      </c>
      <c r="AF77" s="238">
        <f t="shared" si="55"/>
        <v>0</v>
      </c>
      <c r="AG77" s="193">
        <v>0</v>
      </c>
      <c r="AH77" s="238">
        <f t="shared" si="56"/>
        <v>0</v>
      </c>
      <c r="AI77" s="193">
        <v>0</v>
      </c>
      <c r="AJ77" s="238">
        <f t="shared" si="57"/>
        <v>0</v>
      </c>
      <c r="AK77" s="193">
        <v>0</v>
      </c>
      <c r="AL77" s="238">
        <f t="shared" si="58"/>
        <v>0</v>
      </c>
      <c r="AM77" s="193">
        <v>0</v>
      </c>
      <c r="AN77" s="238">
        <f t="shared" si="59"/>
        <v>0</v>
      </c>
      <c r="AO77" s="193">
        <v>0</v>
      </c>
      <c r="AP77" s="238">
        <f t="shared" si="60"/>
        <v>0</v>
      </c>
      <c r="AQ77" s="193">
        <v>0</v>
      </c>
      <c r="AR77" s="238">
        <f t="shared" si="61"/>
        <v>0</v>
      </c>
      <c r="AS77" s="193">
        <v>0</v>
      </c>
      <c r="AT77" s="238">
        <f t="shared" si="62"/>
        <v>0</v>
      </c>
      <c r="AU77" s="193">
        <v>0</v>
      </c>
      <c r="AV77" s="238">
        <f t="shared" si="63"/>
        <v>0</v>
      </c>
      <c r="AW77" s="193">
        <v>0</v>
      </c>
      <c r="AX77" s="238">
        <f t="shared" si="64"/>
        <v>0</v>
      </c>
      <c r="AY77" s="193">
        <v>0</v>
      </c>
      <c r="AZ77" s="238">
        <f t="shared" si="65"/>
        <v>0</v>
      </c>
      <c r="BA77" s="193">
        <v>0</v>
      </c>
      <c r="BB77" s="238">
        <f t="shared" si="66"/>
        <v>0</v>
      </c>
      <c r="BC77" s="193">
        <v>0</v>
      </c>
      <c r="BD77" s="238">
        <f t="shared" si="67"/>
        <v>0</v>
      </c>
      <c r="BE77" s="193">
        <v>0</v>
      </c>
      <c r="BF77" s="238">
        <f t="shared" si="68"/>
        <v>0</v>
      </c>
      <c r="BG77" s="193">
        <v>1241.96</v>
      </c>
      <c r="BH77" s="238">
        <f t="shared" si="69"/>
        <v>11798.620000000001</v>
      </c>
      <c r="BI77" s="193">
        <v>0</v>
      </c>
      <c r="BJ77" s="238">
        <f t="shared" si="70"/>
        <v>0</v>
      </c>
      <c r="BK77" s="193">
        <v>0</v>
      </c>
      <c r="BL77" s="238">
        <f t="shared" si="71"/>
        <v>0</v>
      </c>
      <c r="BM77" s="193">
        <v>0</v>
      </c>
      <c r="BN77" s="238">
        <f t="shared" si="72"/>
        <v>0</v>
      </c>
      <c r="BO77" s="193">
        <v>0</v>
      </c>
      <c r="BP77" s="238">
        <f t="shared" si="73"/>
        <v>0</v>
      </c>
      <c r="BQ77" s="193">
        <v>0</v>
      </c>
      <c r="BR77" s="238">
        <f t="shared" si="74"/>
        <v>0</v>
      </c>
      <c r="BS77" s="225"/>
      <c r="BT77" s="239">
        <f t="shared" si="75"/>
        <v>22166.209999999999</v>
      </c>
      <c r="BU77" s="238">
        <f t="shared" si="40"/>
        <v>210578.995</v>
      </c>
    </row>
    <row r="78" spans="1:73" ht="14.25">
      <c r="A78" s="241">
        <v>2012</v>
      </c>
      <c r="B78" s="240">
        <f t="shared" si="39"/>
        <v>8.5</v>
      </c>
      <c r="C78" s="193">
        <v>0</v>
      </c>
      <c r="D78" s="238">
        <f t="shared" si="41"/>
        <v>0</v>
      </c>
      <c r="E78" s="193">
        <v>0</v>
      </c>
      <c r="F78" s="238">
        <f t="shared" si="42"/>
        <v>0</v>
      </c>
      <c r="G78" s="193">
        <v>0</v>
      </c>
      <c r="H78" s="238">
        <f t="shared" si="43"/>
        <v>0</v>
      </c>
      <c r="I78" s="193">
        <v>0</v>
      </c>
      <c r="J78" s="238">
        <f t="shared" si="44"/>
        <v>0</v>
      </c>
      <c r="K78" s="193">
        <v>0</v>
      </c>
      <c r="L78" s="238">
        <f t="shared" si="45"/>
        <v>0</v>
      </c>
      <c r="M78" s="193">
        <v>0</v>
      </c>
      <c r="N78" s="238">
        <f t="shared" si="46"/>
        <v>0</v>
      </c>
      <c r="O78" s="193">
        <v>0</v>
      </c>
      <c r="P78" s="238">
        <f t="shared" si="47"/>
        <v>0</v>
      </c>
      <c r="Q78" s="193">
        <v>6707.1700000000001</v>
      </c>
      <c r="R78" s="238">
        <f t="shared" si="48"/>
        <v>57010.945</v>
      </c>
      <c r="S78" s="193">
        <v>0</v>
      </c>
      <c r="T78" s="238">
        <f t="shared" si="49"/>
        <v>0</v>
      </c>
      <c r="U78" s="193">
        <v>0</v>
      </c>
      <c r="V78" s="238">
        <f t="shared" si="50"/>
        <v>0</v>
      </c>
      <c r="W78" s="193">
        <v>1100.24</v>
      </c>
      <c r="X78" s="238">
        <f t="shared" si="51"/>
        <v>9352.0400000000009</v>
      </c>
      <c r="Y78" s="193">
        <v>0</v>
      </c>
      <c r="Z78" s="238">
        <f t="shared" si="52"/>
        <v>0</v>
      </c>
      <c r="AA78" s="193">
        <v>0</v>
      </c>
      <c r="AB78" s="238">
        <f t="shared" si="53"/>
        <v>0</v>
      </c>
      <c r="AC78" s="193">
        <v>0</v>
      </c>
      <c r="AD78" s="238">
        <f t="shared" si="54"/>
        <v>0</v>
      </c>
      <c r="AE78" s="193">
        <v>0</v>
      </c>
      <c r="AF78" s="238">
        <f t="shared" si="55"/>
        <v>0</v>
      </c>
      <c r="AG78" s="193">
        <v>0</v>
      </c>
      <c r="AH78" s="238">
        <f t="shared" si="56"/>
        <v>0</v>
      </c>
      <c r="AI78" s="193">
        <v>0</v>
      </c>
      <c r="AJ78" s="238">
        <f t="shared" si="57"/>
        <v>0</v>
      </c>
      <c r="AK78" s="193">
        <v>0</v>
      </c>
      <c r="AL78" s="238">
        <f t="shared" si="58"/>
        <v>0</v>
      </c>
      <c r="AM78" s="193">
        <v>0</v>
      </c>
      <c r="AN78" s="238">
        <f t="shared" si="59"/>
        <v>0</v>
      </c>
      <c r="AO78" s="193">
        <v>1941.6800000000001</v>
      </c>
      <c r="AP78" s="238">
        <f t="shared" si="60"/>
        <v>16504.279999999999</v>
      </c>
      <c r="AQ78" s="193">
        <v>0</v>
      </c>
      <c r="AR78" s="238">
        <f t="shared" si="61"/>
        <v>0</v>
      </c>
      <c r="AS78" s="193">
        <v>0</v>
      </c>
      <c r="AT78" s="238">
        <f t="shared" si="62"/>
        <v>0</v>
      </c>
      <c r="AU78" s="193">
        <v>0</v>
      </c>
      <c r="AV78" s="238">
        <f t="shared" si="63"/>
        <v>0</v>
      </c>
      <c r="AW78" s="193">
        <v>0</v>
      </c>
      <c r="AX78" s="238">
        <f t="shared" si="64"/>
        <v>0</v>
      </c>
      <c r="AY78" s="193">
        <v>0</v>
      </c>
      <c r="AZ78" s="238">
        <f t="shared" si="65"/>
        <v>0</v>
      </c>
      <c r="BA78" s="193">
        <v>0</v>
      </c>
      <c r="BB78" s="238">
        <f t="shared" si="66"/>
        <v>0</v>
      </c>
      <c r="BC78" s="193">
        <v>0</v>
      </c>
      <c r="BD78" s="238">
        <f t="shared" si="67"/>
        <v>0</v>
      </c>
      <c r="BE78" s="193">
        <v>0</v>
      </c>
      <c r="BF78" s="238">
        <f t="shared" si="68"/>
        <v>0</v>
      </c>
      <c r="BG78" s="193">
        <v>0</v>
      </c>
      <c r="BH78" s="238">
        <f t="shared" si="69"/>
        <v>0</v>
      </c>
      <c r="BI78" s="193">
        <v>0</v>
      </c>
      <c r="BJ78" s="238">
        <f t="shared" si="70"/>
        <v>0</v>
      </c>
      <c r="BK78" s="193">
        <v>-3200</v>
      </c>
      <c r="BL78" s="238">
        <f t="shared" si="71"/>
        <v>-27200</v>
      </c>
      <c r="BM78" s="193">
        <v>0</v>
      </c>
      <c r="BN78" s="238">
        <f t="shared" si="72"/>
        <v>0</v>
      </c>
      <c r="BO78" s="193">
        <v>0</v>
      </c>
      <c r="BP78" s="238">
        <f t="shared" si="73"/>
        <v>0</v>
      </c>
      <c r="BQ78" s="193">
        <v>0</v>
      </c>
      <c r="BR78" s="238">
        <f t="shared" si="74"/>
        <v>0</v>
      </c>
      <c r="BS78" s="225"/>
      <c r="BT78" s="239">
        <f t="shared" si="75"/>
        <v>6549.0900000000001</v>
      </c>
      <c r="BU78" s="238">
        <f t="shared" si="40"/>
        <v>55667.264999999999</v>
      </c>
    </row>
    <row r="79" spans="1:73" ht="14.25">
      <c r="A79" s="241">
        <v>2013</v>
      </c>
      <c r="B79" s="240">
        <f t="shared" si="39"/>
        <v>7.5</v>
      </c>
      <c r="C79" s="193">
        <v>0</v>
      </c>
      <c r="D79" s="238">
        <f t="shared" si="41"/>
        <v>0</v>
      </c>
      <c r="E79" s="193">
        <v>0</v>
      </c>
      <c r="F79" s="238">
        <f t="shared" si="42"/>
        <v>0</v>
      </c>
      <c r="G79" s="193">
        <v>0</v>
      </c>
      <c r="H79" s="238">
        <f t="shared" si="43"/>
        <v>0</v>
      </c>
      <c r="I79" s="193">
        <v>0</v>
      </c>
      <c r="J79" s="238">
        <f t="shared" si="44"/>
        <v>0</v>
      </c>
      <c r="K79" s="193">
        <v>0</v>
      </c>
      <c r="L79" s="238">
        <f t="shared" si="45"/>
        <v>0</v>
      </c>
      <c r="M79" s="193">
        <v>0</v>
      </c>
      <c r="N79" s="238">
        <f t="shared" si="46"/>
        <v>0</v>
      </c>
      <c r="O79" s="193">
        <v>0</v>
      </c>
      <c r="P79" s="238">
        <f t="shared" si="47"/>
        <v>0</v>
      </c>
      <c r="Q79" s="193">
        <v>11763.98</v>
      </c>
      <c r="R79" s="238">
        <f t="shared" si="48"/>
        <v>88229.849999999991</v>
      </c>
      <c r="S79" s="193">
        <v>0</v>
      </c>
      <c r="T79" s="238">
        <f t="shared" si="49"/>
        <v>0</v>
      </c>
      <c r="U79" s="193">
        <v>0</v>
      </c>
      <c r="V79" s="238">
        <f t="shared" si="50"/>
        <v>0</v>
      </c>
      <c r="W79" s="193">
        <v>1197.6900000000001</v>
      </c>
      <c r="X79" s="238">
        <f t="shared" si="51"/>
        <v>8982.6750000000011</v>
      </c>
      <c r="Y79" s="193">
        <v>0</v>
      </c>
      <c r="Z79" s="238">
        <f t="shared" si="52"/>
        <v>0</v>
      </c>
      <c r="AA79" s="193">
        <v>0</v>
      </c>
      <c r="AB79" s="238">
        <f t="shared" si="53"/>
        <v>0</v>
      </c>
      <c r="AC79" s="193">
        <v>0</v>
      </c>
      <c r="AD79" s="238">
        <f t="shared" si="54"/>
        <v>0</v>
      </c>
      <c r="AE79" s="193">
        <v>0</v>
      </c>
      <c r="AF79" s="238">
        <f t="shared" si="55"/>
        <v>0</v>
      </c>
      <c r="AG79" s="193">
        <v>0</v>
      </c>
      <c r="AH79" s="238">
        <f t="shared" si="56"/>
        <v>0</v>
      </c>
      <c r="AI79" s="193">
        <v>0</v>
      </c>
      <c r="AJ79" s="238">
        <f t="shared" si="57"/>
        <v>0</v>
      </c>
      <c r="AK79" s="193">
        <v>3628.5300000000002</v>
      </c>
      <c r="AL79" s="238">
        <f t="shared" si="58"/>
        <v>27213.975000000002</v>
      </c>
      <c r="AM79" s="193">
        <v>6011.3199999999997</v>
      </c>
      <c r="AN79" s="238">
        <f t="shared" si="59"/>
        <v>45084.899999999994</v>
      </c>
      <c r="AO79" s="193">
        <v>1430.98</v>
      </c>
      <c r="AP79" s="238">
        <f t="shared" si="60"/>
        <v>10732.35</v>
      </c>
      <c r="AQ79" s="193">
        <v>0</v>
      </c>
      <c r="AR79" s="238">
        <f t="shared" si="61"/>
        <v>0</v>
      </c>
      <c r="AS79" s="193">
        <v>0</v>
      </c>
      <c r="AT79" s="238">
        <f t="shared" si="62"/>
        <v>0</v>
      </c>
      <c r="AU79" s="193">
        <v>0</v>
      </c>
      <c r="AV79" s="238">
        <f t="shared" si="63"/>
        <v>0</v>
      </c>
      <c r="AW79" s="193">
        <v>0</v>
      </c>
      <c r="AX79" s="238">
        <f t="shared" si="64"/>
        <v>0</v>
      </c>
      <c r="AY79" s="193">
        <v>0</v>
      </c>
      <c r="AZ79" s="238">
        <f t="shared" si="65"/>
        <v>0</v>
      </c>
      <c r="BA79" s="193">
        <v>0</v>
      </c>
      <c r="BB79" s="238">
        <f t="shared" si="66"/>
        <v>0</v>
      </c>
      <c r="BC79" s="193">
        <v>0</v>
      </c>
      <c r="BD79" s="238">
        <f t="shared" si="67"/>
        <v>0</v>
      </c>
      <c r="BE79" s="193">
        <v>0</v>
      </c>
      <c r="BF79" s="238">
        <f t="shared" si="68"/>
        <v>0</v>
      </c>
      <c r="BG79" s="193">
        <v>0</v>
      </c>
      <c r="BH79" s="238">
        <f t="shared" si="69"/>
        <v>0</v>
      </c>
      <c r="BI79" s="193">
        <v>0</v>
      </c>
      <c r="BJ79" s="238">
        <f t="shared" si="70"/>
        <v>0</v>
      </c>
      <c r="BK79" s="193">
        <v>0</v>
      </c>
      <c r="BL79" s="238">
        <f t="shared" si="71"/>
        <v>0</v>
      </c>
      <c r="BM79" s="193">
        <v>18479.040000000001</v>
      </c>
      <c r="BN79" s="238">
        <f t="shared" si="72"/>
        <v>138592.80000000002</v>
      </c>
      <c r="BO79" s="193">
        <v>0</v>
      </c>
      <c r="BP79" s="238">
        <f t="shared" si="73"/>
        <v>0</v>
      </c>
      <c r="BQ79" s="193">
        <v>0</v>
      </c>
      <c r="BR79" s="238">
        <f t="shared" si="74"/>
        <v>0</v>
      </c>
      <c r="BS79" s="225"/>
      <c r="BT79" s="239">
        <f t="shared" si="75"/>
        <v>42511.540000000001</v>
      </c>
      <c r="BU79" s="238">
        <f t="shared" si="40"/>
        <v>318836.54999999999</v>
      </c>
    </row>
    <row r="80" spans="1:73" ht="14.25">
      <c r="A80" s="241">
        <v>2014</v>
      </c>
      <c r="B80" s="240">
        <f t="shared" si="39"/>
        <v>6.5</v>
      </c>
      <c r="C80" s="193">
        <v>0</v>
      </c>
      <c r="D80" s="238">
        <f t="shared" si="41"/>
        <v>0</v>
      </c>
      <c r="E80" s="193">
        <v>4603</v>
      </c>
      <c r="F80" s="238">
        <f t="shared" si="42"/>
        <v>29919.5</v>
      </c>
      <c r="G80" s="193">
        <v>0</v>
      </c>
      <c r="H80" s="238">
        <f t="shared" si="43"/>
        <v>0</v>
      </c>
      <c r="I80" s="193">
        <v>0</v>
      </c>
      <c r="J80" s="238">
        <f t="shared" si="44"/>
        <v>0</v>
      </c>
      <c r="K80" s="193">
        <v>0</v>
      </c>
      <c r="L80" s="238">
        <f t="shared" si="45"/>
        <v>0</v>
      </c>
      <c r="M80" s="193">
        <v>0</v>
      </c>
      <c r="N80" s="238">
        <f t="shared" si="46"/>
        <v>0</v>
      </c>
      <c r="O80" s="193">
        <v>0</v>
      </c>
      <c r="P80" s="238">
        <f t="shared" si="47"/>
        <v>0</v>
      </c>
      <c r="Q80" s="193">
        <v>7176.9399999999996</v>
      </c>
      <c r="R80" s="238">
        <f t="shared" si="48"/>
        <v>46650.110000000001</v>
      </c>
      <c r="S80" s="193">
        <v>0</v>
      </c>
      <c r="T80" s="238">
        <f t="shared" si="49"/>
        <v>0</v>
      </c>
      <c r="U80" s="193">
        <v>0</v>
      </c>
      <c r="V80" s="238">
        <f t="shared" si="50"/>
        <v>0</v>
      </c>
      <c r="W80" s="193">
        <v>26414.689999999999</v>
      </c>
      <c r="X80" s="238">
        <f t="shared" si="51"/>
        <v>171695.48499999999</v>
      </c>
      <c r="Y80" s="193">
        <v>0</v>
      </c>
      <c r="Z80" s="238">
        <f t="shared" si="52"/>
        <v>0</v>
      </c>
      <c r="AA80" s="193">
        <v>0</v>
      </c>
      <c r="AB80" s="238">
        <f t="shared" si="53"/>
        <v>0</v>
      </c>
      <c r="AC80" s="193">
        <v>0</v>
      </c>
      <c r="AD80" s="238">
        <f t="shared" si="54"/>
        <v>0</v>
      </c>
      <c r="AE80" s="193">
        <v>0</v>
      </c>
      <c r="AF80" s="238">
        <f t="shared" si="55"/>
        <v>0</v>
      </c>
      <c r="AG80" s="193">
        <v>0</v>
      </c>
      <c r="AH80" s="238">
        <f t="shared" si="56"/>
        <v>0</v>
      </c>
      <c r="AI80" s="193">
        <v>0</v>
      </c>
      <c r="AJ80" s="238">
        <f t="shared" si="57"/>
        <v>0</v>
      </c>
      <c r="AK80" s="193">
        <v>0</v>
      </c>
      <c r="AL80" s="238">
        <f t="shared" si="58"/>
        <v>0</v>
      </c>
      <c r="AM80" s="193">
        <v>15589</v>
      </c>
      <c r="AN80" s="238">
        <f t="shared" si="59"/>
        <v>101328.5</v>
      </c>
      <c r="AO80" s="193">
        <v>0</v>
      </c>
      <c r="AP80" s="238">
        <f t="shared" si="60"/>
        <v>0</v>
      </c>
      <c r="AQ80" s="193">
        <v>0</v>
      </c>
      <c r="AR80" s="238">
        <f t="shared" si="61"/>
        <v>0</v>
      </c>
      <c r="AS80" s="193">
        <v>0</v>
      </c>
      <c r="AT80" s="238">
        <f t="shared" si="62"/>
        <v>0</v>
      </c>
      <c r="AU80" s="193">
        <v>0</v>
      </c>
      <c r="AV80" s="238">
        <f t="shared" si="63"/>
        <v>0</v>
      </c>
      <c r="AW80" s="193">
        <v>0</v>
      </c>
      <c r="AX80" s="238">
        <f t="shared" si="64"/>
        <v>0</v>
      </c>
      <c r="AY80" s="193">
        <v>0</v>
      </c>
      <c r="AZ80" s="238">
        <f t="shared" si="65"/>
        <v>0</v>
      </c>
      <c r="BA80" s="193">
        <v>0</v>
      </c>
      <c r="BB80" s="238">
        <f t="shared" si="66"/>
        <v>0</v>
      </c>
      <c r="BC80" s="193">
        <v>0</v>
      </c>
      <c r="BD80" s="238">
        <f t="shared" si="67"/>
        <v>0</v>
      </c>
      <c r="BE80" s="193">
        <v>0</v>
      </c>
      <c r="BF80" s="238">
        <f t="shared" si="68"/>
        <v>0</v>
      </c>
      <c r="BG80" s="193">
        <v>0</v>
      </c>
      <c r="BH80" s="238">
        <f t="shared" si="69"/>
        <v>0</v>
      </c>
      <c r="BI80" s="193">
        <v>0</v>
      </c>
      <c r="BJ80" s="238">
        <f t="shared" si="70"/>
        <v>0</v>
      </c>
      <c r="BK80" s="193">
        <v>0</v>
      </c>
      <c r="BL80" s="238">
        <f t="shared" si="71"/>
        <v>0</v>
      </c>
      <c r="BM80" s="193">
        <v>0</v>
      </c>
      <c r="BN80" s="238">
        <f t="shared" si="72"/>
        <v>0</v>
      </c>
      <c r="BO80" s="193">
        <v>0</v>
      </c>
      <c r="BP80" s="238">
        <f t="shared" si="73"/>
        <v>0</v>
      </c>
      <c r="BQ80" s="193">
        <v>0</v>
      </c>
      <c r="BR80" s="238">
        <f t="shared" si="74"/>
        <v>0</v>
      </c>
      <c r="BS80" s="225"/>
      <c r="BT80" s="239">
        <f t="shared" si="75"/>
        <v>53783.629999999997</v>
      </c>
      <c r="BU80" s="238">
        <f t="shared" si="40"/>
        <v>349593.59499999997</v>
      </c>
    </row>
    <row r="81" spans="1:73" ht="14.25">
      <c r="A81" s="241">
        <v>2015</v>
      </c>
      <c r="B81" s="240">
        <f t="shared" si="39"/>
        <v>5.5</v>
      </c>
      <c r="C81" s="193">
        <v>0</v>
      </c>
      <c r="D81" s="238">
        <f t="shared" si="41"/>
        <v>0</v>
      </c>
      <c r="E81" s="193">
        <v>0</v>
      </c>
      <c r="F81" s="238">
        <f t="shared" si="42"/>
        <v>0</v>
      </c>
      <c r="G81" s="193">
        <v>0</v>
      </c>
      <c r="H81" s="238">
        <f t="shared" si="43"/>
        <v>0</v>
      </c>
      <c r="I81" s="193">
        <v>0</v>
      </c>
      <c r="J81" s="238">
        <f t="shared" si="44"/>
        <v>0</v>
      </c>
      <c r="K81" s="193">
        <v>0</v>
      </c>
      <c r="L81" s="238">
        <f t="shared" si="45"/>
        <v>0</v>
      </c>
      <c r="M81" s="193">
        <v>0</v>
      </c>
      <c r="N81" s="238">
        <f t="shared" si="46"/>
        <v>0</v>
      </c>
      <c r="O81" s="193">
        <v>0</v>
      </c>
      <c r="P81" s="238">
        <f t="shared" si="47"/>
        <v>0</v>
      </c>
      <c r="Q81" s="193">
        <v>1061.1900000000001</v>
      </c>
      <c r="R81" s="238">
        <f t="shared" si="48"/>
        <v>5836.5450000000001</v>
      </c>
      <c r="S81" s="193">
        <v>0</v>
      </c>
      <c r="T81" s="238">
        <f t="shared" si="49"/>
        <v>0</v>
      </c>
      <c r="U81" s="193">
        <v>0</v>
      </c>
      <c r="V81" s="238">
        <f t="shared" si="50"/>
        <v>0</v>
      </c>
      <c r="W81" s="193">
        <v>5612.2299999999996</v>
      </c>
      <c r="X81" s="238">
        <f t="shared" si="51"/>
        <v>30867.264999999999</v>
      </c>
      <c r="Y81" s="193">
        <v>0</v>
      </c>
      <c r="Z81" s="238">
        <f t="shared" si="52"/>
        <v>0</v>
      </c>
      <c r="AA81" s="193">
        <v>0</v>
      </c>
      <c r="AB81" s="238">
        <f t="shared" si="53"/>
        <v>0</v>
      </c>
      <c r="AC81" s="193">
        <v>0</v>
      </c>
      <c r="AD81" s="238">
        <f t="shared" si="54"/>
        <v>0</v>
      </c>
      <c r="AE81" s="193">
        <v>0</v>
      </c>
      <c r="AF81" s="238">
        <f t="shared" si="55"/>
        <v>0</v>
      </c>
      <c r="AG81" s="193">
        <v>0</v>
      </c>
      <c r="AH81" s="238">
        <f t="shared" si="56"/>
        <v>0</v>
      </c>
      <c r="AI81" s="193">
        <v>0</v>
      </c>
      <c r="AJ81" s="238">
        <f t="shared" si="57"/>
        <v>0</v>
      </c>
      <c r="AK81" s="193">
        <v>0</v>
      </c>
      <c r="AL81" s="238">
        <f t="shared" si="58"/>
        <v>0</v>
      </c>
      <c r="AM81" s="193">
        <v>0</v>
      </c>
      <c r="AN81" s="238">
        <f t="shared" si="59"/>
        <v>0</v>
      </c>
      <c r="AO81" s="193">
        <v>0</v>
      </c>
      <c r="AP81" s="238">
        <f t="shared" si="60"/>
        <v>0</v>
      </c>
      <c r="AQ81" s="193">
        <v>0</v>
      </c>
      <c r="AR81" s="238">
        <f t="shared" si="61"/>
        <v>0</v>
      </c>
      <c r="AS81" s="193">
        <v>0</v>
      </c>
      <c r="AT81" s="238">
        <f t="shared" si="62"/>
        <v>0</v>
      </c>
      <c r="AU81" s="193">
        <v>0</v>
      </c>
      <c r="AV81" s="238">
        <f t="shared" si="63"/>
        <v>0</v>
      </c>
      <c r="AW81" s="193">
        <v>0</v>
      </c>
      <c r="AX81" s="238">
        <f t="shared" si="64"/>
        <v>0</v>
      </c>
      <c r="AY81" s="193">
        <v>43031.550000000003</v>
      </c>
      <c r="AZ81" s="238">
        <f t="shared" si="65"/>
        <v>236673.52500000002</v>
      </c>
      <c r="BA81" s="193">
        <v>0</v>
      </c>
      <c r="BB81" s="238">
        <f t="shared" si="66"/>
        <v>0</v>
      </c>
      <c r="BC81" s="193">
        <v>0</v>
      </c>
      <c r="BD81" s="238">
        <f t="shared" si="67"/>
        <v>0</v>
      </c>
      <c r="BE81" s="193">
        <v>0</v>
      </c>
      <c r="BF81" s="238">
        <f t="shared" si="68"/>
        <v>0</v>
      </c>
      <c r="BG81" s="193">
        <v>0</v>
      </c>
      <c r="BH81" s="238">
        <f t="shared" si="69"/>
        <v>0</v>
      </c>
      <c r="BI81" s="193">
        <v>0</v>
      </c>
      <c r="BJ81" s="238">
        <f t="shared" si="70"/>
        <v>0</v>
      </c>
      <c r="BK81" s="193">
        <v>0</v>
      </c>
      <c r="BL81" s="238">
        <f t="shared" si="71"/>
        <v>0</v>
      </c>
      <c r="BM81" s="193">
        <v>0</v>
      </c>
      <c r="BN81" s="238">
        <f t="shared" si="72"/>
        <v>0</v>
      </c>
      <c r="BO81" s="193">
        <v>0</v>
      </c>
      <c r="BP81" s="238">
        <f t="shared" si="73"/>
        <v>0</v>
      </c>
      <c r="BQ81" s="193">
        <v>0</v>
      </c>
      <c r="BR81" s="238">
        <f t="shared" si="74"/>
        <v>0</v>
      </c>
      <c r="BS81" s="225"/>
      <c r="BT81" s="239">
        <f t="shared" si="75"/>
        <v>49704.970000000001</v>
      </c>
      <c r="BU81" s="238">
        <f t="shared" si="40"/>
        <v>273377.33500000002</v>
      </c>
    </row>
    <row r="82" spans="1:73" ht="14.25">
      <c r="A82" s="241">
        <v>2016</v>
      </c>
      <c r="B82" s="240">
        <f t="shared" si="39"/>
        <v>4.5</v>
      </c>
      <c r="C82" s="193">
        <v>0</v>
      </c>
      <c r="D82" s="238">
        <f t="shared" si="41"/>
        <v>0</v>
      </c>
      <c r="E82" s="193">
        <v>39892.230000000003</v>
      </c>
      <c r="F82" s="238">
        <f t="shared" si="42"/>
        <v>179515.035</v>
      </c>
      <c r="G82" s="193">
        <v>0</v>
      </c>
      <c r="H82" s="238">
        <f t="shared" si="43"/>
        <v>0</v>
      </c>
      <c r="I82" s="193">
        <v>0</v>
      </c>
      <c r="J82" s="238">
        <f t="shared" si="44"/>
        <v>0</v>
      </c>
      <c r="K82" s="193">
        <v>0</v>
      </c>
      <c r="L82" s="238">
        <f t="shared" si="45"/>
        <v>0</v>
      </c>
      <c r="M82" s="193">
        <v>0</v>
      </c>
      <c r="N82" s="238">
        <f t="shared" si="46"/>
        <v>0</v>
      </c>
      <c r="O82" s="193">
        <v>0</v>
      </c>
      <c r="P82" s="238">
        <f t="shared" si="47"/>
        <v>0</v>
      </c>
      <c r="Q82" s="193">
        <v>3562.3600000000001</v>
      </c>
      <c r="R82" s="238">
        <f t="shared" si="48"/>
        <v>16030.620000000001</v>
      </c>
      <c r="S82" s="193">
        <v>0</v>
      </c>
      <c r="T82" s="238">
        <f t="shared" si="49"/>
        <v>0</v>
      </c>
      <c r="U82" s="193">
        <v>0</v>
      </c>
      <c r="V82" s="238">
        <f t="shared" si="50"/>
        <v>0</v>
      </c>
      <c r="W82" s="193">
        <v>14079.610000000001</v>
      </c>
      <c r="X82" s="238">
        <f t="shared" si="51"/>
        <v>63358.245000000003</v>
      </c>
      <c r="Y82" s="193">
        <v>0</v>
      </c>
      <c r="Z82" s="238">
        <f t="shared" si="52"/>
        <v>0</v>
      </c>
      <c r="AA82" s="193">
        <v>0</v>
      </c>
      <c r="AB82" s="238">
        <f t="shared" si="53"/>
        <v>0</v>
      </c>
      <c r="AC82" s="193">
        <v>0</v>
      </c>
      <c r="AD82" s="238">
        <f t="shared" si="54"/>
        <v>0</v>
      </c>
      <c r="AE82" s="193">
        <v>0</v>
      </c>
      <c r="AF82" s="238">
        <f t="shared" si="55"/>
        <v>0</v>
      </c>
      <c r="AG82" s="193">
        <v>0</v>
      </c>
      <c r="AH82" s="238">
        <f t="shared" si="56"/>
        <v>0</v>
      </c>
      <c r="AI82" s="193">
        <v>0</v>
      </c>
      <c r="AJ82" s="238">
        <f t="shared" si="57"/>
        <v>0</v>
      </c>
      <c r="AK82" s="193">
        <v>0</v>
      </c>
      <c r="AL82" s="238">
        <f t="shared" si="58"/>
        <v>0</v>
      </c>
      <c r="AM82" s="193">
        <v>0</v>
      </c>
      <c r="AN82" s="238">
        <f t="shared" si="59"/>
        <v>0</v>
      </c>
      <c r="AO82" s="193">
        <v>0</v>
      </c>
      <c r="AP82" s="238">
        <f t="shared" si="60"/>
        <v>0</v>
      </c>
      <c r="AQ82" s="193">
        <v>0</v>
      </c>
      <c r="AR82" s="238">
        <f t="shared" si="61"/>
        <v>0</v>
      </c>
      <c r="AS82" s="193">
        <v>0</v>
      </c>
      <c r="AT82" s="238">
        <f t="shared" si="62"/>
        <v>0</v>
      </c>
      <c r="AU82" s="193">
        <v>0</v>
      </c>
      <c r="AV82" s="238">
        <f t="shared" si="63"/>
        <v>0</v>
      </c>
      <c r="AW82" s="193">
        <v>0</v>
      </c>
      <c r="AX82" s="238">
        <f t="shared" si="64"/>
        <v>0</v>
      </c>
      <c r="AY82" s="193">
        <v>0</v>
      </c>
      <c r="AZ82" s="238">
        <f t="shared" si="65"/>
        <v>0</v>
      </c>
      <c r="BA82" s="193">
        <v>0</v>
      </c>
      <c r="BB82" s="238">
        <f t="shared" si="66"/>
        <v>0</v>
      </c>
      <c r="BC82" s="193">
        <v>0</v>
      </c>
      <c r="BD82" s="238">
        <f t="shared" si="67"/>
        <v>0</v>
      </c>
      <c r="BE82" s="193">
        <v>0</v>
      </c>
      <c r="BF82" s="238">
        <f t="shared" si="68"/>
        <v>0</v>
      </c>
      <c r="BG82" s="193">
        <v>0</v>
      </c>
      <c r="BH82" s="238">
        <f t="shared" si="69"/>
        <v>0</v>
      </c>
      <c r="BI82" s="193">
        <v>0</v>
      </c>
      <c r="BJ82" s="238">
        <f t="shared" si="70"/>
        <v>0</v>
      </c>
      <c r="BK82" s="193">
        <v>0</v>
      </c>
      <c r="BL82" s="238">
        <f t="shared" si="71"/>
        <v>0</v>
      </c>
      <c r="BM82" s="193">
        <v>0</v>
      </c>
      <c r="BN82" s="238">
        <f t="shared" si="72"/>
        <v>0</v>
      </c>
      <c r="BO82" s="193">
        <v>0</v>
      </c>
      <c r="BP82" s="238">
        <f t="shared" si="73"/>
        <v>0</v>
      </c>
      <c r="BQ82" s="193">
        <v>0</v>
      </c>
      <c r="BR82" s="238">
        <f t="shared" si="74"/>
        <v>0</v>
      </c>
      <c r="BS82" s="225"/>
      <c r="BT82" s="239">
        <f t="shared" si="75"/>
        <v>57534.200000000004</v>
      </c>
      <c r="BU82" s="238">
        <f t="shared" si="40"/>
        <v>258903.90000000002</v>
      </c>
    </row>
    <row r="83" spans="1:73" ht="14.25">
      <c r="A83" s="241">
        <v>2017</v>
      </c>
      <c r="B83" s="240">
        <f t="shared" si="39"/>
        <v>3.5</v>
      </c>
      <c r="C83" s="193">
        <v>0</v>
      </c>
      <c r="D83" s="238">
        <f t="shared" si="41"/>
        <v>0</v>
      </c>
      <c r="E83" s="193">
        <v>-0.02</v>
      </c>
      <c r="F83" s="238">
        <f t="shared" si="42"/>
        <v>-0.070000000000000007</v>
      </c>
      <c r="G83" s="193">
        <v>0</v>
      </c>
      <c r="H83" s="238">
        <f t="shared" si="43"/>
        <v>0</v>
      </c>
      <c r="I83" s="193">
        <v>0</v>
      </c>
      <c r="J83" s="238">
        <f t="shared" si="44"/>
        <v>0</v>
      </c>
      <c r="K83" s="193">
        <v>0</v>
      </c>
      <c r="L83" s="238">
        <f t="shared" si="45"/>
        <v>0</v>
      </c>
      <c r="M83" s="193">
        <v>0</v>
      </c>
      <c r="N83" s="238">
        <f t="shared" si="46"/>
        <v>0</v>
      </c>
      <c r="O83" s="193">
        <v>0</v>
      </c>
      <c r="P83" s="238">
        <f t="shared" si="47"/>
        <v>0</v>
      </c>
      <c r="Q83" s="193">
        <v>6235.1099999999997</v>
      </c>
      <c r="R83" s="238">
        <f t="shared" si="48"/>
        <v>21822.884999999998</v>
      </c>
      <c r="S83" s="193">
        <v>0</v>
      </c>
      <c r="T83" s="238">
        <f t="shared" si="49"/>
        <v>0</v>
      </c>
      <c r="U83" s="193">
        <v>0</v>
      </c>
      <c r="V83" s="238">
        <f t="shared" si="50"/>
        <v>0</v>
      </c>
      <c r="W83" s="193">
        <v>3410.0100000000002</v>
      </c>
      <c r="X83" s="238">
        <f t="shared" si="51"/>
        <v>11935.035</v>
      </c>
      <c r="Y83" s="193">
        <v>0</v>
      </c>
      <c r="Z83" s="238">
        <f t="shared" si="52"/>
        <v>0</v>
      </c>
      <c r="AA83" s="193">
        <v>0</v>
      </c>
      <c r="AB83" s="238">
        <f t="shared" si="53"/>
        <v>0</v>
      </c>
      <c r="AC83" s="193">
        <v>0</v>
      </c>
      <c r="AD83" s="238">
        <f t="shared" si="54"/>
        <v>0</v>
      </c>
      <c r="AE83" s="193">
        <v>0</v>
      </c>
      <c r="AF83" s="238">
        <f t="shared" si="55"/>
        <v>0</v>
      </c>
      <c r="AG83" s="193">
        <v>0</v>
      </c>
      <c r="AH83" s="238">
        <f t="shared" si="56"/>
        <v>0</v>
      </c>
      <c r="AI83" s="193">
        <v>0</v>
      </c>
      <c r="AJ83" s="238">
        <f t="shared" si="57"/>
        <v>0</v>
      </c>
      <c r="AK83" s="193">
        <v>0</v>
      </c>
      <c r="AL83" s="238">
        <f t="shared" si="58"/>
        <v>0</v>
      </c>
      <c r="AM83" s="193">
        <v>0</v>
      </c>
      <c r="AN83" s="238">
        <f t="shared" si="59"/>
        <v>0</v>
      </c>
      <c r="AO83" s="193">
        <v>5349.9799999999996</v>
      </c>
      <c r="AP83" s="238">
        <f t="shared" si="60"/>
        <v>18724.93</v>
      </c>
      <c r="AQ83" s="193">
        <v>0</v>
      </c>
      <c r="AR83" s="238">
        <f t="shared" si="61"/>
        <v>0</v>
      </c>
      <c r="AS83" s="193">
        <v>0</v>
      </c>
      <c r="AT83" s="238">
        <f t="shared" si="62"/>
        <v>0</v>
      </c>
      <c r="AU83" s="193">
        <v>0</v>
      </c>
      <c r="AV83" s="238">
        <f t="shared" si="63"/>
        <v>0</v>
      </c>
      <c r="AW83" s="193">
        <v>0</v>
      </c>
      <c r="AX83" s="238">
        <f t="shared" si="64"/>
        <v>0</v>
      </c>
      <c r="AY83" s="193">
        <v>0</v>
      </c>
      <c r="AZ83" s="238">
        <f t="shared" si="65"/>
        <v>0</v>
      </c>
      <c r="BA83" s="193">
        <v>0</v>
      </c>
      <c r="BB83" s="238">
        <f t="shared" si="66"/>
        <v>0</v>
      </c>
      <c r="BC83" s="193">
        <v>0</v>
      </c>
      <c r="BD83" s="238">
        <f t="shared" si="67"/>
        <v>0</v>
      </c>
      <c r="BE83" s="193">
        <v>0</v>
      </c>
      <c r="BF83" s="238">
        <f t="shared" si="68"/>
        <v>0</v>
      </c>
      <c r="BG83" s="193">
        <v>0</v>
      </c>
      <c r="BH83" s="238">
        <f t="shared" si="69"/>
        <v>0</v>
      </c>
      <c r="BI83" s="193">
        <v>0</v>
      </c>
      <c r="BJ83" s="238">
        <f t="shared" si="70"/>
        <v>0</v>
      </c>
      <c r="BK83" s="193">
        <v>0</v>
      </c>
      <c r="BL83" s="238">
        <f t="shared" si="71"/>
        <v>0</v>
      </c>
      <c r="BM83" s="193">
        <v>0</v>
      </c>
      <c r="BN83" s="238">
        <f t="shared" si="72"/>
        <v>0</v>
      </c>
      <c r="BO83" s="193">
        <v>0</v>
      </c>
      <c r="BP83" s="238">
        <f t="shared" si="73"/>
        <v>0</v>
      </c>
      <c r="BQ83" s="193">
        <v>0</v>
      </c>
      <c r="BR83" s="238">
        <f t="shared" si="74"/>
        <v>0</v>
      </c>
      <c r="BS83" s="225"/>
      <c r="BT83" s="239">
        <f t="shared" si="75"/>
        <v>14995.08</v>
      </c>
      <c r="BU83" s="238">
        <f t="shared" si="40"/>
        <v>52482.779999999999</v>
      </c>
    </row>
    <row r="84" spans="1:73" ht="14.25">
      <c r="A84" s="241">
        <v>2018</v>
      </c>
      <c r="B84" s="240">
        <f t="shared" si="39"/>
        <v>2.5</v>
      </c>
      <c r="C84" s="193">
        <v>0</v>
      </c>
      <c r="D84" s="238">
        <f t="shared" si="41"/>
        <v>0</v>
      </c>
      <c r="E84" s="193">
        <v>0</v>
      </c>
      <c r="F84" s="238">
        <f t="shared" si="42"/>
        <v>0</v>
      </c>
      <c r="G84" s="193">
        <v>0</v>
      </c>
      <c r="H84" s="238">
        <f t="shared" si="43"/>
        <v>0</v>
      </c>
      <c r="I84" s="193">
        <v>0</v>
      </c>
      <c r="J84" s="238">
        <f t="shared" si="44"/>
        <v>0</v>
      </c>
      <c r="K84" s="193">
        <v>0</v>
      </c>
      <c r="L84" s="238">
        <f t="shared" si="45"/>
        <v>0</v>
      </c>
      <c r="M84" s="193">
        <v>0</v>
      </c>
      <c r="N84" s="238">
        <f t="shared" si="46"/>
        <v>0</v>
      </c>
      <c r="O84" s="193">
        <v>0</v>
      </c>
      <c r="P84" s="238">
        <f t="shared" si="47"/>
        <v>0</v>
      </c>
      <c r="Q84" s="193">
        <v>11477.139999999999</v>
      </c>
      <c r="R84" s="238">
        <f t="shared" si="48"/>
        <v>28692.849999999999</v>
      </c>
      <c r="S84" s="193">
        <v>0</v>
      </c>
      <c r="T84" s="238">
        <f t="shared" si="49"/>
        <v>0</v>
      </c>
      <c r="U84" s="193">
        <v>0</v>
      </c>
      <c r="V84" s="238">
        <f t="shared" si="50"/>
        <v>0</v>
      </c>
      <c r="W84" s="193">
        <v>1323.8</v>
      </c>
      <c r="X84" s="238">
        <f t="shared" si="51"/>
        <v>3309.5</v>
      </c>
      <c r="Y84" s="193">
        <v>0</v>
      </c>
      <c r="Z84" s="238">
        <f t="shared" si="52"/>
        <v>0</v>
      </c>
      <c r="AA84" s="193">
        <v>0</v>
      </c>
      <c r="AB84" s="238">
        <f t="shared" si="53"/>
        <v>0</v>
      </c>
      <c r="AC84" s="193">
        <v>0</v>
      </c>
      <c r="AD84" s="238">
        <f t="shared" si="54"/>
        <v>0</v>
      </c>
      <c r="AE84" s="193">
        <v>0</v>
      </c>
      <c r="AF84" s="238">
        <f t="shared" si="55"/>
        <v>0</v>
      </c>
      <c r="AG84" s="193">
        <v>0</v>
      </c>
      <c r="AH84" s="238">
        <f t="shared" si="56"/>
        <v>0</v>
      </c>
      <c r="AI84" s="193">
        <v>0</v>
      </c>
      <c r="AJ84" s="238">
        <f t="shared" si="57"/>
        <v>0</v>
      </c>
      <c r="AK84" s="193">
        <v>0</v>
      </c>
      <c r="AL84" s="238">
        <f t="shared" si="58"/>
        <v>0</v>
      </c>
      <c r="AM84" s="193">
        <v>0</v>
      </c>
      <c r="AN84" s="238">
        <f t="shared" si="59"/>
        <v>0</v>
      </c>
      <c r="AO84" s="193">
        <v>0</v>
      </c>
      <c r="AP84" s="238">
        <f t="shared" si="60"/>
        <v>0</v>
      </c>
      <c r="AQ84" s="193">
        <v>0</v>
      </c>
      <c r="AR84" s="238">
        <f t="shared" si="61"/>
        <v>0</v>
      </c>
      <c r="AS84" s="193">
        <v>0</v>
      </c>
      <c r="AT84" s="238">
        <f t="shared" si="62"/>
        <v>0</v>
      </c>
      <c r="AU84" s="193">
        <v>0</v>
      </c>
      <c r="AV84" s="238">
        <f t="shared" si="63"/>
        <v>0</v>
      </c>
      <c r="AW84" s="193">
        <v>0</v>
      </c>
      <c r="AX84" s="238">
        <f t="shared" si="64"/>
        <v>0</v>
      </c>
      <c r="AY84" s="193">
        <v>0</v>
      </c>
      <c r="AZ84" s="238">
        <f t="shared" si="65"/>
        <v>0</v>
      </c>
      <c r="BA84" s="193">
        <v>0</v>
      </c>
      <c r="BB84" s="238">
        <f t="shared" si="66"/>
        <v>0</v>
      </c>
      <c r="BC84" s="193">
        <v>0</v>
      </c>
      <c r="BD84" s="238">
        <f t="shared" si="67"/>
        <v>0</v>
      </c>
      <c r="BE84" s="193">
        <v>0</v>
      </c>
      <c r="BF84" s="238">
        <f t="shared" si="68"/>
        <v>0</v>
      </c>
      <c r="BG84" s="193">
        <v>0</v>
      </c>
      <c r="BH84" s="238">
        <f t="shared" si="69"/>
        <v>0</v>
      </c>
      <c r="BI84" s="193">
        <v>0</v>
      </c>
      <c r="BJ84" s="238">
        <f t="shared" si="70"/>
        <v>0</v>
      </c>
      <c r="BK84" s="193">
        <v>0</v>
      </c>
      <c r="BL84" s="238">
        <f t="shared" si="71"/>
        <v>0</v>
      </c>
      <c r="BM84" s="193">
        <v>0</v>
      </c>
      <c r="BN84" s="238">
        <f t="shared" si="72"/>
        <v>0</v>
      </c>
      <c r="BO84" s="193">
        <v>2461</v>
      </c>
      <c r="BP84" s="238">
        <f t="shared" si="73"/>
        <v>6152.5</v>
      </c>
      <c r="BQ84" s="193">
        <v>0</v>
      </c>
      <c r="BR84" s="238">
        <f t="shared" si="74"/>
        <v>0</v>
      </c>
      <c r="BS84" s="225"/>
      <c r="BT84" s="239">
        <f t="shared" si="75"/>
        <v>15261.939999999999</v>
      </c>
      <c r="BU84" s="238">
        <f t="shared" si="40"/>
        <v>38154.849999999999</v>
      </c>
    </row>
    <row r="85" spans="1:73" ht="14.25">
      <c r="A85" s="241">
        <v>2019</v>
      </c>
      <c r="B85" s="240">
        <f t="shared" si="39"/>
        <v>1.5</v>
      </c>
      <c r="C85" s="193">
        <v>0</v>
      </c>
      <c r="D85" s="238">
        <f t="shared" si="41"/>
        <v>0</v>
      </c>
      <c r="E85" s="193">
        <v>0</v>
      </c>
      <c r="F85" s="238">
        <f t="shared" si="42"/>
        <v>0</v>
      </c>
      <c r="G85" s="193">
        <v>2628.9699999999998</v>
      </c>
      <c r="H85" s="238">
        <f t="shared" si="43"/>
        <v>3943.4549999999999</v>
      </c>
      <c r="I85" s="193">
        <v>0</v>
      </c>
      <c r="J85" s="238">
        <f t="shared" si="44"/>
        <v>0</v>
      </c>
      <c r="K85" s="193">
        <v>0</v>
      </c>
      <c r="L85" s="238">
        <f t="shared" si="45"/>
        <v>0</v>
      </c>
      <c r="M85" s="193">
        <v>0</v>
      </c>
      <c r="N85" s="238">
        <f t="shared" si="46"/>
        <v>0</v>
      </c>
      <c r="O85" s="193">
        <v>0</v>
      </c>
      <c r="P85" s="238">
        <f t="shared" si="47"/>
        <v>0</v>
      </c>
      <c r="Q85" s="193">
        <v>2157.8699999999999</v>
      </c>
      <c r="R85" s="238">
        <f t="shared" si="48"/>
        <v>3236.8049999999998</v>
      </c>
      <c r="S85" s="193">
        <v>0</v>
      </c>
      <c r="T85" s="238">
        <f t="shared" si="49"/>
        <v>0</v>
      </c>
      <c r="U85" s="193">
        <v>0</v>
      </c>
      <c r="V85" s="238">
        <f t="shared" si="50"/>
        <v>0</v>
      </c>
      <c r="W85" s="193">
        <v>795.98000000000002</v>
      </c>
      <c r="X85" s="238">
        <f t="shared" si="51"/>
        <v>1193.97</v>
      </c>
      <c r="Y85" s="193">
        <v>0</v>
      </c>
      <c r="Z85" s="238">
        <f t="shared" si="52"/>
        <v>0</v>
      </c>
      <c r="AA85" s="193">
        <v>0</v>
      </c>
      <c r="AB85" s="238">
        <f t="shared" si="53"/>
        <v>0</v>
      </c>
      <c r="AC85" s="193">
        <v>0</v>
      </c>
      <c r="AD85" s="238">
        <f t="shared" si="54"/>
        <v>0</v>
      </c>
      <c r="AE85" s="193">
        <v>0</v>
      </c>
      <c r="AF85" s="238">
        <f t="shared" si="55"/>
        <v>0</v>
      </c>
      <c r="AG85" s="193">
        <v>0</v>
      </c>
      <c r="AH85" s="238">
        <f t="shared" si="56"/>
        <v>0</v>
      </c>
      <c r="AI85" s="193">
        <v>0</v>
      </c>
      <c r="AJ85" s="238">
        <f t="shared" si="57"/>
        <v>0</v>
      </c>
      <c r="AK85" s="193">
        <v>0</v>
      </c>
      <c r="AL85" s="238">
        <f t="shared" si="58"/>
        <v>0</v>
      </c>
      <c r="AM85" s="193">
        <v>0</v>
      </c>
      <c r="AN85" s="238">
        <f t="shared" si="59"/>
        <v>0</v>
      </c>
      <c r="AO85" s="193">
        <v>0</v>
      </c>
      <c r="AP85" s="238">
        <f t="shared" si="60"/>
        <v>0</v>
      </c>
      <c r="AQ85" s="193">
        <v>0</v>
      </c>
      <c r="AR85" s="238">
        <f t="shared" si="61"/>
        <v>0</v>
      </c>
      <c r="AS85" s="193">
        <v>0</v>
      </c>
      <c r="AT85" s="238">
        <f t="shared" si="62"/>
        <v>0</v>
      </c>
      <c r="AU85" s="193">
        <v>0</v>
      </c>
      <c r="AV85" s="238">
        <f t="shared" si="63"/>
        <v>0</v>
      </c>
      <c r="AW85" s="193">
        <v>0</v>
      </c>
      <c r="AX85" s="238">
        <f t="shared" si="64"/>
        <v>0</v>
      </c>
      <c r="AY85" s="193">
        <v>0</v>
      </c>
      <c r="AZ85" s="238">
        <f t="shared" si="65"/>
        <v>0</v>
      </c>
      <c r="BA85" s="193">
        <v>0</v>
      </c>
      <c r="BB85" s="238">
        <f t="shared" si="66"/>
        <v>0</v>
      </c>
      <c r="BC85" s="193">
        <v>0</v>
      </c>
      <c r="BD85" s="238">
        <f t="shared" si="67"/>
        <v>0</v>
      </c>
      <c r="BE85" s="193">
        <v>0</v>
      </c>
      <c r="BF85" s="238">
        <f t="shared" si="68"/>
        <v>0</v>
      </c>
      <c r="BG85" s="193">
        <v>0</v>
      </c>
      <c r="BH85" s="238">
        <f t="shared" si="69"/>
        <v>0</v>
      </c>
      <c r="BI85" s="193">
        <v>0</v>
      </c>
      <c r="BJ85" s="238">
        <f t="shared" si="70"/>
        <v>0</v>
      </c>
      <c r="BK85" s="193">
        <v>0</v>
      </c>
      <c r="BL85" s="238">
        <f t="shared" si="71"/>
        <v>0</v>
      </c>
      <c r="BM85" s="193">
        <v>0</v>
      </c>
      <c r="BN85" s="238">
        <f t="shared" si="72"/>
        <v>0</v>
      </c>
      <c r="BO85" s="193">
        <v>0</v>
      </c>
      <c r="BP85" s="238">
        <f t="shared" si="73"/>
        <v>0</v>
      </c>
      <c r="BQ85" s="193">
        <v>0</v>
      </c>
      <c r="BR85" s="238">
        <f t="shared" si="74"/>
        <v>0</v>
      </c>
      <c r="BS85" s="225"/>
      <c r="BT85" s="239">
        <f t="shared" si="75"/>
        <v>5582.8199999999997</v>
      </c>
      <c r="BU85" s="238">
        <f t="shared" si="40"/>
        <v>8374.2299999999996</v>
      </c>
    </row>
    <row r="86" spans="1:73" ht="14.25">
      <c r="A86" s="241">
        <v>2020</v>
      </c>
      <c r="B86" s="240">
        <v>0.5</v>
      </c>
      <c r="C86" s="193">
        <v>0</v>
      </c>
      <c r="D86" s="238">
        <f t="shared" si="41"/>
        <v>0</v>
      </c>
      <c r="E86" s="193">
        <v>0</v>
      </c>
      <c r="F86" s="238">
        <f t="shared" si="42"/>
        <v>0</v>
      </c>
      <c r="G86" s="193">
        <v>0</v>
      </c>
      <c r="H86" s="238">
        <f t="shared" si="43"/>
        <v>0</v>
      </c>
      <c r="I86" s="193">
        <v>0</v>
      </c>
      <c r="J86" s="238">
        <f t="shared" si="44"/>
        <v>0</v>
      </c>
      <c r="K86" s="193">
        <v>0</v>
      </c>
      <c r="L86" s="238">
        <f t="shared" si="45"/>
        <v>0</v>
      </c>
      <c r="M86" s="193">
        <v>0</v>
      </c>
      <c r="N86" s="238">
        <f t="shared" si="46"/>
        <v>0</v>
      </c>
      <c r="O86" s="193">
        <v>0</v>
      </c>
      <c r="P86" s="238">
        <f t="shared" si="47"/>
        <v>0</v>
      </c>
      <c r="Q86" s="193">
        <v>0</v>
      </c>
      <c r="R86" s="238">
        <f t="shared" si="48"/>
        <v>0</v>
      </c>
      <c r="S86" s="193">
        <v>0</v>
      </c>
      <c r="T86" s="238">
        <f t="shared" si="49"/>
        <v>0</v>
      </c>
      <c r="U86" s="193">
        <v>0</v>
      </c>
      <c r="V86" s="238">
        <f t="shared" si="50"/>
        <v>0</v>
      </c>
      <c r="W86" s="193">
        <v>5677.5600000000004</v>
      </c>
      <c r="X86" s="238">
        <f t="shared" si="51"/>
        <v>2838.7800000000002</v>
      </c>
      <c r="Y86" s="193">
        <v>0</v>
      </c>
      <c r="Z86" s="238">
        <f t="shared" si="52"/>
        <v>0</v>
      </c>
      <c r="AA86" s="193">
        <v>0</v>
      </c>
      <c r="AB86" s="238">
        <f t="shared" si="53"/>
        <v>0</v>
      </c>
      <c r="AC86" s="193">
        <v>0</v>
      </c>
      <c r="AD86" s="238">
        <f t="shared" si="54"/>
        <v>0</v>
      </c>
      <c r="AE86" s="193">
        <v>0</v>
      </c>
      <c r="AF86" s="238">
        <f t="shared" si="55"/>
        <v>0</v>
      </c>
      <c r="AG86" s="193">
        <v>0</v>
      </c>
      <c r="AH86" s="238">
        <f t="shared" si="56"/>
        <v>0</v>
      </c>
      <c r="AI86" s="193">
        <v>0</v>
      </c>
      <c r="AJ86" s="238">
        <f t="shared" si="57"/>
        <v>0</v>
      </c>
      <c r="AK86" s="193">
        <v>0</v>
      </c>
      <c r="AL86" s="238">
        <f t="shared" si="58"/>
        <v>0</v>
      </c>
      <c r="AM86" s="193">
        <v>0</v>
      </c>
      <c r="AN86" s="238">
        <f t="shared" si="59"/>
        <v>0</v>
      </c>
      <c r="AO86" s="193">
        <v>0</v>
      </c>
      <c r="AP86" s="238">
        <f t="shared" si="60"/>
        <v>0</v>
      </c>
      <c r="AQ86" s="193">
        <v>0</v>
      </c>
      <c r="AR86" s="238">
        <f t="shared" si="61"/>
        <v>0</v>
      </c>
      <c r="AS86" s="193">
        <v>0</v>
      </c>
      <c r="AT86" s="238">
        <f t="shared" si="62"/>
        <v>0</v>
      </c>
      <c r="AU86" s="193">
        <v>0</v>
      </c>
      <c r="AV86" s="238">
        <f t="shared" si="63"/>
        <v>0</v>
      </c>
      <c r="AW86" s="193">
        <v>0</v>
      </c>
      <c r="AX86" s="238">
        <f t="shared" si="64"/>
        <v>0</v>
      </c>
      <c r="AY86" s="193">
        <v>0</v>
      </c>
      <c r="AZ86" s="238">
        <f t="shared" si="65"/>
        <v>0</v>
      </c>
      <c r="BA86" s="193">
        <v>0</v>
      </c>
      <c r="BB86" s="238">
        <f t="shared" si="66"/>
        <v>0</v>
      </c>
      <c r="BC86" s="193">
        <v>0</v>
      </c>
      <c r="BD86" s="238">
        <f t="shared" si="67"/>
        <v>0</v>
      </c>
      <c r="BE86" s="193">
        <v>0</v>
      </c>
      <c r="BF86" s="238">
        <f t="shared" si="68"/>
        <v>0</v>
      </c>
      <c r="BG86" s="193">
        <v>0</v>
      </c>
      <c r="BH86" s="238">
        <f t="shared" si="69"/>
        <v>0</v>
      </c>
      <c r="BI86" s="193">
        <v>0</v>
      </c>
      <c r="BJ86" s="238">
        <f t="shared" si="70"/>
        <v>0</v>
      </c>
      <c r="BK86" s="193">
        <v>0</v>
      </c>
      <c r="BL86" s="238">
        <f t="shared" si="71"/>
        <v>0</v>
      </c>
      <c r="BM86" s="193">
        <v>0</v>
      </c>
      <c r="BN86" s="238">
        <f t="shared" si="72"/>
        <v>0</v>
      </c>
      <c r="BO86" s="193">
        <v>0</v>
      </c>
      <c r="BP86" s="238">
        <f t="shared" si="73"/>
        <v>0</v>
      </c>
      <c r="BQ86" s="193">
        <v>0</v>
      </c>
      <c r="BR86" s="238">
        <f t="shared" si="74"/>
        <v>0</v>
      </c>
      <c r="BS86" s="225"/>
      <c r="BT86" s="239">
        <f t="shared" si="75"/>
        <v>5677.5600000000004</v>
      </c>
      <c r="BU86" s="238">
        <f t="shared" si="40"/>
        <v>2838.7800000000002</v>
      </c>
    </row>
    <row r="87" spans="1:73" ht="14.25">
      <c r="A87" s="237"/>
      <c r="B87" s="236"/>
      <c r="C87" s="235">
        <f>SUM(C6:C86)</f>
        <v>0</v>
      </c>
      <c r="D87" s="234"/>
      <c r="E87" s="235">
        <f>SUM(E6:E86)</f>
        <v>469221.81999999995</v>
      </c>
      <c r="F87" s="234"/>
      <c r="G87" s="235">
        <f>SUM(G6:G86)</f>
        <v>38011.009999999995</v>
      </c>
      <c r="H87" s="234"/>
      <c r="I87" s="235">
        <f>SUM(I6:I86)</f>
        <v>219489.83999999997</v>
      </c>
      <c r="J87" s="234"/>
      <c r="K87" s="235">
        <f>SUM(K6:K86)</f>
        <v>0</v>
      </c>
      <c r="L87" s="234"/>
      <c r="M87" s="235">
        <f>SUM(M6:M86)</f>
        <v>0</v>
      </c>
      <c r="N87" s="234"/>
      <c r="O87" s="235">
        <f>SUM(O6:O86)</f>
        <v>0</v>
      </c>
      <c r="P87" s="234"/>
      <c r="Q87" s="235">
        <f>SUM(Q6:Q86)</f>
        <v>522330.81000000011</v>
      </c>
      <c r="R87" s="234"/>
      <c r="S87" s="235">
        <f>SUM(S6:S86)</f>
        <v>51439.479999999996</v>
      </c>
      <c r="T87" s="234"/>
      <c r="U87" s="235">
        <f>SUM(U6:U86)</f>
        <v>0</v>
      </c>
      <c r="V87" s="234"/>
      <c r="W87" s="235">
        <f>SUM(W6:W86)</f>
        <v>233414.30000000002</v>
      </c>
      <c r="X87" s="234"/>
      <c r="Y87" s="235">
        <f>SUM(Y6:Y86)</f>
        <v>0</v>
      </c>
      <c r="Z87" s="234"/>
      <c r="AA87" s="235">
        <f>SUM(AA6:AA86)</f>
        <v>0</v>
      </c>
      <c r="AB87" s="234"/>
      <c r="AC87" s="235">
        <f>SUM(AC6:AC86)</f>
        <v>0</v>
      </c>
      <c r="AD87" s="234"/>
      <c r="AE87" s="235">
        <f>SUM(AE6:AE86)</f>
        <v>11591.15</v>
      </c>
      <c r="AF87" s="234"/>
      <c r="AG87" s="235">
        <f>SUM(AG6:AG86)</f>
        <v>0</v>
      </c>
      <c r="AH87" s="234"/>
      <c r="AI87" s="235">
        <f>SUM(AI6:AI86)</f>
        <v>0</v>
      </c>
      <c r="AJ87" s="234"/>
      <c r="AK87" s="235">
        <f>SUM(AK6:AK86)</f>
        <v>89547.169999999984</v>
      </c>
      <c r="AL87" s="234"/>
      <c r="AM87" s="235">
        <f>SUM(AM6:AM86)</f>
        <v>101949.61000000002</v>
      </c>
      <c r="AN87" s="234"/>
      <c r="AO87" s="235">
        <f>SUM(AO6:AO86)</f>
        <v>50480.710000000006</v>
      </c>
      <c r="AP87" s="234"/>
      <c r="AQ87" s="235">
        <f>SUM(AQ6:AQ86)</f>
        <v>740055.60999999999</v>
      </c>
      <c r="AR87" s="234"/>
      <c r="AS87" s="235">
        <f>SUM(AS6:AS86)</f>
        <v>55494.500000000007</v>
      </c>
      <c r="AT87" s="234"/>
      <c r="AU87" s="235">
        <f>SUM(AU6:AU86)</f>
        <v>2584297.6899999999</v>
      </c>
      <c r="AV87" s="234"/>
      <c r="AW87" s="235">
        <f>SUM(AW6:AW86)</f>
        <v>0</v>
      </c>
      <c r="AX87" s="234"/>
      <c r="AY87" s="235">
        <f>SUM(AY6:AY86)</f>
        <v>129559.46000000001</v>
      </c>
      <c r="AZ87" s="234"/>
      <c r="BA87" s="235">
        <f>SUM(BA6:BA86)</f>
        <v>0</v>
      </c>
      <c r="BB87" s="234"/>
      <c r="BC87" s="235">
        <f>SUM(BC6:BC86)</f>
        <v>0</v>
      </c>
      <c r="BD87" s="234"/>
      <c r="BE87" s="235">
        <f>SUM(BE6:BE86)</f>
        <v>0</v>
      </c>
      <c r="BF87" s="234"/>
      <c r="BG87" s="235">
        <f>SUM(BG6:BG86)</f>
        <v>93283.250000000015</v>
      </c>
      <c r="BH87" s="234"/>
      <c r="BI87" s="235">
        <f>SUM(BI6:BI86)</f>
        <v>0</v>
      </c>
      <c r="BJ87" s="234"/>
      <c r="BK87" s="235">
        <f>SUM(BK6:BK86)</f>
        <v>21532.580000000002</v>
      </c>
      <c r="BL87" s="234"/>
      <c r="BM87" s="235">
        <f>SUM(BM6:BM86)</f>
        <v>558711.26000000001</v>
      </c>
      <c r="BN87" s="234"/>
      <c r="BO87" s="235">
        <f>SUM(BO6:BO86)</f>
        <v>31574.060000000001</v>
      </c>
      <c r="BP87" s="234"/>
      <c r="BQ87" s="235">
        <f>SUM(BQ6:BQ86)</f>
        <v>24970.339999999997</v>
      </c>
      <c r="BR87" s="234"/>
      <c r="BS87" s="225"/>
      <c r="BT87" s="235">
        <f>SUM(BT6:BT86)</f>
        <v>6026954.6499999994</v>
      </c>
      <c r="BU87" s="234"/>
    </row>
    <row r="88" spans="1:73" ht="15" thickBot="1">
      <c r="A88" s="233"/>
      <c r="B88" s="232"/>
      <c r="C88" s="231"/>
      <c r="D88" s="230">
        <f>SUM(D6:D86)</f>
        <v>0</v>
      </c>
      <c r="E88" s="231"/>
      <c r="F88" s="230">
        <f>SUM(F6:F86)</f>
        <v>15918346.649999997</v>
      </c>
      <c r="G88" s="231"/>
      <c r="H88" s="230">
        <f>SUM(H6:H86)</f>
        <v>1128446.0349999997</v>
      </c>
      <c r="I88" s="231"/>
      <c r="J88" s="230">
        <f>SUM(J6:J86)</f>
        <v>8252258.0199999996</v>
      </c>
      <c r="K88" s="231"/>
      <c r="L88" s="230">
        <f>SUM(L6:L86)</f>
        <v>0</v>
      </c>
      <c r="M88" s="231"/>
      <c r="N88" s="230">
        <f>SUM(N6:N86)</f>
        <v>0</v>
      </c>
      <c r="O88" s="231"/>
      <c r="P88" s="230">
        <f>SUM(P6:P86)</f>
        <v>0</v>
      </c>
      <c r="Q88" s="231"/>
      <c r="R88" s="230">
        <f>SUM(R6:R86)</f>
        <v>11526843.954999998</v>
      </c>
      <c r="S88" s="231"/>
      <c r="T88" s="230">
        <f>SUM(T6:T86)</f>
        <v>2340412.8999999999</v>
      </c>
      <c r="U88" s="231"/>
      <c r="V88" s="230">
        <f>SUM(V6:V86)</f>
        <v>0</v>
      </c>
      <c r="W88" s="231"/>
      <c r="X88" s="230">
        <f>SUM(X6:X86)</f>
        <v>4391260.2400000002</v>
      </c>
      <c r="Y88" s="231"/>
      <c r="Z88" s="230">
        <f>SUM(Z6:Z86)</f>
        <v>0</v>
      </c>
      <c r="AA88" s="231"/>
      <c r="AB88" s="230">
        <f>SUM(AB6:AB86)</f>
        <v>0</v>
      </c>
      <c r="AC88" s="231"/>
      <c r="AD88" s="230">
        <f>SUM(AD6:AD86)</f>
        <v>0</v>
      </c>
      <c r="AE88" s="231"/>
      <c r="AF88" s="230">
        <f>SUM(AF6:AF86)</f>
        <v>478400.38499999995</v>
      </c>
      <c r="AG88" s="231"/>
      <c r="AH88" s="230">
        <f>SUM(AH6:AH86)</f>
        <v>0</v>
      </c>
      <c r="AI88" s="231"/>
      <c r="AJ88" s="230">
        <f>SUM(AJ6:AJ86)</f>
        <v>0</v>
      </c>
      <c r="AK88" s="231"/>
      <c r="AL88" s="230">
        <f>SUM(AL6:AL86)</f>
        <v>2355209.5649999999</v>
      </c>
      <c r="AM88" s="231"/>
      <c r="AN88" s="230">
        <f>SUM(AN6:AN86)</f>
        <v>3388526.2250000006</v>
      </c>
      <c r="AO88" s="231"/>
      <c r="AP88" s="230">
        <f>SUM(AP6:AP86)</f>
        <v>760090.08499999996</v>
      </c>
      <c r="AQ88" s="231"/>
      <c r="AR88" s="230">
        <f>SUM(AR6:AR86)</f>
        <v>10449385.185000001</v>
      </c>
      <c r="AS88" s="231"/>
      <c r="AT88" s="230">
        <f>SUM(AT6:AT86)</f>
        <v>1060760.01</v>
      </c>
      <c r="AU88" s="231"/>
      <c r="AV88" s="230">
        <f>SUM(AV6:AV86)</f>
        <v>43204012.094999999</v>
      </c>
      <c r="AW88" s="231"/>
      <c r="AX88" s="230">
        <f>SUM(AX6:AX86)</f>
        <v>0</v>
      </c>
      <c r="AY88" s="231"/>
      <c r="AZ88" s="230">
        <f>SUM(AZ6:AZ86)</f>
        <v>1331893.4500000002</v>
      </c>
      <c r="BA88" s="231"/>
      <c r="BB88" s="230">
        <f>SUM(BB6:BB86)</f>
        <v>0</v>
      </c>
      <c r="BC88" s="231"/>
      <c r="BD88" s="230">
        <f>SUM(BD6:BD86)</f>
        <v>0</v>
      </c>
      <c r="BE88" s="231"/>
      <c r="BF88" s="230">
        <f>SUM(BF6:BF86)</f>
        <v>0</v>
      </c>
      <c r="BG88" s="231"/>
      <c r="BH88" s="230">
        <f>SUM(BH6:BH86)</f>
        <v>1441678.2150000001</v>
      </c>
      <c r="BI88" s="231"/>
      <c r="BJ88" s="230">
        <f>SUM(BJ6:BJ86)</f>
        <v>0</v>
      </c>
      <c r="BK88" s="231"/>
      <c r="BL88" s="230">
        <f>SUM(BL6:BL86)</f>
        <v>343800.26999999996</v>
      </c>
      <c r="BM88" s="231"/>
      <c r="BN88" s="230">
        <f>SUM(BN6:BN86)</f>
        <v>9773641.3300000019</v>
      </c>
      <c r="BO88" s="231"/>
      <c r="BP88" s="230">
        <f>SUM(BP6:BP86)</f>
        <v>555334.43999999994</v>
      </c>
      <c r="BQ88" s="231"/>
      <c r="BR88" s="230">
        <f>SUM(BR6:BR86)</f>
        <v>383343.79999999999</v>
      </c>
      <c r="BS88" s="225"/>
      <c r="BT88" s="231"/>
      <c r="BU88" s="230">
        <f>SUM(BU6:BU86)</f>
        <v>119083642.855</v>
      </c>
    </row>
    <row r="89" spans="1:73" ht="14.25">
      <c r="A89" s="229"/>
      <c r="B89" s="228"/>
      <c r="C89" s="224">
        <f>IFERROR(ROUND(D88/C87,2),0)</f>
        <v>0</v>
      </c>
      <c r="D89" s="223"/>
      <c r="E89" s="224">
        <f>IFERROR(ROUND(F88/E87,2),0)</f>
        <v>33.920000000000002</v>
      </c>
      <c r="F89" s="223"/>
      <c r="G89" s="224">
        <f>IFERROR(ROUND(H88/G87,2),0)</f>
        <v>29.690000000000001</v>
      </c>
      <c r="H89" s="223"/>
      <c r="I89" s="224">
        <f>IFERROR(ROUND(J88/I87,2),0)</f>
        <v>37.600000000000001</v>
      </c>
      <c r="J89" s="223"/>
      <c r="K89" s="224">
        <f>IFERROR(ROUND(L88/K87,2),0)</f>
        <v>0</v>
      </c>
      <c r="L89" s="223"/>
      <c r="M89" s="224">
        <f>IFERROR(ROUND(N88/M87,2),0)</f>
        <v>0</v>
      </c>
      <c r="N89" s="223"/>
      <c r="O89" s="224">
        <f>IFERROR(ROUND(P88/O87,2),0)</f>
        <v>0</v>
      </c>
      <c r="P89" s="223"/>
      <c r="Q89" s="224">
        <f>IFERROR(ROUND(R88/Q87,2),0)</f>
        <v>22.07</v>
      </c>
      <c r="R89" s="223"/>
      <c r="S89" s="224">
        <f>IFERROR(ROUND(T88/S87,2),0)</f>
        <v>45.5</v>
      </c>
      <c r="T89" s="223"/>
      <c r="U89" s="224">
        <f>IFERROR(ROUND(V88/U87,2),0)</f>
        <v>0</v>
      </c>
      <c r="V89" s="223"/>
      <c r="W89" s="227">
        <f>IFERROR(ROUND(X88/W87,2),0)</f>
        <v>18.809999999999999</v>
      </c>
      <c r="X89" s="223"/>
      <c r="Y89" s="226">
        <f>IFERROR(ROUND(Z88/Y87,2),0)</f>
        <v>0</v>
      </c>
      <c r="Z89" s="226"/>
      <c r="AA89" s="224">
        <f>IFERROR(ROUND(AB88/AA87,2),0)</f>
        <v>0</v>
      </c>
      <c r="AB89" s="223"/>
      <c r="AC89" s="226">
        <f>IFERROR(ROUND(AD88/AC87,2),0)</f>
        <v>0</v>
      </c>
      <c r="AD89" s="226"/>
      <c r="AE89" s="224">
        <f>IFERROR(ROUND(AF88/AE87,2),0)</f>
        <v>41.270000000000003</v>
      </c>
      <c r="AF89" s="223"/>
      <c r="AG89" s="224">
        <f>IFERROR(ROUND(AH88/AG87,2),0)</f>
        <v>0</v>
      </c>
      <c r="AH89" s="223"/>
      <c r="AI89" s="224">
        <f>IFERROR(ROUND(AJ88/AI87,2),0)</f>
        <v>0</v>
      </c>
      <c r="AJ89" s="223"/>
      <c r="AK89" s="224">
        <f>IFERROR(ROUND(AL88/AK87,2),0)</f>
        <v>26.300000000000001</v>
      </c>
      <c r="AL89" s="223"/>
      <c r="AM89" s="224">
        <f>IFERROR(ROUND(AN88/AM87,2),0)</f>
        <v>33.240000000000002</v>
      </c>
      <c r="AN89" s="223"/>
      <c r="AO89" s="224">
        <f>IFERROR(ROUND(AP88/AO87,2),0)</f>
        <v>15.06</v>
      </c>
      <c r="AP89" s="223"/>
      <c r="AQ89" s="224">
        <f>IFERROR(ROUND(AR88/AQ87,2),0)</f>
        <v>14.119999999999999</v>
      </c>
      <c r="AR89" s="223"/>
      <c r="AS89" s="224">
        <f>IFERROR(ROUND(AT88/AS87,2),0)</f>
        <v>19.109999999999999</v>
      </c>
      <c r="AT89" s="223"/>
      <c r="AU89" s="224">
        <f>IFERROR(ROUND(AV88/AU87,2),0)</f>
        <v>16.719999999999999</v>
      </c>
      <c r="AV89" s="223"/>
      <c r="AW89" s="224">
        <f>IFERROR(ROUND(AX88/AW87,2),0)</f>
        <v>0</v>
      </c>
      <c r="AX89" s="223"/>
      <c r="AY89" s="224">
        <f>IFERROR(ROUND(AZ88/AY87,2),0)</f>
        <v>10.279999999999999</v>
      </c>
      <c r="AZ89" s="223"/>
      <c r="BA89" s="224">
        <f>IFERROR(ROUND(BB88/BA87,2),0)</f>
        <v>0</v>
      </c>
      <c r="BB89" s="223"/>
      <c r="BC89" s="224">
        <f>IFERROR(ROUND(BD88/BC87,2),0)</f>
        <v>0</v>
      </c>
      <c r="BD89" s="223"/>
      <c r="BE89" s="224">
        <f>IFERROR(ROUND(BF88/BE87,2),0)</f>
        <v>0</v>
      </c>
      <c r="BF89" s="223"/>
      <c r="BG89" s="224">
        <f>IFERROR(ROUND(BH88/BG87,2),0)</f>
        <v>15.449999999999999</v>
      </c>
      <c r="BH89" s="223"/>
      <c r="BI89" s="224">
        <f>IFERROR(ROUND(BJ88/BI87,2),0)</f>
        <v>0</v>
      </c>
      <c r="BJ89" s="223"/>
      <c r="BK89" s="224">
        <f>IFERROR(ROUND(BL88/BK87,2),0)</f>
        <v>15.970000000000001</v>
      </c>
      <c r="BL89" s="223"/>
      <c r="BM89" s="224">
        <f>IFERROR(ROUND(BN88/BM87,2),0)</f>
        <v>17.489999999999998</v>
      </c>
      <c r="BN89" s="223"/>
      <c r="BO89" s="224">
        <f>IFERROR(ROUND(BP88/BO87,2),0)</f>
        <v>17.59</v>
      </c>
      <c r="BP89" s="223"/>
      <c r="BQ89" s="224">
        <f>IFERROR(ROUND(BR88/BQ87,2),0)</f>
        <v>15.35</v>
      </c>
      <c r="BR89" s="223"/>
      <c r="BS89" s="225"/>
      <c r="BT89" s="224">
        <f>IFERROR(ROUND(BU88/BT87,2),0)</f>
        <v>19.760000000000002</v>
      </c>
      <c r="BU89" s="223"/>
    </row>
  </sheetData>
  <mergeCells count="9">
    <mergeCell ref="BG3:BU3"/>
    <mergeCell ref="BG2:BU2"/>
    <mergeCell ref="BG1:BU1"/>
    <mergeCell ref="E1:AF1"/>
    <mergeCell ref="E2:AF2"/>
    <mergeCell ref="E3:AF3"/>
    <mergeCell ref="AK1:AZ1"/>
    <mergeCell ref="AK2:AZ2"/>
    <mergeCell ref="AK3:AZ3"/>
  </mergeCells>
  <printOptions horizontalCentered="1"/>
  <pageMargins left="0.5" right="0.5" top="0.92" bottom="0.5" header="0.5" footer="0.2"/>
  <pageSetup fitToWidth="0" orientation="portrait" scale="56"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colBreaks count="2" manualBreakCount="2">
    <brk id="36" max="88" man="1"/>
    <brk id="58" max="88"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Y76"/>
  <sheetViews>
    <sheetView workbookViewId="0" topLeftCell="A1">
      <pane xSplit="2" ySplit="5" topLeftCell="Q6" activePane="bottomRight" state="frozen"/>
      <selection pane="topLeft" activeCell="AP10" sqref="AP10"/>
      <selection pane="bottomLeft" activeCell="AP10" sqref="AP10"/>
      <selection pane="topRight" activeCell="AP10" sqref="AP10"/>
      <selection pane="bottomRight" activeCell="A1" sqref="A1:XFD1048576"/>
    </sheetView>
  </sheetViews>
  <sheetFormatPr defaultColWidth="8.71428571428571" defaultRowHeight="14.25"/>
  <cols>
    <col min="1" max="2" width="8.28571428571429" style="7" customWidth="1"/>
    <col min="3" max="3" width="5.71428571428571" style="7" hidden="1" customWidth="1"/>
    <col min="4" max="4" width="9.85714285714286" style="7" hidden="1" customWidth="1"/>
    <col min="5" max="5" width="4.57142857142857" style="7" hidden="1" customWidth="1"/>
    <col min="6" max="6" width="9.85714285714286" style="7" hidden="1" customWidth="1"/>
    <col min="7" max="7" width="9" style="7" bestFit="1" customWidth="1"/>
    <col min="8" max="8" width="9.85714285714286" style="7" bestFit="1" customWidth="1"/>
    <col min="9" max="9" width="9" style="7" bestFit="1" customWidth="1"/>
    <col min="10" max="10" width="10.5714285714286" style="7" bestFit="1" customWidth="1"/>
    <col min="11" max="11" width="6.28571428571429" style="7" hidden="1" customWidth="1"/>
    <col min="12" max="12" width="9.85714285714286" style="7" hidden="1" customWidth="1"/>
    <col min="13" max="13" width="4.57142857142857" style="7" hidden="1" customWidth="1"/>
    <col min="14" max="14" width="9.85714285714286" style="7" hidden="1" customWidth="1"/>
    <col min="15" max="15" width="4.57142857142857" style="7" hidden="1" customWidth="1"/>
    <col min="16" max="16" width="9.85714285714286" style="7" hidden="1" customWidth="1"/>
    <col min="17" max="17" width="9" style="7" bestFit="1" customWidth="1"/>
    <col min="18" max="18" width="11.5714285714286" style="7" bestFit="1" customWidth="1"/>
    <col min="19" max="19" width="8" style="7" bestFit="1" customWidth="1"/>
    <col min="20" max="20" width="9.85714285714286" style="7" bestFit="1" customWidth="1"/>
    <col min="21" max="21" width="6.28571428571429" style="7" hidden="1" customWidth="1"/>
    <col min="22" max="22" width="9.85714285714286" style="7" hidden="1" customWidth="1"/>
    <col min="23" max="23" width="9" style="7" bestFit="1" customWidth="1"/>
    <col min="24" max="24" width="10.5714285714286" style="7" bestFit="1" customWidth="1"/>
    <col min="25" max="25" width="5.71428571428571" style="7" hidden="1" customWidth="1"/>
    <col min="26" max="26" width="9.85714285714286" style="7" hidden="1" customWidth="1"/>
    <col min="27" max="27" width="4.57142857142857" style="7" hidden="1" customWidth="1"/>
    <col min="28" max="28" width="9.85714285714286" style="7" hidden="1" customWidth="1"/>
    <col min="29" max="29" width="5.71428571428571" style="7" hidden="1" customWidth="1"/>
    <col min="30" max="30" width="9.85714285714286" style="7" hidden="1" customWidth="1"/>
    <col min="31" max="31" width="7" style="7" bestFit="1" customWidth="1"/>
    <col min="32" max="32" width="9.85714285714286" style="7" bestFit="1" customWidth="1"/>
    <col min="33" max="33" width="4.57142857142857" style="7" hidden="1" customWidth="1"/>
    <col min="34" max="34" width="9.85714285714286" style="7" hidden="1" customWidth="1"/>
    <col min="35" max="35" width="4.57142857142857" style="7" hidden="1" customWidth="1"/>
    <col min="36" max="36" width="9.85714285714286" style="7" hidden="1" customWidth="1"/>
    <col min="37" max="37" width="4.57142857142857" style="7" hidden="1" customWidth="1"/>
    <col min="38" max="38" width="9.85714285714286" style="7" hidden="1" customWidth="1"/>
    <col min="39" max="39" width="4.57142857142857" style="7" hidden="1" customWidth="1"/>
    <col min="40" max="40" width="9.85714285714286" style="7" hidden="1" customWidth="1"/>
    <col min="41" max="41" width="8" style="7" bestFit="1" customWidth="1"/>
    <col min="42" max="42" width="9.85714285714286" style="7" bestFit="1" customWidth="1"/>
    <col min="43" max="43" width="9" style="7" bestFit="1" customWidth="1"/>
    <col min="44" max="44" width="10.5714285714286" style="7" bestFit="1" customWidth="1"/>
    <col min="45" max="45" width="7" style="7" bestFit="1" customWidth="1"/>
    <col min="46" max="46" width="9.85714285714286" style="7" bestFit="1" customWidth="1"/>
    <col min="47" max="47" width="8" style="7" bestFit="1" customWidth="1"/>
    <col min="48" max="48" width="9.85714285714286" style="7" bestFit="1" customWidth="1"/>
    <col min="49" max="49" width="5.71428571428571" style="7" hidden="1" customWidth="1"/>
    <col min="50" max="50" width="9.85714285714286" style="7" hidden="1" customWidth="1"/>
    <col min="51" max="51" width="9" style="7" bestFit="1" customWidth="1"/>
    <col min="52" max="52" width="10.5714285714286" style="7" bestFit="1" customWidth="1"/>
    <col min="53" max="53" width="5.71428571428571" style="7" hidden="1" customWidth="1"/>
    <col min="54" max="54" width="9.85714285714286" style="7" hidden="1" customWidth="1"/>
    <col min="55" max="55" width="5.71428571428571" style="7" hidden="1" customWidth="1"/>
    <col min="56" max="56" width="9.85714285714286" style="7" hidden="1" customWidth="1"/>
    <col min="57" max="57" width="5.71428571428571" style="7" hidden="1" customWidth="1"/>
    <col min="58" max="58" width="9.85714285714286" style="7" hidden="1" customWidth="1"/>
    <col min="59" max="59" width="8" style="7" bestFit="1" customWidth="1"/>
    <col min="60" max="60" width="9.85714285714286" style="7" bestFit="1" customWidth="1"/>
    <col min="61" max="61" width="5.71428571428571" style="7" hidden="1" customWidth="1"/>
    <col min="62" max="62" width="9.85714285714286" style="7" hidden="1" customWidth="1"/>
    <col min="63" max="63" width="9.14285714285714" style="7" customWidth="1"/>
    <col min="64" max="64" width="9.85714285714286" style="7" customWidth="1"/>
    <col min="65" max="65" width="8.85714285714286" style="7" customWidth="1"/>
    <col min="66" max="66" width="10.5714285714286" style="7" bestFit="1" customWidth="1"/>
    <col min="67" max="67" width="4.57142857142857" style="7" hidden="1" customWidth="1"/>
    <col min="68" max="68" width="9.85714285714286" style="7" hidden="1" customWidth="1"/>
    <col min="69" max="69" width="4.57142857142857" style="7" hidden="1" customWidth="1"/>
    <col min="70" max="70" width="9.85714285714286" style="7" hidden="1" customWidth="1"/>
    <col min="71" max="71" width="2.42857142857143" style="7" customWidth="1"/>
    <col min="72" max="73" width="12.4285714285714" style="7" customWidth="1"/>
    <col min="74" max="74" width="8.71428571428571" style="7"/>
    <col min="75" max="75" width="4.42857142857143" style="7" bestFit="1" customWidth="1"/>
    <col min="76" max="76" width="8.42857142857143" style="7" bestFit="1" customWidth="1"/>
    <col min="77" max="77" width="11.2857142857143" style="7" bestFit="1" customWidth="1"/>
    <col min="78" max="16384" width="8.71428571428571" style="7"/>
  </cols>
  <sheetData>
    <row r="1" spans="7:73" s="531" customFormat="1" ht="18">
      <c r="G1" s="914" t="s">
        <v>56</v>
      </c>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O1" s="914" t="str">
        <f>G1</f>
        <v>FLORIDA PUBLIC UTILITIES - CONSOLIDATED NATURAL GAS</v>
      </c>
      <c r="AP1" s="914"/>
      <c r="AQ1" s="914"/>
      <c r="AR1" s="914"/>
      <c r="AS1" s="914"/>
      <c r="AT1" s="914"/>
      <c r="AU1" s="914"/>
      <c r="AV1" s="914"/>
      <c r="AW1" s="914"/>
      <c r="AX1" s="914"/>
      <c r="AY1" s="914"/>
      <c r="AZ1" s="914"/>
      <c r="BA1" s="914"/>
      <c r="BB1" s="914"/>
      <c r="BC1" s="914"/>
      <c r="BD1" s="914"/>
      <c r="BE1" s="914"/>
      <c r="BF1" s="914"/>
      <c r="BG1" s="914"/>
      <c r="BH1" s="914"/>
      <c r="BL1" s="538"/>
      <c r="BM1" s="538"/>
      <c r="BO1" s="538"/>
      <c r="BP1" s="538"/>
      <c r="BQ1" s="538"/>
      <c r="BR1" s="538"/>
      <c r="BS1" s="538"/>
      <c r="BT1" s="534" t="str">
        <f>AO1</f>
        <v>FLORIDA PUBLIC UTILITIES - CONSOLIDATED NATURAL GAS</v>
      </c>
      <c r="BU1" s="538"/>
    </row>
    <row r="2" spans="7:73" s="532" customFormat="1" ht="12.75">
      <c r="G2" s="915" t="s">
        <v>649</v>
      </c>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O2" s="915" t="str">
        <f>G2</f>
        <v xml:space="preserve">FPUC, FPUC - Common, FPUC - Indiantown, Florida Division of Chesapeake Utilities Corporation, FPUC - Ft Meade      </v>
      </c>
      <c r="AP2" s="915"/>
      <c r="AQ2" s="915"/>
      <c r="AR2" s="915"/>
      <c r="AS2" s="915"/>
      <c r="AT2" s="915"/>
      <c r="AU2" s="915"/>
      <c r="AV2" s="915"/>
      <c r="AW2" s="915"/>
      <c r="AX2" s="915"/>
      <c r="AY2" s="915"/>
      <c r="AZ2" s="915"/>
      <c r="BA2" s="915"/>
      <c r="BB2" s="915"/>
      <c r="BC2" s="915"/>
      <c r="BD2" s="915"/>
      <c r="BE2" s="915"/>
      <c r="BF2" s="915"/>
      <c r="BG2" s="915"/>
      <c r="BH2" s="915"/>
      <c r="BL2" s="539"/>
      <c r="BM2" s="539"/>
      <c r="BO2" s="539"/>
      <c r="BP2" s="539"/>
      <c r="BQ2" s="539"/>
      <c r="BR2" s="539"/>
      <c r="BS2" s="539"/>
      <c r="BT2" s="535" t="str">
        <f>"             "&amp;AO2</f>
        <v xml:space="preserve">             FPUC, FPUC - Common, FPUC - Indiantown, Florida Division of Chesapeake Utilities Corporation, FPUC - Ft Meade      </v>
      </c>
      <c r="BU2" s="539"/>
    </row>
    <row r="3" spans="7:73" s="533" customFormat="1" ht="15.75">
      <c r="G3" s="916" t="s">
        <v>653</v>
      </c>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O3" s="916" t="str">
        <f>G3</f>
        <v>ACTUAL 2021 RETIREMENTS</v>
      </c>
      <c r="AP3" s="916"/>
      <c r="AQ3" s="916"/>
      <c r="AR3" s="916"/>
      <c r="AS3" s="916"/>
      <c r="AT3" s="916"/>
      <c r="AU3" s="916"/>
      <c r="AV3" s="916"/>
      <c r="AW3" s="916"/>
      <c r="AX3" s="916"/>
      <c r="AY3" s="916"/>
      <c r="AZ3" s="916"/>
      <c r="BA3" s="916"/>
      <c r="BB3" s="916"/>
      <c r="BC3" s="916"/>
      <c r="BD3" s="916"/>
      <c r="BE3" s="916"/>
      <c r="BF3" s="916"/>
      <c r="BG3" s="916"/>
      <c r="BH3" s="916"/>
      <c r="BL3" s="540"/>
      <c r="BM3" s="540"/>
      <c r="BO3" s="540"/>
      <c r="BP3" s="540"/>
      <c r="BQ3" s="540"/>
      <c r="BR3" s="540"/>
      <c r="BS3" s="540"/>
      <c r="BT3" s="536" t="str">
        <f>AO3</f>
        <v>ACTUAL 2021 RETIREMENTS</v>
      </c>
      <c r="BU3" s="540"/>
    </row>
    <row r="4" spans="63:73" ht="14.25">
      <c r="BK4" s="537"/>
      <c r="BL4" s="537"/>
      <c r="BM4" s="537"/>
      <c r="BN4" s="537"/>
      <c r="BO4" s="537"/>
      <c r="BP4" s="537"/>
      <c r="BQ4" s="537"/>
      <c r="BR4" s="537"/>
      <c r="BS4" s="537"/>
      <c r="BT4" s="537"/>
      <c r="BU4" s="537"/>
    </row>
    <row r="5" spans="1:73" ht="15.75">
      <c r="A5" s="247" t="s">
        <v>169</v>
      </c>
      <c r="B5" s="246" t="s">
        <v>72</v>
      </c>
      <c r="C5" s="243">
        <v>3741</v>
      </c>
      <c r="D5" s="242" t="s">
        <v>170</v>
      </c>
      <c r="E5" s="243">
        <v>375</v>
      </c>
      <c r="F5" s="242" t="s">
        <v>170</v>
      </c>
      <c r="G5" s="243">
        <v>3761</v>
      </c>
      <c r="H5" s="242" t="s">
        <v>170</v>
      </c>
      <c r="I5" s="243">
        <v>3762</v>
      </c>
      <c r="J5" s="242" t="s">
        <v>170</v>
      </c>
      <c r="K5" s="243" t="s">
        <v>87</v>
      </c>
      <c r="L5" s="242" t="s">
        <v>170</v>
      </c>
      <c r="M5" s="243">
        <v>378</v>
      </c>
      <c r="N5" s="242" t="s">
        <v>170</v>
      </c>
      <c r="O5" s="243">
        <v>379</v>
      </c>
      <c r="P5" s="242" t="s">
        <v>170</v>
      </c>
      <c r="Q5" s="243">
        <v>3801</v>
      </c>
      <c r="R5" s="242" t="s">
        <v>170</v>
      </c>
      <c r="S5" s="243">
        <v>3802</v>
      </c>
      <c r="T5" s="242" t="s">
        <v>170</v>
      </c>
      <c r="U5" s="243" t="s">
        <v>95</v>
      </c>
      <c r="V5" s="242" t="s">
        <v>170</v>
      </c>
      <c r="W5" s="245">
        <v>381</v>
      </c>
      <c r="X5" s="242" t="s">
        <v>170</v>
      </c>
      <c r="Y5" s="245">
        <v>3811</v>
      </c>
      <c r="Z5" s="242" t="s">
        <v>170</v>
      </c>
      <c r="AA5" s="243">
        <v>382</v>
      </c>
      <c r="AB5" s="242" t="s">
        <v>170</v>
      </c>
      <c r="AC5" s="243">
        <v>3821</v>
      </c>
      <c r="AD5" s="242" t="s">
        <v>170</v>
      </c>
      <c r="AE5" s="243">
        <v>383</v>
      </c>
      <c r="AF5" s="242" t="s">
        <v>170</v>
      </c>
      <c r="AG5" s="243">
        <v>384</v>
      </c>
      <c r="AH5" s="242" t="s">
        <v>170</v>
      </c>
      <c r="AI5" s="243">
        <v>385</v>
      </c>
      <c r="AJ5" s="242" t="s">
        <v>170</v>
      </c>
      <c r="AK5" s="243">
        <v>387</v>
      </c>
      <c r="AL5" s="242" t="s">
        <v>170</v>
      </c>
      <c r="AM5" s="243">
        <v>390</v>
      </c>
      <c r="AN5" s="242" t="s">
        <v>170</v>
      </c>
      <c r="AO5" s="243">
        <v>3910</v>
      </c>
      <c r="AP5" s="242" t="s">
        <v>170</v>
      </c>
      <c r="AQ5" s="243">
        <v>3912</v>
      </c>
      <c r="AR5" s="242" t="s">
        <v>170</v>
      </c>
      <c r="AS5" s="243">
        <v>3913</v>
      </c>
      <c r="AT5" s="242" t="s">
        <v>170</v>
      </c>
      <c r="AU5" s="243">
        <v>3914</v>
      </c>
      <c r="AV5" s="242" t="s">
        <v>170</v>
      </c>
      <c r="AW5" s="243">
        <v>3921</v>
      </c>
      <c r="AX5" s="242" t="s">
        <v>170</v>
      </c>
      <c r="AY5" s="243">
        <v>3922</v>
      </c>
      <c r="AZ5" s="242" t="s">
        <v>170</v>
      </c>
      <c r="BA5" s="243">
        <v>3923</v>
      </c>
      <c r="BB5" s="242" t="s">
        <v>170</v>
      </c>
      <c r="BC5" s="243">
        <v>3924</v>
      </c>
      <c r="BD5" s="242" t="s">
        <v>170</v>
      </c>
      <c r="BE5" s="243">
        <v>3930</v>
      </c>
      <c r="BF5" s="242" t="s">
        <v>170</v>
      </c>
      <c r="BG5" s="243">
        <v>3940</v>
      </c>
      <c r="BH5" s="242" t="s">
        <v>170</v>
      </c>
      <c r="BI5" s="243">
        <v>3950</v>
      </c>
      <c r="BJ5" s="242" t="s">
        <v>170</v>
      </c>
      <c r="BK5" s="243">
        <v>3960</v>
      </c>
      <c r="BL5" s="242" t="s">
        <v>170</v>
      </c>
      <c r="BM5" s="243">
        <v>3970</v>
      </c>
      <c r="BN5" s="242" t="s">
        <v>170</v>
      </c>
      <c r="BO5" s="243">
        <v>398</v>
      </c>
      <c r="BP5" s="242" t="s">
        <v>170</v>
      </c>
      <c r="BQ5" s="243">
        <v>399</v>
      </c>
      <c r="BR5" s="242" t="s">
        <v>170</v>
      </c>
      <c r="BS5" s="244"/>
      <c r="BT5" s="243" t="s">
        <v>171</v>
      </c>
      <c r="BU5" s="242" t="s">
        <v>170</v>
      </c>
    </row>
    <row r="6" spans="1:73" ht="14.25">
      <c r="A6" s="241">
        <v>1940</v>
      </c>
      <c r="B6" s="240">
        <f>$A$72-A6+0.5</f>
        <v>81.5</v>
      </c>
      <c r="C6" s="239">
        <v>0</v>
      </c>
      <c r="D6" s="238">
        <f>+C6*$B6</f>
        <v>0</v>
      </c>
      <c r="E6" s="239">
        <v>0</v>
      </c>
      <c r="F6" s="238">
        <f>+E6*$B6</f>
        <v>0</v>
      </c>
      <c r="G6" s="239">
        <v>0</v>
      </c>
      <c r="H6" s="238">
        <f>+G6*$B6</f>
        <v>0</v>
      </c>
      <c r="I6" s="239">
        <v>0</v>
      </c>
      <c r="J6" s="238">
        <f>+I6*$B6</f>
        <v>0</v>
      </c>
      <c r="K6" s="239">
        <v>0</v>
      </c>
      <c r="L6" s="238">
        <f>+K6*$B6</f>
        <v>0</v>
      </c>
      <c r="M6" s="239">
        <v>0</v>
      </c>
      <c r="N6" s="238">
        <f>+M6*$B6</f>
        <v>0</v>
      </c>
      <c r="O6" s="239">
        <v>0</v>
      </c>
      <c r="P6" s="238">
        <f>+O6*$B6</f>
        <v>0</v>
      </c>
      <c r="Q6" s="239">
        <v>0</v>
      </c>
      <c r="R6" s="238">
        <f>+Q6*$B6</f>
        <v>0</v>
      </c>
      <c r="S6" s="239">
        <v>133.5</v>
      </c>
      <c r="T6" s="238">
        <f>+S6*$B6</f>
        <v>10880.25</v>
      </c>
      <c r="U6" s="239">
        <v>0</v>
      </c>
      <c r="V6" s="238">
        <f>+U6*$B6</f>
        <v>0</v>
      </c>
      <c r="W6" s="239">
        <v>0</v>
      </c>
      <c r="X6" s="238">
        <f>+W6*$B6</f>
        <v>0</v>
      </c>
      <c r="Y6" s="239">
        <v>0</v>
      </c>
      <c r="Z6" s="238">
        <f>+Y6*$B6</f>
        <v>0</v>
      </c>
      <c r="AA6" s="239">
        <v>0</v>
      </c>
      <c r="AB6" s="238">
        <f>+AA6*$B6</f>
        <v>0</v>
      </c>
      <c r="AC6" s="239">
        <v>0</v>
      </c>
      <c r="AD6" s="238">
        <f>+AC6*$B6</f>
        <v>0</v>
      </c>
      <c r="AE6" s="239">
        <v>0</v>
      </c>
      <c r="AF6" s="238">
        <f>+AE6*$B6</f>
        <v>0</v>
      </c>
      <c r="AG6" s="239">
        <v>0</v>
      </c>
      <c r="AH6" s="238">
        <f>+AG6*$B6</f>
        <v>0</v>
      </c>
      <c r="AI6" s="239">
        <v>0</v>
      </c>
      <c r="AJ6" s="238">
        <f>+AI6*$B6</f>
        <v>0</v>
      </c>
      <c r="AK6" s="239">
        <v>0</v>
      </c>
      <c r="AL6" s="238">
        <f>+AK6*$B6</f>
        <v>0</v>
      </c>
      <c r="AM6" s="239">
        <v>0</v>
      </c>
      <c r="AN6" s="238">
        <f>+AM6*$B6</f>
        <v>0</v>
      </c>
      <c r="AO6" s="239">
        <v>0</v>
      </c>
      <c r="AP6" s="238">
        <f>+AO6*$B6</f>
        <v>0</v>
      </c>
      <c r="AQ6" s="239">
        <v>0</v>
      </c>
      <c r="AR6" s="238">
        <f>+AQ6*$B6</f>
        <v>0</v>
      </c>
      <c r="AS6" s="239">
        <v>0</v>
      </c>
      <c r="AT6" s="238">
        <f>+AS6*$B6</f>
        <v>0</v>
      </c>
      <c r="AU6" s="239">
        <v>0</v>
      </c>
      <c r="AV6" s="238">
        <f>+AU6*$B6</f>
        <v>0</v>
      </c>
      <c r="AW6" s="239">
        <v>0</v>
      </c>
      <c r="AX6" s="238">
        <f>+AW6*$B6</f>
        <v>0</v>
      </c>
      <c r="AY6" s="239">
        <v>0</v>
      </c>
      <c r="AZ6" s="238">
        <f>+AY6*$B6</f>
        <v>0</v>
      </c>
      <c r="BA6" s="239">
        <v>0</v>
      </c>
      <c r="BB6" s="238">
        <f>+BA6*$B6</f>
        <v>0</v>
      </c>
      <c r="BC6" s="239">
        <v>0</v>
      </c>
      <c r="BD6" s="238">
        <f>+BC6*$B6</f>
        <v>0</v>
      </c>
      <c r="BE6" s="239">
        <v>0</v>
      </c>
      <c r="BF6" s="238">
        <f>+BE6*$B6</f>
        <v>0</v>
      </c>
      <c r="BG6" s="239">
        <v>0</v>
      </c>
      <c r="BH6" s="238">
        <f>+BG6*$B6</f>
        <v>0</v>
      </c>
      <c r="BI6" s="239">
        <v>0</v>
      </c>
      <c r="BJ6" s="238">
        <f>+BI6*$B6</f>
        <v>0</v>
      </c>
      <c r="BK6" s="239">
        <v>0</v>
      </c>
      <c r="BL6" s="238">
        <f>+BK6*$B6</f>
        <v>0</v>
      </c>
      <c r="BM6" s="239">
        <v>0</v>
      </c>
      <c r="BN6" s="238">
        <f>+BM6*$B6</f>
        <v>0</v>
      </c>
      <c r="BO6" s="239">
        <v>0</v>
      </c>
      <c r="BP6" s="238">
        <f>+BO6*$B6</f>
        <v>0</v>
      </c>
      <c r="BQ6" s="239">
        <v>0</v>
      </c>
      <c r="BR6" s="238">
        <f>+BQ6*$B6</f>
        <v>0</v>
      </c>
      <c r="BS6" s="225"/>
      <c r="BT6" s="239">
        <f>ROUND(+BO6+BM6+BK6+BG6+BE6+BC6+AY6+AW6+AS6+AQ6+AO6+AM6+AK6+AI6+AG6+AE6+AA6+C6+E6+G6+I6+M6+O6+Q6+S6+W6+BQ6+AC6+Y6+BI6+BA6+K6+U6+AU6,0)</f>
        <v>134</v>
      </c>
      <c r="BU6" s="238">
        <f>+BT6*$B6</f>
        <v>10921</v>
      </c>
    </row>
    <row r="7" spans="1:73" ht="14.25">
      <c r="A7" s="241">
        <v>1941</v>
      </c>
      <c r="B7" s="240">
        <f>$A$72-A7+0.5</f>
        <v>80.5</v>
      </c>
      <c r="C7" s="239">
        <v>0</v>
      </c>
      <c r="D7" s="238">
        <f t="shared" si="0" ref="D7:D70">+C7*$B7</f>
        <v>0</v>
      </c>
      <c r="E7" s="239">
        <v>0</v>
      </c>
      <c r="F7" s="238">
        <f t="shared" si="1" ref="F7:F70">+E7*$B7</f>
        <v>0</v>
      </c>
      <c r="G7" s="239">
        <v>0</v>
      </c>
      <c r="H7" s="238">
        <f t="shared" si="2" ref="H7:H70">+G7*$B7</f>
        <v>0</v>
      </c>
      <c r="I7" s="239">
        <v>0</v>
      </c>
      <c r="J7" s="238">
        <f t="shared" si="3" ref="J7:J70">+I7*$B7</f>
        <v>0</v>
      </c>
      <c r="K7" s="239">
        <v>0</v>
      </c>
      <c r="L7" s="238">
        <f t="shared" si="4" ref="L7:L70">+K7*$B7</f>
        <v>0</v>
      </c>
      <c r="M7" s="239">
        <v>0</v>
      </c>
      <c r="N7" s="238">
        <f t="shared" si="5" ref="N7:N70">+M7*$B7</f>
        <v>0</v>
      </c>
      <c r="O7" s="239">
        <v>0</v>
      </c>
      <c r="P7" s="238">
        <f t="shared" si="6" ref="P7:P70">+O7*$B7</f>
        <v>0</v>
      </c>
      <c r="Q7" s="239">
        <v>0</v>
      </c>
      <c r="R7" s="238">
        <f t="shared" si="7" ref="R7:R70">+Q7*$B7</f>
        <v>0</v>
      </c>
      <c r="S7" s="239">
        <v>45.659999999999997</v>
      </c>
      <c r="T7" s="238">
        <f t="shared" si="8" ref="T7:T70">+S7*$B7</f>
        <v>3675.6299999999997</v>
      </c>
      <c r="U7" s="239">
        <v>0</v>
      </c>
      <c r="V7" s="238">
        <f t="shared" si="9" ref="V7:V70">+U7*$B7</f>
        <v>0</v>
      </c>
      <c r="W7" s="239">
        <v>0</v>
      </c>
      <c r="X7" s="238">
        <f t="shared" si="10" ref="X7:X70">+W7*$B7</f>
        <v>0</v>
      </c>
      <c r="Y7" s="239">
        <v>0</v>
      </c>
      <c r="Z7" s="238">
        <f t="shared" si="11" ref="Z7:Z70">+Y7*$B7</f>
        <v>0</v>
      </c>
      <c r="AA7" s="239">
        <v>0</v>
      </c>
      <c r="AB7" s="238">
        <f t="shared" si="12" ref="AB7:AB70">+AA7*$B7</f>
        <v>0</v>
      </c>
      <c r="AC7" s="239">
        <v>0</v>
      </c>
      <c r="AD7" s="238">
        <f t="shared" si="13" ref="AD7:AD70">+AC7*$B7</f>
        <v>0</v>
      </c>
      <c r="AE7" s="239">
        <v>0</v>
      </c>
      <c r="AF7" s="238">
        <f t="shared" si="14" ref="AF7:AF70">+AE7*$B7</f>
        <v>0</v>
      </c>
      <c r="AG7" s="239">
        <v>0</v>
      </c>
      <c r="AH7" s="238">
        <f t="shared" si="15" ref="AH7:AH70">+AG7*$B7</f>
        <v>0</v>
      </c>
      <c r="AI7" s="239">
        <v>0</v>
      </c>
      <c r="AJ7" s="238">
        <f t="shared" si="16" ref="AJ7:AJ70">+AI7*$B7</f>
        <v>0</v>
      </c>
      <c r="AK7" s="239">
        <v>0</v>
      </c>
      <c r="AL7" s="238">
        <f t="shared" si="17" ref="AL7:AL70">+AK7*$B7</f>
        <v>0</v>
      </c>
      <c r="AM7" s="239">
        <v>0</v>
      </c>
      <c r="AN7" s="238">
        <f t="shared" si="18" ref="AN7:AN70">+AM7*$B7</f>
        <v>0</v>
      </c>
      <c r="AO7" s="239">
        <v>0</v>
      </c>
      <c r="AP7" s="238">
        <f t="shared" si="19" ref="AP7:AP70">+AO7*$B7</f>
        <v>0</v>
      </c>
      <c r="AQ7" s="239">
        <v>0</v>
      </c>
      <c r="AR7" s="238">
        <f t="shared" si="20" ref="AR7:AR70">+AQ7*$B7</f>
        <v>0</v>
      </c>
      <c r="AS7" s="239">
        <v>0</v>
      </c>
      <c r="AT7" s="238">
        <f t="shared" si="21" ref="AT7:AT70">+AS7*$B7</f>
        <v>0</v>
      </c>
      <c r="AU7" s="239">
        <v>0</v>
      </c>
      <c r="AV7" s="238">
        <f t="shared" si="22" ref="AV7:AV70">+AU7*$B7</f>
        <v>0</v>
      </c>
      <c r="AW7" s="239">
        <v>0</v>
      </c>
      <c r="AX7" s="238">
        <f t="shared" si="23" ref="AX7:AX70">+AW7*$B7</f>
        <v>0</v>
      </c>
      <c r="AY7" s="239">
        <v>0</v>
      </c>
      <c r="AZ7" s="238">
        <f t="shared" si="24" ref="AZ7:AZ70">+AY7*$B7</f>
        <v>0</v>
      </c>
      <c r="BA7" s="239">
        <v>0</v>
      </c>
      <c r="BB7" s="238">
        <f t="shared" si="25" ref="BB7:BB70">+BA7*$B7</f>
        <v>0</v>
      </c>
      <c r="BC7" s="239">
        <v>0</v>
      </c>
      <c r="BD7" s="238">
        <f t="shared" si="26" ref="BD7:BD70">+BC7*$B7</f>
        <v>0</v>
      </c>
      <c r="BE7" s="239">
        <v>0</v>
      </c>
      <c r="BF7" s="238">
        <f t="shared" si="27" ref="BF7:BF70">+BE7*$B7</f>
        <v>0</v>
      </c>
      <c r="BG7" s="239">
        <v>0</v>
      </c>
      <c r="BH7" s="238">
        <f t="shared" si="28" ref="BH7:BH70">+BG7*$B7</f>
        <v>0</v>
      </c>
      <c r="BI7" s="239">
        <v>0</v>
      </c>
      <c r="BJ7" s="238">
        <f t="shared" si="29" ref="BJ7:BJ70">+BI7*$B7</f>
        <v>0</v>
      </c>
      <c r="BK7" s="239">
        <v>0</v>
      </c>
      <c r="BL7" s="238">
        <f t="shared" si="30" ref="BL7:BL70">+BK7*$B7</f>
        <v>0</v>
      </c>
      <c r="BM7" s="239">
        <v>0</v>
      </c>
      <c r="BN7" s="238">
        <f t="shared" si="31" ref="BN7:BN70">+BM7*$B7</f>
        <v>0</v>
      </c>
      <c r="BO7" s="239">
        <v>0</v>
      </c>
      <c r="BP7" s="238">
        <f t="shared" si="32" ref="BP7:BP70">+BO7*$B7</f>
        <v>0</v>
      </c>
      <c r="BQ7" s="239">
        <v>0</v>
      </c>
      <c r="BR7" s="238">
        <f t="shared" si="33" ref="BR7:BR70">+BQ7*$B7</f>
        <v>0</v>
      </c>
      <c r="BS7" s="225"/>
      <c r="BT7" s="239">
        <f>ROUND(+BO7+BM7+BK7+BG7+BE7+BC7+AY7+AW7+AS7+AQ7+AO7+AM7+AK7+AI7+AG7+AE7+AA7+C7+E7+G7+I7+M7+O7+Q7+S7+W7+BQ7+AC7+Y7+BI7+BA7+K7+U7+AU7,0)</f>
        <v>46</v>
      </c>
      <c r="BU7" s="238">
        <f>+BT7*$B7</f>
        <v>3703</v>
      </c>
    </row>
    <row r="8" spans="1:73" ht="14.25">
      <c r="A8" s="241">
        <v>1947</v>
      </c>
      <c r="B8" s="240">
        <f>$A$72-A8+0.5</f>
        <v>74.5</v>
      </c>
      <c r="C8" s="239">
        <v>0</v>
      </c>
      <c r="D8" s="238">
        <f t="shared" si="0"/>
        <v>0</v>
      </c>
      <c r="E8" s="239">
        <v>0</v>
      </c>
      <c r="F8" s="238">
        <f t="shared" si="1"/>
        <v>0</v>
      </c>
      <c r="G8" s="239">
        <v>0</v>
      </c>
      <c r="H8" s="238">
        <f t="shared" si="2"/>
        <v>0</v>
      </c>
      <c r="I8" s="239">
        <v>0</v>
      </c>
      <c r="J8" s="238">
        <f t="shared" si="3"/>
        <v>0</v>
      </c>
      <c r="K8" s="239">
        <v>0</v>
      </c>
      <c r="L8" s="238">
        <f t="shared" si="4"/>
        <v>0</v>
      </c>
      <c r="M8" s="239">
        <v>0</v>
      </c>
      <c r="N8" s="238">
        <f t="shared" si="5"/>
        <v>0</v>
      </c>
      <c r="O8" s="239">
        <v>0</v>
      </c>
      <c r="P8" s="238">
        <f t="shared" si="6"/>
        <v>0</v>
      </c>
      <c r="Q8" s="239">
        <v>0</v>
      </c>
      <c r="R8" s="238">
        <f t="shared" si="7"/>
        <v>0</v>
      </c>
      <c r="S8" s="239">
        <v>106.08</v>
      </c>
      <c r="T8" s="238">
        <f t="shared" si="8"/>
        <v>7902.96</v>
      </c>
      <c r="U8" s="239">
        <v>0</v>
      </c>
      <c r="V8" s="238">
        <f t="shared" si="9"/>
        <v>0</v>
      </c>
      <c r="W8" s="239">
        <v>0</v>
      </c>
      <c r="X8" s="238">
        <f t="shared" si="10"/>
        <v>0</v>
      </c>
      <c r="Y8" s="239">
        <v>0</v>
      </c>
      <c r="Z8" s="238">
        <f t="shared" si="11"/>
        <v>0</v>
      </c>
      <c r="AA8" s="239">
        <v>0</v>
      </c>
      <c r="AB8" s="238">
        <f t="shared" si="12"/>
        <v>0</v>
      </c>
      <c r="AC8" s="239">
        <v>0</v>
      </c>
      <c r="AD8" s="238">
        <f t="shared" si="13"/>
        <v>0</v>
      </c>
      <c r="AE8" s="239">
        <v>0</v>
      </c>
      <c r="AF8" s="238">
        <f t="shared" si="14"/>
        <v>0</v>
      </c>
      <c r="AG8" s="239">
        <v>0</v>
      </c>
      <c r="AH8" s="238">
        <f t="shared" si="15"/>
        <v>0</v>
      </c>
      <c r="AI8" s="239">
        <v>0</v>
      </c>
      <c r="AJ8" s="238">
        <f t="shared" si="16"/>
        <v>0</v>
      </c>
      <c r="AK8" s="239">
        <v>0</v>
      </c>
      <c r="AL8" s="238">
        <f t="shared" si="17"/>
        <v>0</v>
      </c>
      <c r="AM8" s="239">
        <v>0</v>
      </c>
      <c r="AN8" s="238">
        <f t="shared" si="18"/>
        <v>0</v>
      </c>
      <c r="AO8" s="239">
        <v>0</v>
      </c>
      <c r="AP8" s="238">
        <f t="shared" si="19"/>
        <v>0</v>
      </c>
      <c r="AQ8" s="239">
        <v>0</v>
      </c>
      <c r="AR8" s="238">
        <f t="shared" si="20"/>
        <v>0</v>
      </c>
      <c r="AS8" s="239">
        <v>0</v>
      </c>
      <c r="AT8" s="238">
        <f t="shared" si="21"/>
        <v>0</v>
      </c>
      <c r="AU8" s="239">
        <v>0</v>
      </c>
      <c r="AV8" s="238">
        <f t="shared" si="22"/>
        <v>0</v>
      </c>
      <c r="AW8" s="239">
        <v>0</v>
      </c>
      <c r="AX8" s="238">
        <f t="shared" si="23"/>
        <v>0</v>
      </c>
      <c r="AY8" s="239">
        <v>0</v>
      </c>
      <c r="AZ8" s="238">
        <f t="shared" si="24"/>
        <v>0</v>
      </c>
      <c r="BA8" s="239">
        <v>0</v>
      </c>
      <c r="BB8" s="238">
        <f t="shared" si="25"/>
        <v>0</v>
      </c>
      <c r="BC8" s="239">
        <v>0</v>
      </c>
      <c r="BD8" s="238">
        <f t="shared" si="26"/>
        <v>0</v>
      </c>
      <c r="BE8" s="239">
        <v>0</v>
      </c>
      <c r="BF8" s="238">
        <f t="shared" si="27"/>
        <v>0</v>
      </c>
      <c r="BG8" s="239">
        <v>0</v>
      </c>
      <c r="BH8" s="238">
        <f t="shared" si="28"/>
        <v>0</v>
      </c>
      <c r="BI8" s="239">
        <v>0</v>
      </c>
      <c r="BJ8" s="238">
        <f t="shared" si="29"/>
        <v>0</v>
      </c>
      <c r="BK8" s="239">
        <v>0</v>
      </c>
      <c r="BL8" s="238">
        <f t="shared" si="30"/>
        <v>0</v>
      </c>
      <c r="BM8" s="239">
        <v>0</v>
      </c>
      <c r="BN8" s="238">
        <f t="shared" si="31"/>
        <v>0</v>
      </c>
      <c r="BO8" s="239">
        <v>0</v>
      </c>
      <c r="BP8" s="238">
        <f t="shared" si="32"/>
        <v>0</v>
      </c>
      <c r="BQ8" s="239">
        <v>0</v>
      </c>
      <c r="BR8" s="238">
        <f t="shared" si="33"/>
        <v>0</v>
      </c>
      <c r="BS8" s="225"/>
      <c r="BT8" s="239">
        <f>ROUND(+BO8+BM8+BK8+BG8+BE8+BC8+AY8+AW8+AS8+AQ8+AO8+AM8+AK8+AI8+AG8+AE8+AA8+C8+E8+G8+I8+M8+O8+Q8+S8+W8+BQ8+AC8+Y8+BI8+BA8+K8+U8+AU8,0)</f>
        <v>106</v>
      </c>
      <c r="BU8" s="238">
        <f>+BT8*$B8</f>
        <v>7897</v>
      </c>
    </row>
    <row r="9" spans="1:73" ht="14.25">
      <c r="A9" s="241">
        <v>1950</v>
      </c>
      <c r="B9" s="240">
        <f>$A$72-A9+0.5</f>
        <v>71.5</v>
      </c>
      <c r="C9" s="239">
        <v>0</v>
      </c>
      <c r="D9" s="238">
        <f t="shared" si="0"/>
        <v>0</v>
      </c>
      <c r="E9" s="239">
        <v>0</v>
      </c>
      <c r="F9" s="238">
        <f t="shared" si="1"/>
        <v>0</v>
      </c>
      <c r="G9" s="239">
        <v>0</v>
      </c>
      <c r="H9" s="238">
        <f t="shared" si="2"/>
        <v>0</v>
      </c>
      <c r="I9" s="239">
        <v>0</v>
      </c>
      <c r="J9" s="238">
        <f t="shared" si="3"/>
        <v>0</v>
      </c>
      <c r="K9" s="239">
        <v>0</v>
      </c>
      <c r="L9" s="238">
        <f t="shared" si="4"/>
        <v>0</v>
      </c>
      <c r="M9" s="239">
        <v>0</v>
      </c>
      <c r="N9" s="238">
        <f t="shared" si="5"/>
        <v>0</v>
      </c>
      <c r="O9" s="239">
        <v>0</v>
      </c>
      <c r="P9" s="238">
        <f t="shared" si="6"/>
        <v>0</v>
      </c>
      <c r="Q9" s="239">
        <v>0</v>
      </c>
      <c r="R9" s="238">
        <f t="shared" si="7"/>
        <v>0</v>
      </c>
      <c r="S9" s="239">
        <v>547.08000000000004</v>
      </c>
      <c r="T9" s="238">
        <f t="shared" si="8"/>
        <v>39116.220000000001</v>
      </c>
      <c r="U9" s="239">
        <v>0</v>
      </c>
      <c r="V9" s="238">
        <f t="shared" si="9"/>
        <v>0</v>
      </c>
      <c r="W9" s="239">
        <v>0</v>
      </c>
      <c r="X9" s="238">
        <f t="shared" si="10"/>
        <v>0</v>
      </c>
      <c r="Y9" s="239">
        <v>0</v>
      </c>
      <c r="Z9" s="238">
        <f t="shared" si="11"/>
        <v>0</v>
      </c>
      <c r="AA9" s="239">
        <v>0</v>
      </c>
      <c r="AB9" s="238">
        <f t="shared" si="12"/>
        <v>0</v>
      </c>
      <c r="AC9" s="239">
        <v>0</v>
      </c>
      <c r="AD9" s="238">
        <f t="shared" si="13"/>
        <v>0</v>
      </c>
      <c r="AE9" s="239">
        <v>0</v>
      </c>
      <c r="AF9" s="238">
        <f t="shared" si="14"/>
        <v>0</v>
      </c>
      <c r="AG9" s="239">
        <v>0</v>
      </c>
      <c r="AH9" s="238">
        <f t="shared" si="15"/>
        <v>0</v>
      </c>
      <c r="AI9" s="239">
        <v>0</v>
      </c>
      <c r="AJ9" s="238">
        <f t="shared" si="16"/>
        <v>0</v>
      </c>
      <c r="AK9" s="239">
        <v>0</v>
      </c>
      <c r="AL9" s="238">
        <f t="shared" si="17"/>
        <v>0</v>
      </c>
      <c r="AM9" s="239">
        <v>0</v>
      </c>
      <c r="AN9" s="238">
        <f t="shared" si="18"/>
        <v>0</v>
      </c>
      <c r="AO9" s="239">
        <v>0</v>
      </c>
      <c r="AP9" s="238">
        <f t="shared" si="19"/>
        <v>0</v>
      </c>
      <c r="AQ9" s="239">
        <v>0</v>
      </c>
      <c r="AR9" s="238">
        <f t="shared" si="20"/>
        <v>0</v>
      </c>
      <c r="AS9" s="239">
        <v>0</v>
      </c>
      <c r="AT9" s="238">
        <f t="shared" si="21"/>
        <v>0</v>
      </c>
      <c r="AU9" s="239">
        <v>0</v>
      </c>
      <c r="AV9" s="238">
        <f t="shared" si="22"/>
        <v>0</v>
      </c>
      <c r="AW9" s="239">
        <v>0</v>
      </c>
      <c r="AX9" s="238">
        <f t="shared" si="23"/>
        <v>0</v>
      </c>
      <c r="AY9" s="239">
        <v>0</v>
      </c>
      <c r="AZ9" s="238">
        <f t="shared" si="24"/>
        <v>0</v>
      </c>
      <c r="BA9" s="239">
        <v>0</v>
      </c>
      <c r="BB9" s="238">
        <f t="shared" si="25"/>
        <v>0</v>
      </c>
      <c r="BC9" s="239">
        <v>0</v>
      </c>
      <c r="BD9" s="238">
        <f t="shared" si="26"/>
        <v>0</v>
      </c>
      <c r="BE9" s="239">
        <v>0</v>
      </c>
      <c r="BF9" s="238">
        <f t="shared" si="27"/>
        <v>0</v>
      </c>
      <c r="BG9" s="239">
        <v>0</v>
      </c>
      <c r="BH9" s="238">
        <f t="shared" si="28"/>
        <v>0</v>
      </c>
      <c r="BI9" s="239">
        <v>0</v>
      </c>
      <c r="BJ9" s="238">
        <f t="shared" si="29"/>
        <v>0</v>
      </c>
      <c r="BK9" s="239">
        <v>0</v>
      </c>
      <c r="BL9" s="238">
        <f t="shared" si="30"/>
        <v>0</v>
      </c>
      <c r="BM9" s="239">
        <v>0</v>
      </c>
      <c r="BN9" s="238">
        <f t="shared" si="31"/>
        <v>0</v>
      </c>
      <c r="BO9" s="239">
        <v>0</v>
      </c>
      <c r="BP9" s="238">
        <f t="shared" si="32"/>
        <v>0</v>
      </c>
      <c r="BQ9" s="239">
        <v>0</v>
      </c>
      <c r="BR9" s="238">
        <f t="shared" si="33"/>
        <v>0</v>
      </c>
      <c r="BS9" s="225"/>
      <c r="BT9" s="239">
        <f>ROUND(+BO9+BM9+BK9+BG9+BE9+BC9+AY9+AW9+AS9+AQ9+AO9+AM9+AK9+AI9+AG9+AE9+AA9+C9+E9+G9+I9+M9+O9+Q9+S9+W9+BQ9+AC9+Y9+BI9+BA9+K9+U9+AU9,0)</f>
        <v>547</v>
      </c>
      <c r="BU9" s="238">
        <f>+BT9*$B9</f>
        <v>39110.5</v>
      </c>
    </row>
    <row r="10" spans="1:73" ht="14.25">
      <c r="A10" s="241">
        <v>1959</v>
      </c>
      <c r="B10" s="240">
        <f t="shared" si="34" ref="B10:B41">$A$72-A10+0.5</f>
        <v>62.5</v>
      </c>
      <c r="C10" s="239">
        <v>0</v>
      </c>
      <c r="D10" s="238">
        <f t="shared" si="0"/>
        <v>0</v>
      </c>
      <c r="E10" s="239">
        <v>0</v>
      </c>
      <c r="F10" s="238">
        <f t="shared" si="1"/>
        <v>0</v>
      </c>
      <c r="G10" s="239">
        <v>0</v>
      </c>
      <c r="H10" s="238">
        <f t="shared" si="2"/>
        <v>0</v>
      </c>
      <c r="I10" s="239">
        <v>0</v>
      </c>
      <c r="J10" s="238">
        <f t="shared" si="3"/>
        <v>0</v>
      </c>
      <c r="K10" s="239">
        <v>0</v>
      </c>
      <c r="L10" s="238">
        <f t="shared" si="4"/>
        <v>0</v>
      </c>
      <c r="M10" s="239">
        <v>0</v>
      </c>
      <c r="N10" s="238">
        <f t="shared" si="5"/>
        <v>0</v>
      </c>
      <c r="O10" s="239">
        <v>0</v>
      </c>
      <c r="P10" s="238">
        <f t="shared" si="6"/>
        <v>0</v>
      </c>
      <c r="Q10" s="239">
        <v>0</v>
      </c>
      <c r="R10" s="238">
        <f t="shared" si="7"/>
        <v>0</v>
      </c>
      <c r="S10" s="239">
        <v>34.149999999999999</v>
      </c>
      <c r="T10" s="238">
        <f t="shared" si="8"/>
        <v>2134.375</v>
      </c>
      <c r="U10" s="239">
        <v>0</v>
      </c>
      <c r="V10" s="238">
        <f t="shared" si="9"/>
        <v>0</v>
      </c>
      <c r="W10" s="239">
        <v>210.11000000000001</v>
      </c>
      <c r="X10" s="238">
        <f t="shared" si="10"/>
        <v>13131.875</v>
      </c>
      <c r="Y10" s="239">
        <v>0</v>
      </c>
      <c r="Z10" s="238">
        <f t="shared" si="11"/>
        <v>0</v>
      </c>
      <c r="AA10" s="239">
        <v>0</v>
      </c>
      <c r="AB10" s="238">
        <f t="shared" si="12"/>
        <v>0</v>
      </c>
      <c r="AC10" s="239">
        <v>0</v>
      </c>
      <c r="AD10" s="238">
        <f t="shared" si="13"/>
        <v>0</v>
      </c>
      <c r="AE10" s="239">
        <v>0</v>
      </c>
      <c r="AF10" s="238">
        <f t="shared" si="14"/>
        <v>0</v>
      </c>
      <c r="AG10" s="239">
        <v>0</v>
      </c>
      <c r="AH10" s="238">
        <f t="shared" si="15"/>
        <v>0</v>
      </c>
      <c r="AI10" s="239">
        <v>0</v>
      </c>
      <c r="AJ10" s="238">
        <f t="shared" si="16"/>
        <v>0</v>
      </c>
      <c r="AK10" s="239">
        <v>0</v>
      </c>
      <c r="AL10" s="238">
        <f t="shared" si="17"/>
        <v>0</v>
      </c>
      <c r="AM10" s="239">
        <v>0</v>
      </c>
      <c r="AN10" s="238">
        <f t="shared" si="18"/>
        <v>0</v>
      </c>
      <c r="AO10" s="239">
        <v>0</v>
      </c>
      <c r="AP10" s="238">
        <f t="shared" si="19"/>
        <v>0</v>
      </c>
      <c r="AQ10" s="239">
        <v>0</v>
      </c>
      <c r="AR10" s="238">
        <f t="shared" si="20"/>
        <v>0</v>
      </c>
      <c r="AS10" s="239">
        <v>0</v>
      </c>
      <c r="AT10" s="238">
        <f t="shared" si="21"/>
        <v>0</v>
      </c>
      <c r="AU10" s="239">
        <v>0</v>
      </c>
      <c r="AV10" s="238">
        <f t="shared" si="22"/>
        <v>0</v>
      </c>
      <c r="AW10" s="239">
        <v>0</v>
      </c>
      <c r="AX10" s="238">
        <f t="shared" si="23"/>
        <v>0</v>
      </c>
      <c r="AY10" s="239">
        <v>0</v>
      </c>
      <c r="AZ10" s="238">
        <f t="shared" si="24"/>
        <v>0</v>
      </c>
      <c r="BA10" s="239">
        <v>0</v>
      </c>
      <c r="BB10" s="238">
        <f t="shared" si="25"/>
        <v>0</v>
      </c>
      <c r="BC10" s="239">
        <v>0</v>
      </c>
      <c r="BD10" s="238">
        <f t="shared" si="26"/>
        <v>0</v>
      </c>
      <c r="BE10" s="239">
        <v>0</v>
      </c>
      <c r="BF10" s="238">
        <f t="shared" si="27"/>
        <v>0</v>
      </c>
      <c r="BG10" s="239">
        <v>0</v>
      </c>
      <c r="BH10" s="238">
        <f t="shared" si="28"/>
        <v>0</v>
      </c>
      <c r="BI10" s="239">
        <v>0</v>
      </c>
      <c r="BJ10" s="238">
        <f t="shared" si="29"/>
        <v>0</v>
      </c>
      <c r="BK10" s="239">
        <v>0</v>
      </c>
      <c r="BL10" s="238">
        <f t="shared" si="30"/>
        <v>0</v>
      </c>
      <c r="BM10" s="239">
        <v>0</v>
      </c>
      <c r="BN10" s="238">
        <f t="shared" si="31"/>
        <v>0</v>
      </c>
      <c r="BO10" s="239">
        <v>0</v>
      </c>
      <c r="BP10" s="238">
        <f t="shared" si="32"/>
        <v>0</v>
      </c>
      <c r="BQ10" s="239">
        <v>0</v>
      </c>
      <c r="BR10" s="238">
        <f t="shared" si="33"/>
        <v>0</v>
      </c>
      <c r="BS10" s="225"/>
      <c r="BT10" s="239">
        <f t="shared" si="35" ref="BT10:BT41">ROUND(+BO10+BM10+BK10+BG10+BE10+BC10+AY10+AW10+AS10+AQ10+AO10+AM10+AK10+AI10+AG10+AE10+AA10+C10+E10+G10+I10+M10+O10+Q10+S10+W10+BQ10+AC10+Y10+BI10+BA10+K10+U10+AU10,0)</f>
        <v>244</v>
      </c>
      <c r="BU10" s="238">
        <f t="shared" si="36" ref="BU10:BU41">+BT10*$B10</f>
        <v>15250</v>
      </c>
    </row>
    <row r="11" spans="1:73" ht="14.25">
      <c r="A11" s="241">
        <v>1960</v>
      </c>
      <c r="B11" s="240">
        <f t="shared" si="34"/>
        <v>61.5</v>
      </c>
      <c r="C11" s="239">
        <v>0</v>
      </c>
      <c r="D11" s="238">
        <f t="shared" si="0"/>
        <v>0</v>
      </c>
      <c r="E11" s="239">
        <v>0</v>
      </c>
      <c r="F11" s="238">
        <f t="shared" si="1"/>
        <v>0</v>
      </c>
      <c r="G11" s="239">
        <v>0</v>
      </c>
      <c r="H11" s="238">
        <f t="shared" si="2"/>
        <v>0</v>
      </c>
      <c r="I11" s="239">
        <v>519.19000000000005</v>
      </c>
      <c r="J11" s="238">
        <f t="shared" si="3"/>
        <v>31930.185000000005</v>
      </c>
      <c r="K11" s="239">
        <v>0</v>
      </c>
      <c r="L11" s="238">
        <f t="shared" si="4"/>
        <v>0</v>
      </c>
      <c r="M11" s="239">
        <v>0</v>
      </c>
      <c r="N11" s="238">
        <f t="shared" si="5"/>
        <v>0</v>
      </c>
      <c r="O11" s="239">
        <v>0</v>
      </c>
      <c r="P11" s="238">
        <f t="shared" si="6"/>
        <v>0</v>
      </c>
      <c r="Q11" s="239">
        <v>0</v>
      </c>
      <c r="R11" s="238">
        <f t="shared" si="7"/>
        <v>0</v>
      </c>
      <c r="S11" s="239">
        <v>2215.8800000000001</v>
      </c>
      <c r="T11" s="238">
        <f t="shared" si="8"/>
        <v>136276.62</v>
      </c>
      <c r="U11" s="239">
        <v>0</v>
      </c>
      <c r="V11" s="238">
        <f t="shared" si="9"/>
        <v>0</v>
      </c>
      <c r="W11" s="239">
        <v>0</v>
      </c>
      <c r="X11" s="238">
        <f t="shared" si="10"/>
        <v>0</v>
      </c>
      <c r="Y11" s="239">
        <v>0</v>
      </c>
      <c r="Z11" s="238">
        <f t="shared" si="11"/>
        <v>0</v>
      </c>
      <c r="AA11" s="239">
        <v>0</v>
      </c>
      <c r="AB11" s="238">
        <f t="shared" si="12"/>
        <v>0</v>
      </c>
      <c r="AC11" s="239">
        <v>0</v>
      </c>
      <c r="AD11" s="238">
        <f t="shared" si="13"/>
        <v>0</v>
      </c>
      <c r="AE11" s="239">
        <v>0</v>
      </c>
      <c r="AF11" s="238">
        <f t="shared" si="14"/>
        <v>0</v>
      </c>
      <c r="AG11" s="239">
        <v>0</v>
      </c>
      <c r="AH11" s="238">
        <f t="shared" si="15"/>
        <v>0</v>
      </c>
      <c r="AI11" s="239">
        <v>0</v>
      </c>
      <c r="AJ11" s="238">
        <f t="shared" si="16"/>
        <v>0</v>
      </c>
      <c r="AK11" s="239">
        <v>0</v>
      </c>
      <c r="AL11" s="238">
        <f t="shared" si="17"/>
        <v>0</v>
      </c>
      <c r="AM11" s="239">
        <v>0</v>
      </c>
      <c r="AN11" s="238">
        <f t="shared" si="18"/>
        <v>0</v>
      </c>
      <c r="AO11" s="239">
        <v>0</v>
      </c>
      <c r="AP11" s="238">
        <f t="shared" si="19"/>
        <v>0</v>
      </c>
      <c r="AQ11" s="239">
        <v>0</v>
      </c>
      <c r="AR11" s="238">
        <f t="shared" si="20"/>
        <v>0</v>
      </c>
      <c r="AS11" s="239">
        <v>0</v>
      </c>
      <c r="AT11" s="238">
        <f t="shared" si="21"/>
        <v>0</v>
      </c>
      <c r="AU11" s="239">
        <v>0</v>
      </c>
      <c r="AV11" s="238">
        <f t="shared" si="22"/>
        <v>0</v>
      </c>
      <c r="AW11" s="239">
        <v>0</v>
      </c>
      <c r="AX11" s="238">
        <f t="shared" si="23"/>
        <v>0</v>
      </c>
      <c r="AY11" s="239">
        <v>0</v>
      </c>
      <c r="AZ11" s="238">
        <f t="shared" si="24"/>
        <v>0</v>
      </c>
      <c r="BA11" s="239">
        <v>0</v>
      </c>
      <c r="BB11" s="238">
        <f t="shared" si="25"/>
        <v>0</v>
      </c>
      <c r="BC11" s="239">
        <v>0</v>
      </c>
      <c r="BD11" s="238">
        <f t="shared" si="26"/>
        <v>0</v>
      </c>
      <c r="BE11" s="239">
        <v>0</v>
      </c>
      <c r="BF11" s="238">
        <f t="shared" si="27"/>
        <v>0</v>
      </c>
      <c r="BG11" s="239">
        <v>0</v>
      </c>
      <c r="BH11" s="238">
        <f t="shared" si="28"/>
        <v>0</v>
      </c>
      <c r="BI11" s="239">
        <v>0</v>
      </c>
      <c r="BJ11" s="238">
        <f t="shared" si="29"/>
        <v>0</v>
      </c>
      <c r="BK11" s="239">
        <v>0</v>
      </c>
      <c r="BL11" s="238">
        <f t="shared" si="30"/>
        <v>0</v>
      </c>
      <c r="BM11" s="239">
        <v>0</v>
      </c>
      <c r="BN11" s="238">
        <f t="shared" si="31"/>
        <v>0</v>
      </c>
      <c r="BO11" s="239">
        <v>0</v>
      </c>
      <c r="BP11" s="238">
        <f t="shared" si="32"/>
        <v>0</v>
      </c>
      <c r="BQ11" s="239">
        <v>0</v>
      </c>
      <c r="BR11" s="238">
        <f t="shared" si="33"/>
        <v>0</v>
      </c>
      <c r="BS11" s="225"/>
      <c r="BT11" s="239">
        <f t="shared" si="35"/>
        <v>2735</v>
      </c>
      <c r="BU11" s="238">
        <f t="shared" si="36"/>
        <v>168202.5</v>
      </c>
    </row>
    <row r="12" spans="1:73" ht="14.25">
      <c r="A12" s="241">
        <v>1961</v>
      </c>
      <c r="B12" s="240">
        <f t="shared" si="34"/>
        <v>60.5</v>
      </c>
      <c r="C12" s="239">
        <v>0</v>
      </c>
      <c r="D12" s="238">
        <f t="shared" si="0"/>
        <v>0</v>
      </c>
      <c r="E12" s="239">
        <v>0</v>
      </c>
      <c r="F12" s="238">
        <f t="shared" si="1"/>
        <v>0</v>
      </c>
      <c r="G12" s="239">
        <v>0</v>
      </c>
      <c r="H12" s="238">
        <f t="shared" si="2"/>
        <v>0</v>
      </c>
      <c r="I12" s="239">
        <v>2188.4499999999998</v>
      </c>
      <c r="J12" s="238">
        <f t="shared" si="3"/>
        <v>132401.22499999998</v>
      </c>
      <c r="K12" s="239">
        <v>0</v>
      </c>
      <c r="L12" s="238">
        <f t="shared" si="4"/>
        <v>0</v>
      </c>
      <c r="M12" s="239">
        <v>0</v>
      </c>
      <c r="N12" s="238">
        <f t="shared" si="5"/>
        <v>0</v>
      </c>
      <c r="O12" s="239">
        <v>0</v>
      </c>
      <c r="P12" s="238">
        <f t="shared" si="6"/>
        <v>0</v>
      </c>
      <c r="Q12" s="239">
        <v>0</v>
      </c>
      <c r="R12" s="238">
        <f t="shared" si="7"/>
        <v>0</v>
      </c>
      <c r="S12" s="239">
        <v>206.66999999999999</v>
      </c>
      <c r="T12" s="238">
        <f t="shared" si="8"/>
        <v>12503.535</v>
      </c>
      <c r="U12" s="239">
        <v>0</v>
      </c>
      <c r="V12" s="238">
        <f t="shared" si="9"/>
        <v>0</v>
      </c>
      <c r="W12" s="239">
        <v>0</v>
      </c>
      <c r="X12" s="238">
        <f t="shared" si="10"/>
        <v>0</v>
      </c>
      <c r="Y12" s="239">
        <v>0</v>
      </c>
      <c r="Z12" s="238">
        <f t="shared" si="11"/>
        <v>0</v>
      </c>
      <c r="AA12" s="239">
        <v>0</v>
      </c>
      <c r="AB12" s="238">
        <f t="shared" si="12"/>
        <v>0</v>
      </c>
      <c r="AC12" s="239">
        <v>0</v>
      </c>
      <c r="AD12" s="238">
        <f t="shared" si="13"/>
        <v>0</v>
      </c>
      <c r="AE12" s="239">
        <v>0</v>
      </c>
      <c r="AF12" s="238">
        <f t="shared" si="14"/>
        <v>0</v>
      </c>
      <c r="AG12" s="239">
        <v>0</v>
      </c>
      <c r="AH12" s="238">
        <f t="shared" si="15"/>
        <v>0</v>
      </c>
      <c r="AI12" s="239">
        <v>0</v>
      </c>
      <c r="AJ12" s="238">
        <f t="shared" si="16"/>
        <v>0</v>
      </c>
      <c r="AK12" s="239">
        <v>0</v>
      </c>
      <c r="AL12" s="238">
        <f t="shared" si="17"/>
        <v>0</v>
      </c>
      <c r="AM12" s="239">
        <v>0</v>
      </c>
      <c r="AN12" s="238">
        <f t="shared" si="18"/>
        <v>0</v>
      </c>
      <c r="AO12" s="239">
        <v>0</v>
      </c>
      <c r="AP12" s="238">
        <f t="shared" si="19"/>
        <v>0</v>
      </c>
      <c r="AQ12" s="239">
        <v>0</v>
      </c>
      <c r="AR12" s="238">
        <f t="shared" si="20"/>
        <v>0</v>
      </c>
      <c r="AS12" s="239">
        <v>0</v>
      </c>
      <c r="AT12" s="238">
        <f t="shared" si="21"/>
        <v>0</v>
      </c>
      <c r="AU12" s="239">
        <v>0</v>
      </c>
      <c r="AV12" s="238">
        <f t="shared" si="22"/>
        <v>0</v>
      </c>
      <c r="AW12" s="239">
        <v>0</v>
      </c>
      <c r="AX12" s="238">
        <f t="shared" si="23"/>
        <v>0</v>
      </c>
      <c r="AY12" s="239">
        <v>0</v>
      </c>
      <c r="AZ12" s="238">
        <f t="shared" si="24"/>
        <v>0</v>
      </c>
      <c r="BA12" s="239">
        <v>0</v>
      </c>
      <c r="BB12" s="238">
        <f t="shared" si="25"/>
        <v>0</v>
      </c>
      <c r="BC12" s="239">
        <v>0</v>
      </c>
      <c r="BD12" s="238">
        <f t="shared" si="26"/>
        <v>0</v>
      </c>
      <c r="BE12" s="239">
        <v>0</v>
      </c>
      <c r="BF12" s="238">
        <f t="shared" si="27"/>
        <v>0</v>
      </c>
      <c r="BG12" s="239">
        <v>0</v>
      </c>
      <c r="BH12" s="238">
        <f t="shared" si="28"/>
        <v>0</v>
      </c>
      <c r="BI12" s="239">
        <v>0</v>
      </c>
      <c r="BJ12" s="238">
        <f t="shared" si="29"/>
        <v>0</v>
      </c>
      <c r="BK12" s="239">
        <v>0</v>
      </c>
      <c r="BL12" s="238">
        <f t="shared" si="30"/>
        <v>0</v>
      </c>
      <c r="BM12" s="239">
        <v>0</v>
      </c>
      <c r="BN12" s="238">
        <f t="shared" si="31"/>
        <v>0</v>
      </c>
      <c r="BO12" s="239">
        <v>0</v>
      </c>
      <c r="BP12" s="238">
        <f t="shared" si="32"/>
        <v>0</v>
      </c>
      <c r="BQ12" s="239">
        <v>0</v>
      </c>
      <c r="BR12" s="238">
        <f t="shared" si="33"/>
        <v>0</v>
      </c>
      <c r="BS12" s="225"/>
      <c r="BT12" s="239">
        <f t="shared" si="35"/>
        <v>2395</v>
      </c>
      <c r="BU12" s="238">
        <f t="shared" si="36"/>
        <v>144897.5</v>
      </c>
    </row>
    <row r="13" spans="1:73" ht="14.25">
      <c r="A13" s="241">
        <v>1962</v>
      </c>
      <c r="B13" s="240">
        <f t="shared" si="34"/>
        <v>59.5</v>
      </c>
      <c r="C13" s="239">
        <v>0</v>
      </c>
      <c r="D13" s="238">
        <f t="shared" si="0"/>
        <v>0</v>
      </c>
      <c r="E13" s="239">
        <v>0</v>
      </c>
      <c r="F13" s="238">
        <f t="shared" si="1"/>
        <v>0</v>
      </c>
      <c r="G13" s="239">
        <v>0</v>
      </c>
      <c r="H13" s="238">
        <f t="shared" si="2"/>
        <v>0</v>
      </c>
      <c r="I13" s="239">
        <v>1996.9300000000001</v>
      </c>
      <c r="J13" s="238">
        <f t="shared" si="3"/>
        <v>118817.33500000001</v>
      </c>
      <c r="K13" s="239">
        <v>0</v>
      </c>
      <c r="L13" s="238">
        <f t="shared" si="4"/>
        <v>0</v>
      </c>
      <c r="M13" s="239">
        <v>0</v>
      </c>
      <c r="N13" s="238">
        <f t="shared" si="5"/>
        <v>0</v>
      </c>
      <c r="O13" s="239">
        <v>0</v>
      </c>
      <c r="P13" s="238">
        <f t="shared" si="6"/>
        <v>0</v>
      </c>
      <c r="Q13" s="239">
        <v>0</v>
      </c>
      <c r="R13" s="238">
        <f t="shared" si="7"/>
        <v>0</v>
      </c>
      <c r="S13" s="239">
        <v>124.59999999999999</v>
      </c>
      <c r="T13" s="238">
        <f t="shared" si="8"/>
        <v>7413.6999999999998</v>
      </c>
      <c r="U13" s="239">
        <v>0</v>
      </c>
      <c r="V13" s="238">
        <f t="shared" si="9"/>
        <v>0</v>
      </c>
      <c r="W13" s="239">
        <v>0</v>
      </c>
      <c r="X13" s="238">
        <f t="shared" si="10"/>
        <v>0</v>
      </c>
      <c r="Y13" s="239">
        <v>0</v>
      </c>
      <c r="Z13" s="238">
        <f t="shared" si="11"/>
        <v>0</v>
      </c>
      <c r="AA13" s="239">
        <v>0</v>
      </c>
      <c r="AB13" s="238">
        <f t="shared" si="12"/>
        <v>0</v>
      </c>
      <c r="AC13" s="239">
        <v>0</v>
      </c>
      <c r="AD13" s="238">
        <f t="shared" si="13"/>
        <v>0</v>
      </c>
      <c r="AE13" s="239">
        <v>0</v>
      </c>
      <c r="AF13" s="238">
        <f t="shared" si="14"/>
        <v>0</v>
      </c>
      <c r="AG13" s="239">
        <v>0</v>
      </c>
      <c r="AH13" s="238">
        <f t="shared" si="15"/>
        <v>0</v>
      </c>
      <c r="AI13" s="239">
        <v>0</v>
      </c>
      <c r="AJ13" s="238">
        <f t="shared" si="16"/>
        <v>0</v>
      </c>
      <c r="AK13" s="239">
        <v>0</v>
      </c>
      <c r="AL13" s="238">
        <f t="shared" si="17"/>
        <v>0</v>
      </c>
      <c r="AM13" s="239">
        <v>0</v>
      </c>
      <c r="AN13" s="238">
        <f t="shared" si="18"/>
        <v>0</v>
      </c>
      <c r="AO13" s="239">
        <v>0</v>
      </c>
      <c r="AP13" s="238">
        <f t="shared" si="19"/>
        <v>0</v>
      </c>
      <c r="AQ13" s="239">
        <v>0</v>
      </c>
      <c r="AR13" s="238">
        <f t="shared" si="20"/>
        <v>0</v>
      </c>
      <c r="AS13" s="239">
        <v>0</v>
      </c>
      <c r="AT13" s="238">
        <f t="shared" si="21"/>
        <v>0</v>
      </c>
      <c r="AU13" s="239">
        <v>0</v>
      </c>
      <c r="AV13" s="238">
        <f t="shared" si="22"/>
        <v>0</v>
      </c>
      <c r="AW13" s="239">
        <v>0</v>
      </c>
      <c r="AX13" s="238">
        <f t="shared" si="23"/>
        <v>0</v>
      </c>
      <c r="AY13" s="239">
        <v>0</v>
      </c>
      <c r="AZ13" s="238">
        <f t="shared" si="24"/>
        <v>0</v>
      </c>
      <c r="BA13" s="239">
        <v>0</v>
      </c>
      <c r="BB13" s="238">
        <f t="shared" si="25"/>
        <v>0</v>
      </c>
      <c r="BC13" s="239">
        <v>0</v>
      </c>
      <c r="BD13" s="238">
        <f t="shared" si="26"/>
        <v>0</v>
      </c>
      <c r="BE13" s="239">
        <v>0</v>
      </c>
      <c r="BF13" s="238">
        <f t="shared" si="27"/>
        <v>0</v>
      </c>
      <c r="BG13" s="239">
        <v>0</v>
      </c>
      <c r="BH13" s="238">
        <f t="shared" si="28"/>
        <v>0</v>
      </c>
      <c r="BI13" s="239">
        <v>0</v>
      </c>
      <c r="BJ13" s="238">
        <f t="shared" si="29"/>
        <v>0</v>
      </c>
      <c r="BK13" s="239">
        <v>0</v>
      </c>
      <c r="BL13" s="238">
        <f t="shared" si="30"/>
        <v>0</v>
      </c>
      <c r="BM13" s="239">
        <v>0</v>
      </c>
      <c r="BN13" s="238">
        <f t="shared" si="31"/>
        <v>0</v>
      </c>
      <c r="BO13" s="239">
        <v>0</v>
      </c>
      <c r="BP13" s="238">
        <f t="shared" si="32"/>
        <v>0</v>
      </c>
      <c r="BQ13" s="239">
        <v>0</v>
      </c>
      <c r="BR13" s="238">
        <f t="shared" si="33"/>
        <v>0</v>
      </c>
      <c r="BS13" s="225"/>
      <c r="BT13" s="239">
        <f t="shared" si="35"/>
        <v>2122</v>
      </c>
      <c r="BU13" s="238">
        <f t="shared" si="36"/>
        <v>126259</v>
      </c>
    </row>
    <row r="14" spans="1:73" ht="14.25">
      <c r="A14" s="241">
        <v>1963</v>
      </c>
      <c r="B14" s="240">
        <f t="shared" si="34"/>
        <v>58.5</v>
      </c>
      <c r="C14" s="239">
        <v>0</v>
      </c>
      <c r="D14" s="238">
        <f t="shared" si="0"/>
        <v>0</v>
      </c>
      <c r="E14" s="239">
        <v>0</v>
      </c>
      <c r="F14" s="238">
        <f t="shared" si="1"/>
        <v>0</v>
      </c>
      <c r="G14" s="239">
        <v>0</v>
      </c>
      <c r="H14" s="238">
        <f t="shared" si="2"/>
        <v>0</v>
      </c>
      <c r="I14" s="239">
        <v>0</v>
      </c>
      <c r="J14" s="238">
        <f t="shared" si="3"/>
        <v>0</v>
      </c>
      <c r="K14" s="239">
        <v>0</v>
      </c>
      <c r="L14" s="238">
        <f t="shared" si="4"/>
        <v>0</v>
      </c>
      <c r="M14" s="239">
        <v>0</v>
      </c>
      <c r="N14" s="238">
        <f t="shared" si="5"/>
        <v>0</v>
      </c>
      <c r="O14" s="239">
        <v>0</v>
      </c>
      <c r="P14" s="238">
        <f t="shared" si="6"/>
        <v>0</v>
      </c>
      <c r="Q14" s="239">
        <v>0</v>
      </c>
      <c r="R14" s="238">
        <f t="shared" si="7"/>
        <v>0</v>
      </c>
      <c r="S14" s="239">
        <v>41.600000000000001</v>
      </c>
      <c r="T14" s="238">
        <f t="shared" si="8"/>
        <v>2433.5999999999999</v>
      </c>
      <c r="U14" s="239">
        <v>0</v>
      </c>
      <c r="V14" s="238">
        <f t="shared" si="9"/>
        <v>0</v>
      </c>
      <c r="W14" s="239">
        <v>512.14999999999998</v>
      </c>
      <c r="X14" s="238">
        <f t="shared" si="10"/>
        <v>29960.774999999998</v>
      </c>
      <c r="Y14" s="239">
        <v>0</v>
      </c>
      <c r="Z14" s="238">
        <f t="shared" si="11"/>
        <v>0</v>
      </c>
      <c r="AA14" s="239">
        <v>0</v>
      </c>
      <c r="AB14" s="238">
        <f t="shared" si="12"/>
        <v>0</v>
      </c>
      <c r="AC14" s="239">
        <v>0</v>
      </c>
      <c r="AD14" s="238">
        <f t="shared" si="13"/>
        <v>0</v>
      </c>
      <c r="AE14" s="239">
        <v>0</v>
      </c>
      <c r="AF14" s="238">
        <f t="shared" si="14"/>
        <v>0</v>
      </c>
      <c r="AG14" s="239">
        <v>0</v>
      </c>
      <c r="AH14" s="238">
        <f t="shared" si="15"/>
        <v>0</v>
      </c>
      <c r="AI14" s="239">
        <v>0</v>
      </c>
      <c r="AJ14" s="238">
        <f t="shared" si="16"/>
        <v>0</v>
      </c>
      <c r="AK14" s="239">
        <v>0</v>
      </c>
      <c r="AL14" s="238">
        <f t="shared" si="17"/>
        <v>0</v>
      </c>
      <c r="AM14" s="239">
        <v>0</v>
      </c>
      <c r="AN14" s="238">
        <f t="shared" si="18"/>
        <v>0</v>
      </c>
      <c r="AO14" s="239">
        <v>0</v>
      </c>
      <c r="AP14" s="238">
        <f t="shared" si="19"/>
        <v>0</v>
      </c>
      <c r="AQ14" s="239">
        <v>0</v>
      </c>
      <c r="AR14" s="238">
        <f t="shared" si="20"/>
        <v>0</v>
      </c>
      <c r="AS14" s="239">
        <v>0</v>
      </c>
      <c r="AT14" s="238">
        <f t="shared" si="21"/>
        <v>0</v>
      </c>
      <c r="AU14" s="239">
        <v>0</v>
      </c>
      <c r="AV14" s="238">
        <f t="shared" si="22"/>
        <v>0</v>
      </c>
      <c r="AW14" s="239">
        <v>0</v>
      </c>
      <c r="AX14" s="238">
        <f t="shared" si="23"/>
        <v>0</v>
      </c>
      <c r="AY14" s="239">
        <v>0</v>
      </c>
      <c r="AZ14" s="238">
        <f t="shared" si="24"/>
        <v>0</v>
      </c>
      <c r="BA14" s="239">
        <v>0</v>
      </c>
      <c r="BB14" s="238">
        <f t="shared" si="25"/>
        <v>0</v>
      </c>
      <c r="BC14" s="239">
        <v>0</v>
      </c>
      <c r="BD14" s="238">
        <f t="shared" si="26"/>
        <v>0</v>
      </c>
      <c r="BE14" s="239">
        <v>0</v>
      </c>
      <c r="BF14" s="238">
        <f t="shared" si="27"/>
        <v>0</v>
      </c>
      <c r="BG14" s="239">
        <v>0</v>
      </c>
      <c r="BH14" s="238">
        <f t="shared" si="28"/>
        <v>0</v>
      </c>
      <c r="BI14" s="239">
        <v>0</v>
      </c>
      <c r="BJ14" s="238">
        <f t="shared" si="29"/>
        <v>0</v>
      </c>
      <c r="BK14" s="239">
        <v>0</v>
      </c>
      <c r="BL14" s="238">
        <f t="shared" si="30"/>
        <v>0</v>
      </c>
      <c r="BM14" s="239">
        <v>0</v>
      </c>
      <c r="BN14" s="238">
        <f t="shared" si="31"/>
        <v>0</v>
      </c>
      <c r="BO14" s="239">
        <v>0</v>
      </c>
      <c r="BP14" s="238">
        <f t="shared" si="32"/>
        <v>0</v>
      </c>
      <c r="BQ14" s="239">
        <v>0</v>
      </c>
      <c r="BR14" s="238">
        <f t="shared" si="33"/>
        <v>0</v>
      </c>
      <c r="BS14" s="225"/>
      <c r="BT14" s="239">
        <f t="shared" si="35"/>
        <v>554</v>
      </c>
      <c r="BU14" s="238">
        <f t="shared" si="36"/>
        <v>32409</v>
      </c>
    </row>
    <row r="15" spans="1:73" ht="14.25" hidden="1">
      <c r="A15" s="241">
        <v>1964</v>
      </c>
      <c r="B15" s="240">
        <f t="shared" si="34"/>
        <v>57.5</v>
      </c>
      <c r="C15" s="239">
        <v>0</v>
      </c>
      <c r="D15" s="238">
        <f t="shared" si="0"/>
        <v>0</v>
      </c>
      <c r="E15" s="239">
        <v>0</v>
      </c>
      <c r="F15" s="238">
        <f t="shared" si="1"/>
        <v>0</v>
      </c>
      <c r="G15" s="239">
        <v>0</v>
      </c>
      <c r="H15" s="238">
        <f t="shared" si="2"/>
        <v>0</v>
      </c>
      <c r="I15" s="239">
        <v>0</v>
      </c>
      <c r="J15" s="238">
        <f t="shared" si="3"/>
        <v>0</v>
      </c>
      <c r="K15" s="239">
        <v>0</v>
      </c>
      <c r="L15" s="238">
        <f t="shared" si="4"/>
        <v>0</v>
      </c>
      <c r="M15" s="239">
        <v>0</v>
      </c>
      <c r="N15" s="238">
        <f t="shared" si="5"/>
        <v>0</v>
      </c>
      <c r="O15" s="239">
        <v>0</v>
      </c>
      <c r="P15" s="238">
        <f t="shared" si="6"/>
        <v>0</v>
      </c>
      <c r="Q15" s="239">
        <v>0</v>
      </c>
      <c r="R15" s="238">
        <f t="shared" si="7"/>
        <v>0</v>
      </c>
      <c r="S15" s="239">
        <v>0</v>
      </c>
      <c r="T15" s="238">
        <f t="shared" si="8"/>
        <v>0</v>
      </c>
      <c r="U15" s="239">
        <v>0</v>
      </c>
      <c r="V15" s="238">
        <f t="shared" si="9"/>
        <v>0</v>
      </c>
      <c r="W15" s="239">
        <v>0</v>
      </c>
      <c r="X15" s="238">
        <f t="shared" si="10"/>
        <v>0</v>
      </c>
      <c r="Y15" s="239">
        <v>0</v>
      </c>
      <c r="Z15" s="238">
        <f t="shared" si="11"/>
        <v>0</v>
      </c>
      <c r="AA15" s="239">
        <v>0</v>
      </c>
      <c r="AB15" s="238">
        <f t="shared" si="12"/>
        <v>0</v>
      </c>
      <c r="AC15" s="239">
        <v>0</v>
      </c>
      <c r="AD15" s="238">
        <f t="shared" si="13"/>
        <v>0</v>
      </c>
      <c r="AE15" s="239">
        <v>0</v>
      </c>
      <c r="AF15" s="238">
        <f t="shared" si="14"/>
        <v>0</v>
      </c>
      <c r="AG15" s="239">
        <v>0</v>
      </c>
      <c r="AH15" s="238">
        <f t="shared" si="15"/>
        <v>0</v>
      </c>
      <c r="AI15" s="239">
        <v>0</v>
      </c>
      <c r="AJ15" s="238">
        <f t="shared" si="16"/>
        <v>0</v>
      </c>
      <c r="AK15" s="239">
        <v>0</v>
      </c>
      <c r="AL15" s="238">
        <f t="shared" si="17"/>
        <v>0</v>
      </c>
      <c r="AM15" s="239">
        <v>0</v>
      </c>
      <c r="AN15" s="238">
        <f t="shared" si="18"/>
        <v>0</v>
      </c>
      <c r="AO15" s="239">
        <v>0</v>
      </c>
      <c r="AP15" s="238">
        <f t="shared" si="19"/>
        <v>0</v>
      </c>
      <c r="AQ15" s="239">
        <v>0</v>
      </c>
      <c r="AR15" s="238">
        <f t="shared" si="20"/>
        <v>0</v>
      </c>
      <c r="AS15" s="239">
        <v>0</v>
      </c>
      <c r="AT15" s="238">
        <f t="shared" si="21"/>
        <v>0</v>
      </c>
      <c r="AU15" s="239">
        <v>0</v>
      </c>
      <c r="AV15" s="238">
        <f t="shared" si="22"/>
        <v>0</v>
      </c>
      <c r="AW15" s="239">
        <v>0</v>
      </c>
      <c r="AX15" s="238">
        <f t="shared" si="23"/>
        <v>0</v>
      </c>
      <c r="AY15" s="239">
        <v>0</v>
      </c>
      <c r="AZ15" s="238">
        <f t="shared" si="24"/>
        <v>0</v>
      </c>
      <c r="BA15" s="239">
        <v>0</v>
      </c>
      <c r="BB15" s="238">
        <f t="shared" si="25"/>
        <v>0</v>
      </c>
      <c r="BC15" s="239">
        <v>0</v>
      </c>
      <c r="BD15" s="238">
        <f t="shared" si="26"/>
        <v>0</v>
      </c>
      <c r="BE15" s="239">
        <v>0</v>
      </c>
      <c r="BF15" s="238">
        <f t="shared" si="27"/>
        <v>0</v>
      </c>
      <c r="BG15" s="239">
        <v>0</v>
      </c>
      <c r="BH15" s="238">
        <f t="shared" si="28"/>
        <v>0</v>
      </c>
      <c r="BI15" s="239">
        <v>0</v>
      </c>
      <c r="BJ15" s="238">
        <f t="shared" si="29"/>
        <v>0</v>
      </c>
      <c r="BK15" s="239">
        <v>0</v>
      </c>
      <c r="BL15" s="238">
        <f t="shared" si="30"/>
        <v>0</v>
      </c>
      <c r="BM15" s="239">
        <v>0</v>
      </c>
      <c r="BN15" s="238">
        <f t="shared" si="31"/>
        <v>0</v>
      </c>
      <c r="BO15" s="239">
        <v>0</v>
      </c>
      <c r="BP15" s="238">
        <f t="shared" si="32"/>
        <v>0</v>
      </c>
      <c r="BQ15" s="239">
        <v>0</v>
      </c>
      <c r="BR15" s="238">
        <f t="shared" si="33"/>
        <v>0</v>
      </c>
      <c r="BS15" s="225"/>
      <c r="BT15" s="239">
        <f t="shared" si="35"/>
        <v>0</v>
      </c>
      <c r="BU15" s="238">
        <f t="shared" si="36"/>
        <v>0</v>
      </c>
    </row>
    <row r="16" spans="1:73" ht="14.25">
      <c r="A16" s="241">
        <v>1965</v>
      </c>
      <c r="B16" s="240">
        <f t="shared" si="34"/>
        <v>56.5</v>
      </c>
      <c r="C16" s="239">
        <v>0</v>
      </c>
      <c r="D16" s="238">
        <f t="shared" si="0"/>
        <v>0</v>
      </c>
      <c r="E16" s="239">
        <v>0</v>
      </c>
      <c r="F16" s="238">
        <f t="shared" si="1"/>
        <v>0</v>
      </c>
      <c r="G16" s="239">
        <v>0</v>
      </c>
      <c r="H16" s="238">
        <f t="shared" si="2"/>
        <v>0</v>
      </c>
      <c r="I16" s="239">
        <v>0</v>
      </c>
      <c r="J16" s="238">
        <f t="shared" si="3"/>
        <v>0</v>
      </c>
      <c r="K16" s="239">
        <v>0</v>
      </c>
      <c r="L16" s="238">
        <f t="shared" si="4"/>
        <v>0</v>
      </c>
      <c r="M16" s="239">
        <v>0</v>
      </c>
      <c r="N16" s="238">
        <f t="shared" si="5"/>
        <v>0</v>
      </c>
      <c r="O16" s="239">
        <v>0</v>
      </c>
      <c r="P16" s="238">
        <f t="shared" si="6"/>
        <v>0</v>
      </c>
      <c r="Q16" s="239">
        <v>0</v>
      </c>
      <c r="R16" s="238">
        <f t="shared" si="7"/>
        <v>0</v>
      </c>
      <c r="S16" s="239">
        <v>44.560000000000002</v>
      </c>
      <c r="T16" s="238">
        <f t="shared" si="8"/>
        <v>2517.6400000000003</v>
      </c>
      <c r="U16" s="239">
        <v>0</v>
      </c>
      <c r="V16" s="238">
        <f t="shared" si="9"/>
        <v>0</v>
      </c>
      <c r="W16" s="239">
        <v>0</v>
      </c>
      <c r="X16" s="238">
        <f t="shared" si="10"/>
        <v>0</v>
      </c>
      <c r="Y16" s="239">
        <v>0</v>
      </c>
      <c r="Z16" s="238">
        <f t="shared" si="11"/>
        <v>0</v>
      </c>
      <c r="AA16" s="239">
        <v>0</v>
      </c>
      <c r="AB16" s="238">
        <f t="shared" si="12"/>
        <v>0</v>
      </c>
      <c r="AC16" s="239">
        <v>0</v>
      </c>
      <c r="AD16" s="238">
        <f t="shared" si="13"/>
        <v>0</v>
      </c>
      <c r="AE16" s="239">
        <v>0</v>
      </c>
      <c r="AF16" s="238">
        <f t="shared" si="14"/>
        <v>0</v>
      </c>
      <c r="AG16" s="239">
        <v>0</v>
      </c>
      <c r="AH16" s="238">
        <f t="shared" si="15"/>
        <v>0</v>
      </c>
      <c r="AI16" s="239">
        <v>0</v>
      </c>
      <c r="AJ16" s="238">
        <f t="shared" si="16"/>
        <v>0</v>
      </c>
      <c r="AK16" s="239">
        <v>0</v>
      </c>
      <c r="AL16" s="238">
        <f t="shared" si="17"/>
        <v>0</v>
      </c>
      <c r="AM16" s="239">
        <v>0</v>
      </c>
      <c r="AN16" s="238">
        <f t="shared" si="18"/>
        <v>0</v>
      </c>
      <c r="AO16" s="239">
        <v>0</v>
      </c>
      <c r="AP16" s="238">
        <f t="shared" si="19"/>
        <v>0</v>
      </c>
      <c r="AQ16" s="239">
        <v>0</v>
      </c>
      <c r="AR16" s="238">
        <f t="shared" si="20"/>
        <v>0</v>
      </c>
      <c r="AS16" s="239">
        <v>0</v>
      </c>
      <c r="AT16" s="238">
        <f t="shared" si="21"/>
        <v>0</v>
      </c>
      <c r="AU16" s="239">
        <v>0</v>
      </c>
      <c r="AV16" s="238">
        <f t="shared" si="22"/>
        <v>0</v>
      </c>
      <c r="AW16" s="239">
        <v>0</v>
      </c>
      <c r="AX16" s="238">
        <f t="shared" si="23"/>
        <v>0</v>
      </c>
      <c r="AY16" s="239">
        <v>0</v>
      </c>
      <c r="AZ16" s="238">
        <f t="shared" si="24"/>
        <v>0</v>
      </c>
      <c r="BA16" s="239">
        <v>0</v>
      </c>
      <c r="BB16" s="238">
        <f t="shared" si="25"/>
        <v>0</v>
      </c>
      <c r="BC16" s="239">
        <v>0</v>
      </c>
      <c r="BD16" s="238">
        <f t="shared" si="26"/>
        <v>0</v>
      </c>
      <c r="BE16" s="239">
        <v>0</v>
      </c>
      <c r="BF16" s="238">
        <f t="shared" si="27"/>
        <v>0</v>
      </c>
      <c r="BG16" s="239">
        <v>0</v>
      </c>
      <c r="BH16" s="238">
        <f t="shared" si="28"/>
        <v>0</v>
      </c>
      <c r="BI16" s="239">
        <v>0</v>
      </c>
      <c r="BJ16" s="238">
        <f t="shared" si="29"/>
        <v>0</v>
      </c>
      <c r="BK16" s="239">
        <v>0</v>
      </c>
      <c r="BL16" s="238">
        <f t="shared" si="30"/>
        <v>0</v>
      </c>
      <c r="BM16" s="239">
        <v>0</v>
      </c>
      <c r="BN16" s="238">
        <f t="shared" si="31"/>
        <v>0</v>
      </c>
      <c r="BO16" s="239">
        <v>0</v>
      </c>
      <c r="BP16" s="238">
        <f t="shared" si="32"/>
        <v>0</v>
      </c>
      <c r="BQ16" s="239">
        <v>0</v>
      </c>
      <c r="BR16" s="238">
        <f t="shared" si="33"/>
        <v>0</v>
      </c>
      <c r="BS16" s="225"/>
      <c r="BT16" s="239">
        <f t="shared" si="35"/>
        <v>45</v>
      </c>
      <c r="BU16" s="238">
        <f t="shared" si="36"/>
        <v>2542.5</v>
      </c>
    </row>
    <row r="17" spans="1:73" ht="14.25">
      <c r="A17" s="241">
        <v>1966</v>
      </c>
      <c r="B17" s="240">
        <f t="shared" si="34"/>
        <v>55.5</v>
      </c>
      <c r="C17" s="239">
        <v>0</v>
      </c>
      <c r="D17" s="238">
        <f t="shared" si="0"/>
        <v>0</v>
      </c>
      <c r="E17" s="239">
        <v>0</v>
      </c>
      <c r="F17" s="238">
        <f t="shared" si="1"/>
        <v>0</v>
      </c>
      <c r="G17" s="239">
        <v>0</v>
      </c>
      <c r="H17" s="238">
        <f t="shared" si="2"/>
        <v>0</v>
      </c>
      <c r="I17" s="239">
        <v>0</v>
      </c>
      <c r="J17" s="238">
        <f t="shared" si="3"/>
        <v>0</v>
      </c>
      <c r="K17" s="239">
        <v>0</v>
      </c>
      <c r="L17" s="238">
        <f t="shared" si="4"/>
        <v>0</v>
      </c>
      <c r="M17" s="239">
        <v>0</v>
      </c>
      <c r="N17" s="238">
        <f t="shared" si="5"/>
        <v>0</v>
      </c>
      <c r="O17" s="239">
        <v>0</v>
      </c>
      <c r="P17" s="238">
        <f t="shared" si="6"/>
        <v>0</v>
      </c>
      <c r="Q17" s="239">
        <v>0</v>
      </c>
      <c r="R17" s="238">
        <f t="shared" si="7"/>
        <v>0</v>
      </c>
      <c r="S17" s="239">
        <v>52.670000000000002</v>
      </c>
      <c r="T17" s="238">
        <f t="shared" si="8"/>
        <v>2923.1849999999999</v>
      </c>
      <c r="U17" s="239">
        <v>0</v>
      </c>
      <c r="V17" s="238">
        <f t="shared" si="9"/>
        <v>0</v>
      </c>
      <c r="W17" s="239">
        <v>0</v>
      </c>
      <c r="X17" s="238">
        <f t="shared" si="10"/>
        <v>0</v>
      </c>
      <c r="Y17" s="239">
        <v>0</v>
      </c>
      <c r="Z17" s="238">
        <f t="shared" si="11"/>
        <v>0</v>
      </c>
      <c r="AA17" s="239">
        <v>0</v>
      </c>
      <c r="AB17" s="238">
        <f t="shared" si="12"/>
        <v>0</v>
      </c>
      <c r="AC17" s="239">
        <v>0</v>
      </c>
      <c r="AD17" s="238">
        <f t="shared" si="13"/>
        <v>0</v>
      </c>
      <c r="AE17" s="239">
        <v>0</v>
      </c>
      <c r="AF17" s="238">
        <f t="shared" si="14"/>
        <v>0</v>
      </c>
      <c r="AG17" s="239">
        <v>0</v>
      </c>
      <c r="AH17" s="238">
        <f t="shared" si="15"/>
        <v>0</v>
      </c>
      <c r="AI17" s="239">
        <v>0</v>
      </c>
      <c r="AJ17" s="238">
        <f t="shared" si="16"/>
        <v>0</v>
      </c>
      <c r="AK17" s="239">
        <v>0</v>
      </c>
      <c r="AL17" s="238">
        <f t="shared" si="17"/>
        <v>0</v>
      </c>
      <c r="AM17" s="239">
        <v>0</v>
      </c>
      <c r="AN17" s="238">
        <f t="shared" si="18"/>
        <v>0</v>
      </c>
      <c r="AO17" s="239">
        <v>0</v>
      </c>
      <c r="AP17" s="238">
        <f t="shared" si="19"/>
        <v>0</v>
      </c>
      <c r="AQ17" s="239">
        <v>0</v>
      </c>
      <c r="AR17" s="238">
        <f t="shared" si="20"/>
        <v>0</v>
      </c>
      <c r="AS17" s="239">
        <v>0</v>
      </c>
      <c r="AT17" s="238">
        <f t="shared" si="21"/>
        <v>0</v>
      </c>
      <c r="AU17" s="239">
        <v>0</v>
      </c>
      <c r="AV17" s="238">
        <f t="shared" si="22"/>
        <v>0</v>
      </c>
      <c r="AW17" s="239">
        <v>0</v>
      </c>
      <c r="AX17" s="238">
        <f t="shared" si="23"/>
        <v>0</v>
      </c>
      <c r="AY17" s="239">
        <v>0</v>
      </c>
      <c r="AZ17" s="238">
        <f t="shared" si="24"/>
        <v>0</v>
      </c>
      <c r="BA17" s="239">
        <v>0</v>
      </c>
      <c r="BB17" s="238">
        <f t="shared" si="25"/>
        <v>0</v>
      </c>
      <c r="BC17" s="239">
        <v>0</v>
      </c>
      <c r="BD17" s="238">
        <f t="shared" si="26"/>
        <v>0</v>
      </c>
      <c r="BE17" s="239">
        <v>0</v>
      </c>
      <c r="BF17" s="238">
        <f t="shared" si="27"/>
        <v>0</v>
      </c>
      <c r="BG17" s="239">
        <v>0</v>
      </c>
      <c r="BH17" s="238">
        <f t="shared" si="28"/>
        <v>0</v>
      </c>
      <c r="BI17" s="239">
        <v>0</v>
      </c>
      <c r="BJ17" s="238">
        <f t="shared" si="29"/>
        <v>0</v>
      </c>
      <c r="BK17" s="239">
        <v>0</v>
      </c>
      <c r="BL17" s="238">
        <f t="shared" si="30"/>
        <v>0</v>
      </c>
      <c r="BM17" s="239">
        <v>0</v>
      </c>
      <c r="BN17" s="238">
        <f t="shared" si="31"/>
        <v>0</v>
      </c>
      <c r="BO17" s="239">
        <v>0</v>
      </c>
      <c r="BP17" s="238">
        <f t="shared" si="32"/>
        <v>0</v>
      </c>
      <c r="BQ17" s="239">
        <v>0</v>
      </c>
      <c r="BR17" s="238">
        <f t="shared" si="33"/>
        <v>0</v>
      </c>
      <c r="BS17" s="225"/>
      <c r="BT17" s="239">
        <f t="shared" si="35"/>
        <v>53</v>
      </c>
      <c r="BU17" s="238">
        <f t="shared" si="36"/>
        <v>2941.5</v>
      </c>
    </row>
    <row r="18" spans="1:73" ht="14.25">
      <c r="A18" s="241">
        <v>1967</v>
      </c>
      <c r="B18" s="240">
        <f t="shared" si="34"/>
        <v>54.5</v>
      </c>
      <c r="C18" s="239">
        <v>0</v>
      </c>
      <c r="D18" s="238">
        <f t="shared" si="0"/>
        <v>0</v>
      </c>
      <c r="E18" s="239">
        <v>0</v>
      </c>
      <c r="F18" s="238">
        <f t="shared" si="1"/>
        <v>0</v>
      </c>
      <c r="G18" s="239">
        <v>0</v>
      </c>
      <c r="H18" s="238">
        <f t="shared" si="2"/>
        <v>0</v>
      </c>
      <c r="I18" s="239">
        <v>0</v>
      </c>
      <c r="J18" s="238">
        <f t="shared" si="3"/>
        <v>0</v>
      </c>
      <c r="K18" s="239">
        <v>0</v>
      </c>
      <c r="L18" s="238">
        <f t="shared" si="4"/>
        <v>0</v>
      </c>
      <c r="M18" s="239">
        <v>0</v>
      </c>
      <c r="N18" s="238">
        <f t="shared" si="5"/>
        <v>0</v>
      </c>
      <c r="O18" s="239">
        <v>0</v>
      </c>
      <c r="P18" s="238">
        <f t="shared" si="6"/>
        <v>0</v>
      </c>
      <c r="Q18" s="239">
        <v>0</v>
      </c>
      <c r="R18" s="238">
        <f t="shared" si="7"/>
        <v>0</v>
      </c>
      <c r="S18" s="239">
        <v>82</v>
      </c>
      <c r="T18" s="238">
        <f t="shared" si="8"/>
        <v>4469</v>
      </c>
      <c r="U18" s="239">
        <v>0</v>
      </c>
      <c r="V18" s="238">
        <f t="shared" si="9"/>
        <v>0</v>
      </c>
      <c r="W18" s="239">
        <v>0</v>
      </c>
      <c r="X18" s="238">
        <f t="shared" si="10"/>
        <v>0</v>
      </c>
      <c r="Y18" s="239">
        <v>0</v>
      </c>
      <c r="Z18" s="238">
        <f t="shared" si="11"/>
        <v>0</v>
      </c>
      <c r="AA18" s="239">
        <v>0</v>
      </c>
      <c r="AB18" s="238">
        <f t="shared" si="12"/>
        <v>0</v>
      </c>
      <c r="AC18" s="239">
        <v>0</v>
      </c>
      <c r="AD18" s="238">
        <f t="shared" si="13"/>
        <v>0</v>
      </c>
      <c r="AE18" s="239">
        <v>0</v>
      </c>
      <c r="AF18" s="238">
        <f t="shared" si="14"/>
        <v>0</v>
      </c>
      <c r="AG18" s="239">
        <v>0</v>
      </c>
      <c r="AH18" s="238">
        <f t="shared" si="15"/>
        <v>0</v>
      </c>
      <c r="AI18" s="239">
        <v>0</v>
      </c>
      <c r="AJ18" s="238">
        <f t="shared" si="16"/>
        <v>0</v>
      </c>
      <c r="AK18" s="239">
        <v>0</v>
      </c>
      <c r="AL18" s="238">
        <f t="shared" si="17"/>
        <v>0</v>
      </c>
      <c r="AM18" s="239">
        <v>0</v>
      </c>
      <c r="AN18" s="238">
        <f t="shared" si="18"/>
        <v>0</v>
      </c>
      <c r="AO18" s="239">
        <v>0</v>
      </c>
      <c r="AP18" s="238">
        <f t="shared" si="19"/>
        <v>0</v>
      </c>
      <c r="AQ18" s="239">
        <v>0</v>
      </c>
      <c r="AR18" s="238">
        <f t="shared" si="20"/>
        <v>0</v>
      </c>
      <c r="AS18" s="239">
        <v>0</v>
      </c>
      <c r="AT18" s="238">
        <f t="shared" si="21"/>
        <v>0</v>
      </c>
      <c r="AU18" s="239">
        <v>0</v>
      </c>
      <c r="AV18" s="238">
        <f t="shared" si="22"/>
        <v>0</v>
      </c>
      <c r="AW18" s="239">
        <v>0</v>
      </c>
      <c r="AX18" s="238">
        <f t="shared" si="23"/>
        <v>0</v>
      </c>
      <c r="AY18" s="239">
        <v>0</v>
      </c>
      <c r="AZ18" s="238">
        <f t="shared" si="24"/>
        <v>0</v>
      </c>
      <c r="BA18" s="239">
        <v>0</v>
      </c>
      <c r="BB18" s="238">
        <f t="shared" si="25"/>
        <v>0</v>
      </c>
      <c r="BC18" s="239">
        <v>0</v>
      </c>
      <c r="BD18" s="238">
        <f t="shared" si="26"/>
        <v>0</v>
      </c>
      <c r="BE18" s="239">
        <v>0</v>
      </c>
      <c r="BF18" s="238">
        <f t="shared" si="27"/>
        <v>0</v>
      </c>
      <c r="BG18" s="239">
        <v>0</v>
      </c>
      <c r="BH18" s="238">
        <f t="shared" si="28"/>
        <v>0</v>
      </c>
      <c r="BI18" s="239">
        <v>0</v>
      </c>
      <c r="BJ18" s="238">
        <f t="shared" si="29"/>
        <v>0</v>
      </c>
      <c r="BK18" s="239">
        <v>0</v>
      </c>
      <c r="BL18" s="238">
        <f t="shared" si="30"/>
        <v>0</v>
      </c>
      <c r="BM18" s="239">
        <v>0</v>
      </c>
      <c r="BN18" s="238">
        <f t="shared" si="31"/>
        <v>0</v>
      </c>
      <c r="BO18" s="239">
        <v>0</v>
      </c>
      <c r="BP18" s="238">
        <f t="shared" si="32"/>
        <v>0</v>
      </c>
      <c r="BQ18" s="239">
        <v>0</v>
      </c>
      <c r="BR18" s="238">
        <f t="shared" si="33"/>
        <v>0</v>
      </c>
      <c r="BS18" s="225"/>
      <c r="BT18" s="239">
        <f t="shared" si="35"/>
        <v>82</v>
      </c>
      <c r="BU18" s="238">
        <f t="shared" si="36"/>
        <v>4469</v>
      </c>
    </row>
    <row r="19" spans="1:73" ht="14.25">
      <c r="A19" s="241">
        <v>1968</v>
      </c>
      <c r="B19" s="240">
        <f t="shared" si="34"/>
        <v>53.5</v>
      </c>
      <c r="C19" s="239">
        <v>0</v>
      </c>
      <c r="D19" s="238">
        <f t="shared" si="0"/>
        <v>0</v>
      </c>
      <c r="E19" s="239">
        <v>0</v>
      </c>
      <c r="F19" s="238">
        <f t="shared" si="1"/>
        <v>0</v>
      </c>
      <c r="G19" s="239">
        <v>0</v>
      </c>
      <c r="H19" s="238">
        <f t="shared" si="2"/>
        <v>0</v>
      </c>
      <c r="I19" s="239">
        <v>0</v>
      </c>
      <c r="J19" s="238">
        <f t="shared" si="3"/>
        <v>0</v>
      </c>
      <c r="K19" s="239">
        <v>0</v>
      </c>
      <c r="L19" s="238">
        <f t="shared" si="4"/>
        <v>0</v>
      </c>
      <c r="M19" s="239">
        <v>0</v>
      </c>
      <c r="N19" s="238">
        <f t="shared" si="5"/>
        <v>0</v>
      </c>
      <c r="O19" s="239">
        <v>0</v>
      </c>
      <c r="P19" s="238">
        <f t="shared" si="6"/>
        <v>0</v>
      </c>
      <c r="Q19" s="239">
        <v>0</v>
      </c>
      <c r="R19" s="238">
        <f t="shared" si="7"/>
        <v>0</v>
      </c>
      <c r="S19" s="239">
        <v>45.189999999999998</v>
      </c>
      <c r="T19" s="238">
        <f t="shared" si="8"/>
        <v>2417.665</v>
      </c>
      <c r="U19" s="239">
        <v>0</v>
      </c>
      <c r="V19" s="238">
        <f t="shared" si="9"/>
        <v>0</v>
      </c>
      <c r="W19" s="239">
        <v>130</v>
      </c>
      <c r="X19" s="238">
        <f t="shared" si="10"/>
        <v>6955</v>
      </c>
      <c r="Y19" s="239">
        <v>0</v>
      </c>
      <c r="Z19" s="238">
        <f t="shared" si="11"/>
        <v>0</v>
      </c>
      <c r="AA19" s="239">
        <v>0</v>
      </c>
      <c r="AB19" s="238">
        <f t="shared" si="12"/>
        <v>0</v>
      </c>
      <c r="AC19" s="239">
        <v>0</v>
      </c>
      <c r="AD19" s="238">
        <f t="shared" si="13"/>
        <v>0</v>
      </c>
      <c r="AE19" s="239">
        <v>0</v>
      </c>
      <c r="AF19" s="238">
        <f t="shared" si="14"/>
        <v>0</v>
      </c>
      <c r="AG19" s="239">
        <v>0</v>
      </c>
      <c r="AH19" s="238">
        <f t="shared" si="15"/>
        <v>0</v>
      </c>
      <c r="AI19" s="239">
        <v>0</v>
      </c>
      <c r="AJ19" s="238">
        <f t="shared" si="16"/>
        <v>0</v>
      </c>
      <c r="AK19" s="239">
        <v>0</v>
      </c>
      <c r="AL19" s="238">
        <f t="shared" si="17"/>
        <v>0</v>
      </c>
      <c r="AM19" s="239">
        <v>0</v>
      </c>
      <c r="AN19" s="238">
        <f t="shared" si="18"/>
        <v>0</v>
      </c>
      <c r="AO19" s="239">
        <v>0</v>
      </c>
      <c r="AP19" s="238">
        <f t="shared" si="19"/>
        <v>0</v>
      </c>
      <c r="AQ19" s="239">
        <v>0</v>
      </c>
      <c r="AR19" s="238">
        <f t="shared" si="20"/>
        <v>0</v>
      </c>
      <c r="AS19" s="239">
        <v>0</v>
      </c>
      <c r="AT19" s="238">
        <f t="shared" si="21"/>
        <v>0</v>
      </c>
      <c r="AU19" s="239">
        <v>0</v>
      </c>
      <c r="AV19" s="238">
        <f t="shared" si="22"/>
        <v>0</v>
      </c>
      <c r="AW19" s="239">
        <v>0</v>
      </c>
      <c r="AX19" s="238">
        <f t="shared" si="23"/>
        <v>0</v>
      </c>
      <c r="AY19" s="239">
        <v>0</v>
      </c>
      <c r="AZ19" s="238">
        <f t="shared" si="24"/>
        <v>0</v>
      </c>
      <c r="BA19" s="239">
        <v>0</v>
      </c>
      <c r="BB19" s="238">
        <f t="shared" si="25"/>
        <v>0</v>
      </c>
      <c r="BC19" s="239">
        <v>0</v>
      </c>
      <c r="BD19" s="238">
        <f t="shared" si="26"/>
        <v>0</v>
      </c>
      <c r="BE19" s="239">
        <v>0</v>
      </c>
      <c r="BF19" s="238">
        <f t="shared" si="27"/>
        <v>0</v>
      </c>
      <c r="BG19" s="239">
        <v>0</v>
      </c>
      <c r="BH19" s="238">
        <f t="shared" si="28"/>
        <v>0</v>
      </c>
      <c r="BI19" s="239">
        <v>0</v>
      </c>
      <c r="BJ19" s="238">
        <f t="shared" si="29"/>
        <v>0</v>
      </c>
      <c r="BK19" s="239">
        <v>0</v>
      </c>
      <c r="BL19" s="238">
        <f t="shared" si="30"/>
        <v>0</v>
      </c>
      <c r="BM19" s="239">
        <v>0</v>
      </c>
      <c r="BN19" s="238">
        <f t="shared" si="31"/>
        <v>0</v>
      </c>
      <c r="BO19" s="239">
        <v>0</v>
      </c>
      <c r="BP19" s="238">
        <f t="shared" si="32"/>
        <v>0</v>
      </c>
      <c r="BQ19" s="239">
        <v>0</v>
      </c>
      <c r="BR19" s="238">
        <f t="shared" si="33"/>
        <v>0</v>
      </c>
      <c r="BS19" s="225"/>
      <c r="BT19" s="239">
        <f t="shared" si="35"/>
        <v>175</v>
      </c>
      <c r="BU19" s="238">
        <f t="shared" si="36"/>
        <v>9362.5</v>
      </c>
    </row>
    <row r="20" spans="1:73" ht="14.25">
      <c r="A20" s="241">
        <v>1969</v>
      </c>
      <c r="B20" s="240">
        <f t="shared" si="34"/>
        <v>52.5</v>
      </c>
      <c r="C20" s="239">
        <v>0</v>
      </c>
      <c r="D20" s="238">
        <f t="shared" si="0"/>
        <v>0</v>
      </c>
      <c r="E20" s="239">
        <v>0</v>
      </c>
      <c r="F20" s="238">
        <f t="shared" si="1"/>
        <v>0</v>
      </c>
      <c r="G20" s="239">
        <v>0</v>
      </c>
      <c r="H20" s="238">
        <f t="shared" si="2"/>
        <v>0</v>
      </c>
      <c r="I20" s="239">
        <v>0</v>
      </c>
      <c r="J20" s="238">
        <f t="shared" si="3"/>
        <v>0</v>
      </c>
      <c r="K20" s="239">
        <v>0</v>
      </c>
      <c r="L20" s="238">
        <f t="shared" si="4"/>
        <v>0</v>
      </c>
      <c r="M20" s="239">
        <v>0</v>
      </c>
      <c r="N20" s="238">
        <f t="shared" si="5"/>
        <v>0</v>
      </c>
      <c r="O20" s="239">
        <v>0</v>
      </c>
      <c r="P20" s="238">
        <f t="shared" si="6"/>
        <v>0</v>
      </c>
      <c r="Q20" s="239">
        <v>0</v>
      </c>
      <c r="R20" s="238">
        <f t="shared" si="7"/>
        <v>0</v>
      </c>
      <c r="S20" s="239">
        <v>0</v>
      </c>
      <c r="T20" s="238">
        <f t="shared" si="8"/>
        <v>0</v>
      </c>
      <c r="U20" s="239">
        <v>0</v>
      </c>
      <c r="V20" s="238">
        <f t="shared" si="9"/>
        <v>0</v>
      </c>
      <c r="W20" s="239">
        <v>143.11000000000001</v>
      </c>
      <c r="X20" s="238">
        <f t="shared" si="10"/>
        <v>7513.2750000000005</v>
      </c>
      <c r="Y20" s="239">
        <v>0</v>
      </c>
      <c r="Z20" s="238">
        <f t="shared" si="11"/>
        <v>0</v>
      </c>
      <c r="AA20" s="239">
        <v>0</v>
      </c>
      <c r="AB20" s="238">
        <f t="shared" si="12"/>
        <v>0</v>
      </c>
      <c r="AC20" s="239">
        <v>0</v>
      </c>
      <c r="AD20" s="238">
        <f t="shared" si="13"/>
        <v>0</v>
      </c>
      <c r="AE20" s="239">
        <v>0</v>
      </c>
      <c r="AF20" s="238">
        <f t="shared" si="14"/>
        <v>0</v>
      </c>
      <c r="AG20" s="239">
        <v>0</v>
      </c>
      <c r="AH20" s="238">
        <f t="shared" si="15"/>
        <v>0</v>
      </c>
      <c r="AI20" s="239">
        <v>0</v>
      </c>
      <c r="AJ20" s="238">
        <f t="shared" si="16"/>
        <v>0</v>
      </c>
      <c r="AK20" s="239">
        <v>0</v>
      </c>
      <c r="AL20" s="238">
        <f t="shared" si="17"/>
        <v>0</v>
      </c>
      <c r="AM20" s="239">
        <v>0</v>
      </c>
      <c r="AN20" s="238">
        <f t="shared" si="18"/>
        <v>0</v>
      </c>
      <c r="AO20" s="239">
        <v>0</v>
      </c>
      <c r="AP20" s="238">
        <f t="shared" si="19"/>
        <v>0</v>
      </c>
      <c r="AQ20" s="239">
        <v>0</v>
      </c>
      <c r="AR20" s="238">
        <f t="shared" si="20"/>
        <v>0</v>
      </c>
      <c r="AS20" s="239">
        <v>0</v>
      </c>
      <c r="AT20" s="238">
        <f t="shared" si="21"/>
        <v>0</v>
      </c>
      <c r="AU20" s="239">
        <v>0</v>
      </c>
      <c r="AV20" s="238">
        <f t="shared" si="22"/>
        <v>0</v>
      </c>
      <c r="AW20" s="239">
        <v>0</v>
      </c>
      <c r="AX20" s="238">
        <f t="shared" si="23"/>
        <v>0</v>
      </c>
      <c r="AY20" s="239">
        <v>0</v>
      </c>
      <c r="AZ20" s="238">
        <f t="shared" si="24"/>
        <v>0</v>
      </c>
      <c r="BA20" s="239">
        <v>0</v>
      </c>
      <c r="BB20" s="238">
        <f t="shared" si="25"/>
        <v>0</v>
      </c>
      <c r="BC20" s="239">
        <v>0</v>
      </c>
      <c r="BD20" s="238">
        <f t="shared" si="26"/>
        <v>0</v>
      </c>
      <c r="BE20" s="239">
        <v>0</v>
      </c>
      <c r="BF20" s="238">
        <f t="shared" si="27"/>
        <v>0</v>
      </c>
      <c r="BG20" s="239">
        <v>0</v>
      </c>
      <c r="BH20" s="238">
        <f t="shared" si="28"/>
        <v>0</v>
      </c>
      <c r="BI20" s="239">
        <v>0</v>
      </c>
      <c r="BJ20" s="238">
        <f t="shared" si="29"/>
        <v>0</v>
      </c>
      <c r="BK20" s="239">
        <v>0</v>
      </c>
      <c r="BL20" s="238">
        <f t="shared" si="30"/>
        <v>0</v>
      </c>
      <c r="BM20" s="239">
        <v>0</v>
      </c>
      <c r="BN20" s="238">
        <f t="shared" si="31"/>
        <v>0</v>
      </c>
      <c r="BO20" s="239">
        <v>0</v>
      </c>
      <c r="BP20" s="238">
        <f t="shared" si="32"/>
        <v>0</v>
      </c>
      <c r="BQ20" s="239">
        <v>0</v>
      </c>
      <c r="BR20" s="238">
        <f t="shared" si="33"/>
        <v>0</v>
      </c>
      <c r="BS20" s="225"/>
      <c r="BT20" s="239">
        <f t="shared" si="35"/>
        <v>143</v>
      </c>
      <c r="BU20" s="238">
        <f t="shared" si="36"/>
        <v>7507.5</v>
      </c>
    </row>
    <row r="21" spans="1:73" ht="14.25">
      <c r="A21" s="241">
        <v>1970</v>
      </c>
      <c r="B21" s="240">
        <f t="shared" si="34"/>
        <v>51.5</v>
      </c>
      <c r="C21" s="239">
        <v>0</v>
      </c>
      <c r="D21" s="238">
        <f t="shared" si="0"/>
        <v>0</v>
      </c>
      <c r="E21" s="239">
        <v>0</v>
      </c>
      <c r="F21" s="238">
        <f t="shared" si="1"/>
        <v>0</v>
      </c>
      <c r="G21" s="239">
        <v>0</v>
      </c>
      <c r="H21" s="238">
        <f t="shared" si="2"/>
        <v>0</v>
      </c>
      <c r="I21" s="239">
        <v>0</v>
      </c>
      <c r="J21" s="238">
        <f t="shared" si="3"/>
        <v>0</v>
      </c>
      <c r="K21" s="239">
        <v>0</v>
      </c>
      <c r="L21" s="238">
        <f t="shared" si="4"/>
        <v>0</v>
      </c>
      <c r="M21" s="239">
        <v>0</v>
      </c>
      <c r="N21" s="238">
        <f t="shared" si="5"/>
        <v>0</v>
      </c>
      <c r="O21" s="239">
        <v>0</v>
      </c>
      <c r="P21" s="238">
        <f t="shared" si="6"/>
        <v>0</v>
      </c>
      <c r="Q21" s="239">
        <v>0</v>
      </c>
      <c r="R21" s="238">
        <f t="shared" si="7"/>
        <v>0</v>
      </c>
      <c r="S21" s="239">
        <v>9.2400000000000002</v>
      </c>
      <c r="T21" s="238">
        <f t="shared" si="8"/>
        <v>475.86000000000001</v>
      </c>
      <c r="U21" s="239">
        <v>0</v>
      </c>
      <c r="V21" s="238">
        <f t="shared" si="9"/>
        <v>0</v>
      </c>
      <c r="W21" s="239">
        <v>0</v>
      </c>
      <c r="X21" s="238">
        <f t="shared" si="10"/>
        <v>0</v>
      </c>
      <c r="Y21" s="239">
        <v>0</v>
      </c>
      <c r="Z21" s="238">
        <f t="shared" si="11"/>
        <v>0</v>
      </c>
      <c r="AA21" s="239">
        <v>0</v>
      </c>
      <c r="AB21" s="238">
        <f t="shared" si="12"/>
        <v>0</v>
      </c>
      <c r="AC21" s="239">
        <v>0</v>
      </c>
      <c r="AD21" s="238">
        <f t="shared" si="13"/>
        <v>0</v>
      </c>
      <c r="AE21" s="239">
        <v>0</v>
      </c>
      <c r="AF21" s="238">
        <f t="shared" si="14"/>
        <v>0</v>
      </c>
      <c r="AG21" s="239">
        <v>0</v>
      </c>
      <c r="AH21" s="238">
        <f t="shared" si="15"/>
        <v>0</v>
      </c>
      <c r="AI21" s="239">
        <v>0</v>
      </c>
      <c r="AJ21" s="238">
        <f t="shared" si="16"/>
        <v>0</v>
      </c>
      <c r="AK21" s="239">
        <v>0</v>
      </c>
      <c r="AL21" s="238">
        <f t="shared" si="17"/>
        <v>0</v>
      </c>
      <c r="AM21" s="239">
        <v>0</v>
      </c>
      <c r="AN21" s="238">
        <f t="shared" si="18"/>
        <v>0</v>
      </c>
      <c r="AO21" s="239">
        <v>0</v>
      </c>
      <c r="AP21" s="238">
        <f t="shared" si="19"/>
        <v>0</v>
      </c>
      <c r="AQ21" s="239">
        <v>0</v>
      </c>
      <c r="AR21" s="238">
        <f t="shared" si="20"/>
        <v>0</v>
      </c>
      <c r="AS21" s="239">
        <v>0</v>
      </c>
      <c r="AT21" s="238">
        <f t="shared" si="21"/>
        <v>0</v>
      </c>
      <c r="AU21" s="239">
        <v>0</v>
      </c>
      <c r="AV21" s="238">
        <f t="shared" si="22"/>
        <v>0</v>
      </c>
      <c r="AW21" s="239">
        <v>0</v>
      </c>
      <c r="AX21" s="238">
        <f t="shared" si="23"/>
        <v>0</v>
      </c>
      <c r="AY21" s="239">
        <v>0</v>
      </c>
      <c r="AZ21" s="238">
        <f t="shared" si="24"/>
        <v>0</v>
      </c>
      <c r="BA21" s="239">
        <v>0</v>
      </c>
      <c r="BB21" s="238">
        <f t="shared" si="25"/>
        <v>0</v>
      </c>
      <c r="BC21" s="239">
        <v>0</v>
      </c>
      <c r="BD21" s="238">
        <f t="shared" si="26"/>
        <v>0</v>
      </c>
      <c r="BE21" s="239">
        <v>0</v>
      </c>
      <c r="BF21" s="238">
        <f t="shared" si="27"/>
        <v>0</v>
      </c>
      <c r="BG21" s="239">
        <v>0</v>
      </c>
      <c r="BH21" s="238">
        <f t="shared" si="28"/>
        <v>0</v>
      </c>
      <c r="BI21" s="239">
        <v>0</v>
      </c>
      <c r="BJ21" s="238">
        <f t="shared" si="29"/>
        <v>0</v>
      </c>
      <c r="BK21" s="239">
        <v>0</v>
      </c>
      <c r="BL21" s="238">
        <f t="shared" si="30"/>
        <v>0</v>
      </c>
      <c r="BM21" s="239">
        <v>0</v>
      </c>
      <c r="BN21" s="238">
        <f t="shared" si="31"/>
        <v>0</v>
      </c>
      <c r="BO21" s="239">
        <v>0</v>
      </c>
      <c r="BP21" s="238">
        <f t="shared" si="32"/>
        <v>0</v>
      </c>
      <c r="BQ21" s="239">
        <v>0</v>
      </c>
      <c r="BR21" s="238">
        <f t="shared" si="33"/>
        <v>0</v>
      </c>
      <c r="BS21" s="225"/>
      <c r="BT21" s="239">
        <f t="shared" si="35"/>
        <v>9</v>
      </c>
      <c r="BU21" s="238">
        <f t="shared" si="36"/>
        <v>463.5</v>
      </c>
    </row>
    <row r="22" spans="1:73" ht="14.25" hidden="1">
      <c r="A22" s="241">
        <v>1971</v>
      </c>
      <c r="B22" s="240">
        <f t="shared" si="34"/>
        <v>50.5</v>
      </c>
      <c r="C22" s="239">
        <v>0</v>
      </c>
      <c r="D22" s="238">
        <f t="shared" si="0"/>
        <v>0</v>
      </c>
      <c r="E22" s="239">
        <v>0</v>
      </c>
      <c r="F22" s="238">
        <f t="shared" si="1"/>
        <v>0</v>
      </c>
      <c r="G22" s="239">
        <v>0</v>
      </c>
      <c r="H22" s="238">
        <f t="shared" si="2"/>
        <v>0</v>
      </c>
      <c r="I22" s="239">
        <v>0</v>
      </c>
      <c r="J22" s="238">
        <f t="shared" si="3"/>
        <v>0</v>
      </c>
      <c r="K22" s="239">
        <v>0</v>
      </c>
      <c r="L22" s="238">
        <f t="shared" si="4"/>
        <v>0</v>
      </c>
      <c r="M22" s="239">
        <v>0</v>
      </c>
      <c r="N22" s="238">
        <f t="shared" si="5"/>
        <v>0</v>
      </c>
      <c r="O22" s="239">
        <v>0</v>
      </c>
      <c r="P22" s="238">
        <f t="shared" si="6"/>
        <v>0</v>
      </c>
      <c r="Q22" s="239">
        <v>0</v>
      </c>
      <c r="R22" s="238">
        <f t="shared" si="7"/>
        <v>0</v>
      </c>
      <c r="S22" s="239">
        <v>0</v>
      </c>
      <c r="T22" s="238">
        <f t="shared" si="8"/>
        <v>0</v>
      </c>
      <c r="U22" s="239">
        <v>0</v>
      </c>
      <c r="V22" s="238">
        <f t="shared" si="9"/>
        <v>0</v>
      </c>
      <c r="W22" s="239">
        <v>0</v>
      </c>
      <c r="X22" s="238">
        <f t="shared" si="10"/>
        <v>0</v>
      </c>
      <c r="Y22" s="239">
        <v>0</v>
      </c>
      <c r="Z22" s="238">
        <f t="shared" si="11"/>
        <v>0</v>
      </c>
      <c r="AA22" s="239">
        <v>0</v>
      </c>
      <c r="AB22" s="238">
        <f t="shared" si="12"/>
        <v>0</v>
      </c>
      <c r="AC22" s="239">
        <v>0</v>
      </c>
      <c r="AD22" s="238">
        <f t="shared" si="13"/>
        <v>0</v>
      </c>
      <c r="AE22" s="239">
        <v>0</v>
      </c>
      <c r="AF22" s="238">
        <f t="shared" si="14"/>
        <v>0</v>
      </c>
      <c r="AG22" s="239">
        <v>0</v>
      </c>
      <c r="AH22" s="238">
        <f t="shared" si="15"/>
        <v>0</v>
      </c>
      <c r="AI22" s="239">
        <v>0</v>
      </c>
      <c r="AJ22" s="238">
        <f t="shared" si="16"/>
        <v>0</v>
      </c>
      <c r="AK22" s="239">
        <v>0</v>
      </c>
      <c r="AL22" s="238">
        <f t="shared" si="17"/>
        <v>0</v>
      </c>
      <c r="AM22" s="239">
        <v>0</v>
      </c>
      <c r="AN22" s="238">
        <f t="shared" si="18"/>
        <v>0</v>
      </c>
      <c r="AO22" s="239">
        <v>0</v>
      </c>
      <c r="AP22" s="238">
        <f t="shared" si="19"/>
        <v>0</v>
      </c>
      <c r="AQ22" s="239">
        <v>0</v>
      </c>
      <c r="AR22" s="238">
        <f t="shared" si="20"/>
        <v>0</v>
      </c>
      <c r="AS22" s="239">
        <v>0</v>
      </c>
      <c r="AT22" s="238">
        <f t="shared" si="21"/>
        <v>0</v>
      </c>
      <c r="AU22" s="239">
        <v>0</v>
      </c>
      <c r="AV22" s="238">
        <f t="shared" si="22"/>
        <v>0</v>
      </c>
      <c r="AW22" s="239">
        <v>0</v>
      </c>
      <c r="AX22" s="238">
        <f t="shared" si="23"/>
        <v>0</v>
      </c>
      <c r="AY22" s="239">
        <v>0</v>
      </c>
      <c r="AZ22" s="238">
        <f t="shared" si="24"/>
        <v>0</v>
      </c>
      <c r="BA22" s="239">
        <v>0</v>
      </c>
      <c r="BB22" s="238">
        <f t="shared" si="25"/>
        <v>0</v>
      </c>
      <c r="BC22" s="239">
        <v>0</v>
      </c>
      <c r="BD22" s="238">
        <f t="shared" si="26"/>
        <v>0</v>
      </c>
      <c r="BE22" s="239">
        <v>0</v>
      </c>
      <c r="BF22" s="238">
        <f t="shared" si="27"/>
        <v>0</v>
      </c>
      <c r="BG22" s="239">
        <v>0</v>
      </c>
      <c r="BH22" s="238">
        <f t="shared" si="28"/>
        <v>0</v>
      </c>
      <c r="BI22" s="239">
        <v>0</v>
      </c>
      <c r="BJ22" s="238">
        <f t="shared" si="29"/>
        <v>0</v>
      </c>
      <c r="BK22" s="239">
        <v>0</v>
      </c>
      <c r="BL22" s="238">
        <f t="shared" si="30"/>
        <v>0</v>
      </c>
      <c r="BM22" s="239">
        <v>0</v>
      </c>
      <c r="BN22" s="238">
        <f t="shared" si="31"/>
        <v>0</v>
      </c>
      <c r="BO22" s="239">
        <v>0</v>
      </c>
      <c r="BP22" s="238">
        <f t="shared" si="32"/>
        <v>0</v>
      </c>
      <c r="BQ22" s="239">
        <v>0</v>
      </c>
      <c r="BR22" s="238">
        <f t="shared" si="33"/>
        <v>0</v>
      </c>
      <c r="BS22" s="225"/>
      <c r="BT22" s="239">
        <f t="shared" si="35"/>
        <v>0</v>
      </c>
      <c r="BU22" s="238">
        <f t="shared" si="36"/>
        <v>0</v>
      </c>
    </row>
    <row r="23" spans="1:73" ht="14.25" hidden="1">
      <c r="A23" s="241">
        <v>1972</v>
      </c>
      <c r="B23" s="240">
        <f t="shared" si="34"/>
        <v>49.5</v>
      </c>
      <c r="C23" s="239">
        <v>0</v>
      </c>
      <c r="D23" s="238">
        <f t="shared" si="0"/>
        <v>0</v>
      </c>
      <c r="E23" s="239">
        <v>0</v>
      </c>
      <c r="F23" s="238">
        <f t="shared" si="1"/>
        <v>0</v>
      </c>
      <c r="G23" s="239">
        <v>0</v>
      </c>
      <c r="H23" s="238">
        <f t="shared" si="2"/>
        <v>0</v>
      </c>
      <c r="I23" s="239">
        <v>0</v>
      </c>
      <c r="J23" s="238">
        <f t="shared" si="3"/>
        <v>0</v>
      </c>
      <c r="K23" s="239">
        <v>0</v>
      </c>
      <c r="L23" s="238">
        <f t="shared" si="4"/>
        <v>0</v>
      </c>
      <c r="M23" s="239">
        <v>0</v>
      </c>
      <c r="N23" s="238">
        <f t="shared" si="5"/>
        <v>0</v>
      </c>
      <c r="O23" s="239">
        <v>0</v>
      </c>
      <c r="P23" s="238">
        <f t="shared" si="6"/>
        <v>0</v>
      </c>
      <c r="Q23" s="239">
        <v>0</v>
      </c>
      <c r="R23" s="238">
        <f t="shared" si="7"/>
        <v>0</v>
      </c>
      <c r="S23" s="239">
        <v>0</v>
      </c>
      <c r="T23" s="238">
        <f t="shared" si="8"/>
        <v>0</v>
      </c>
      <c r="U23" s="239">
        <v>0</v>
      </c>
      <c r="V23" s="238">
        <f t="shared" si="9"/>
        <v>0</v>
      </c>
      <c r="W23" s="239">
        <v>0</v>
      </c>
      <c r="X23" s="238">
        <f t="shared" si="10"/>
        <v>0</v>
      </c>
      <c r="Y23" s="239">
        <v>0</v>
      </c>
      <c r="Z23" s="238">
        <f t="shared" si="11"/>
        <v>0</v>
      </c>
      <c r="AA23" s="239">
        <v>0</v>
      </c>
      <c r="AB23" s="238">
        <f t="shared" si="12"/>
        <v>0</v>
      </c>
      <c r="AC23" s="239">
        <v>0</v>
      </c>
      <c r="AD23" s="238">
        <f t="shared" si="13"/>
        <v>0</v>
      </c>
      <c r="AE23" s="239">
        <v>0</v>
      </c>
      <c r="AF23" s="238">
        <f t="shared" si="14"/>
        <v>0</v>
      </c>
      <c r="AG23" s="239">
        <v>0</v>
      </c>
      <c r="AH23" s="238">
        <f t="shared" si="15"/>
        <v>0</v>
      </c>
      <c r="AI23" s="239">
        <v>0</v>
      </c>
      <c r="AJ23" s="238">
        <f t="shared" si="16"/>
        <v>0</v>
      </c>
      <c r="AK23" s="239">
        <v>0</v>
      </c>
      <c r="AL23" s="238">
        <f t="shared" si="17"/>
        <v>0</v>
      </c>
      <c r="AM23" s="239">
        <v>0</v>
      </c>
      <c r="AN23" s="238">
        <f t="shared" si="18"/>
        <v>0</v>
      </c>
      <c r="AO23" s="239">
        <v>0</v>
      </c>
      <c r="AP23" s="238">
        <f t="shared" si="19"/>
        <v>0</v>
      </c>
      <c r="AQ23" s="239">
        <v>0</v>
      </c>
      <c r="AR23" s="238">
        <f t="shared" si="20"/>
        <v>0</v>
      </c>
      <c r="AS23" s="239">
        <v>0</v>
      </c>
      <c r="AT23" s="238">
        <f t="shared" si="21"/>
        <v>0</v>
      </c>
      <c r="AU23" s="239">
        <v>0</v>
      </c>
      <c r="AV23" s="238">
        <f t="shared" si="22"/>
        <v>0</v>
      </c>
      <c r="AW23" s="239">
        <v>0</v>
      </c>
      <c r="AX23" s="238">
        <f t="shared" si="23"/>
        <v>0</v>
      </c>
      <c r="AY23" s="239">
        <v>0</v>
      </c>
      <c r="AZ23" s="238">
        <f t="shared" si="24"/>
        <v>0</v>
      </c>
      <c r="BA23" s="239">
        <v>0</v>
      </c>
      <c r="BB23" s="238">
        <f t="shared" si="25"/>
        <v>0</v>
      </c>
      <c r="BC23" s="239">
        <v>0</v>
      </c>
      <c r="BD23" s="238">
        <f t="shared" si="26"/>
        <v>0</v>
      </c>
      <c r="BE23" s="239">
        <v>0</v>
      </c>
      <c r="BF23" s="238">
        <f t="shared" si="27"/>
        <v>0</v>
      </c>
      <c r="BG23" s="239">
        <v>0</v>
      </c>
      <c r="BH23" s="238">
        <f t="shared" si="28"/>
        <v>0</v>
      </c>
      <c r="BI23" s="239">
        <v>0</v>
      </c>
      <c r="BJ23" s="238">
        <f t="shared" si="29"/>
        <v>0</v>
      </c>
      <c r="BK23" s="239">
        <v>0</v>
      </c>
      <c r="BL23" s="238">
        <f t="shared" si="30"/>
        <v>0</v>
      </c>
      <c r="BM23" s="239">
        <v>0</v>
      </c>
      <c r="BN23" s="238">
        <f t="shared" si="31"/>
        <v>0</v>
      </c>
      <c r="BO23" s="239">
        <v>0</v>
      </c>
      <c r="BP23" s="238">
        <f t="shared" si="32"/>
        <v>0</v>
      </c>
      <c r="BQ23" s="239">
        <v>0</v>
      </c>
      <c r="BR23" s="238">
        <f t="shared" si="33"/>
        <v>0</v>
      </c>
      <c r="BS23" s="225"/>
      <c r="BT23" s="239">
        <f t="shared" si="35"/>
        <v>0</v>
      </c>
      <c r="BU23" s="238">
        <f t="shared" si="36"/>
        <v>0</v>
      </c>
    </row>
    <row r="24" spans="1:73" ht="14.25">
      <c r="A24" s="241">
        <v>1973</v>
      </c>
      <c r="B24" s="240">
        <f t="shared" si="34"/>
        <v>48.5</v>
      </c>
      <c r="C24" s="239">
        <v>0</v>
      </c>
      <c r="D24" s="238">
        <f t="shared" si="0"/>
        <v>0</v>
      </c>
      <c r="E24" s="239">
        <v>0</v>
      </c>
      <c r="F24" s="238">
        <f t="shared" si="1"/>
        <v>0</v>
      </c>
      <c r="G24" s="239">
        <v>0</v>
      </c>
      <c r="H24" s="238">
        <f t="shared" si="2"/>
        <v>0</v>
      </c>
      <c r="I24" s="239">
        <v>0</v>
      </c>
      <c r="J24" s="238">
        <f t="shared" si="3"/>
        <v>0</v>
      </c>
      <c r="K24" s="239">
        <v>0</v>
      </c>
      <c r="L24" s="238">
        <f t="shared" si="4"/>
        <v>0</v>
      </c>
      <c r="M24" s="239">
        <v>0</v>
      </c>
      <c r="N24" s="238">
        <f t="shared" si="5"/>
        <v>0</v>
      </c>
      <c r="O24" s="239">
        <v>0</v>
      </c>
      <c r="P24" s="238">
        <f t="shared" si="6"/>
        <v>0</v>
      </c>
      <c r="Q24" s="239">
        <v>0</v>
      </c>
      <c r="R24" s="238">
        <f t="shared" si="7"/>
        <v>0</v>
      </c>
      <c r="S24" s="239">
        <v>56.020000000000003</v>
      </c>
      <c r="T24" s="238">
        <f t="shared" si="8"/>
        <v>2716.9700000000003</v>
      </c>
      <c r="U24" s="239">
        <v>0</v>
      </c>
      <c r="V24" s="238">
        <f t="shared" si="9"/>
        <v>0</v>
      </c>
      <c r="W24" s="239">
        <v>0</v>
      </c>
      <c r="X24" s="238">
        <f t="shared" si="10"/>
        <v>0</v>
      </c>
      <c r="Y24" s="239">
        <v>0</v>
      </c>
      <c r="Z24" s="238">
        <f t="shared" si="11"/>
        <v>0</v>
      </c>
      <c r="AA24" s="239">
        <v>0</v>
      </c>
      <c r="AB24" s="238">
        <f t="shared" si="12"/>
        <v>0</v>
      </c>
      <c r="AC24" s="239">
        <v>0</v>
      </c>
      <c r="AD24" s="238">
        <f t="shared" si="13"/>
        <v>0</v>
      </c>
      <c r="AE24" s="239">
        <v>0</v>
      </c>
      <c r="AF24" s="238">
        <f t="shared" si="14"/>
        <v>0</v>
      </c>
      <c r="AG24" s="239">
        <v>0</v>
      </c>
      <c r="AH24" s="238">
        <f t="shared" si="15"/>
        <v>0</v>
      </c>
      <c r="AI24" s="239">
        <v>0</v>
      </c>
      <c r="AJ24" s="238">
        <f t="shared" si="16"/>
        <v>0</v>
      </c>
      <c r="AK24" s="239">
        <v>0</v>
      </c>
      <c r="AL24" s="238">
        <f t="shared" si="17"/>
        <v>0</v>
      </c>
      <c r="AM24" s="239">
        <v>0</v>
      </c>
      <c r="AN24" s="238">
        <f t="shared" si="18"/>
        <v>0</v>
      </c>
      <c r="AO24" s="239">
        <v>0</v>
      </c>
      <c r="AP24" s="238">
        <f t="shared" si="19"/>
        <v>0</v>
      </c>
      <c r="AQ24" s="239">
        <v>0</v>
      </c>
      <c r="AR24" s="238">
        <f t="shared" si="20"/>
        <v>0</v>
      </c>
      <c r="AS24" s="239">
        <v>0</v>
      </c>
      <c r="AT24" s="238">
        <f t="shared" si="21"/>
        <v>0</v>
      </c>
      <c r="AU24" s="239">
        <v>0</v>
      </c>
      <c r="AV24" s="238">
        <f t="shared" si="22"/>
        <v>0</v>
      </c>
      <c r="AW24" s="239">
        <v>0</v>
      </c>
      <c r="AX24" s="238">
        <f t="shared" si="23"/>
        <v>0</v>
      </c>
      <c r="AY24" s="239">
        <v>0</v>
      </c>
      <c r="AZ24" s="238">
        <f t="shared" si="24"/>
        <v>0</v>
      </c>
      <c r="BA24" s="239">
        <v>0</v>
      </c>
      <c r="BB24" s="238">
        <f t="shared" si="25"/>
        <v>0</v>
      </c>
      <c r="BC24" s="239">
        <v>0</v>
      </c>
      <c r="BD24" s="238">
        <f t="shared" si="26"/>
        <v>0</v>
      </c>
      <c r="BE24" s="239">
        <v>0</v>
      </c>
      <c r="BF24" s="238">
        <f t="shared" si="27"/>
        <v>0</v>
      </c>
      <c r="BG24" s="239">
        <v>0</v>
      </c>
      <c r="BH24" s="238">
        <f t="shared" si="28"/>
        <v>0</v>
      </c>
      <c r="BI24" s="239">
        <v>0</v>
      </c>
      <c r="BJ24" s="238">
        <f t="shared" si="29"/>
        <v>0</v>
      </c>
      <c r="BK24" s="239">
        <v>0</v>
      </c>
      <c r="BL24" s="238">
        <f t="shared" si="30"/>
        <v>0</v>
      </c>
      <c r="BM24" s="239">
        <v>0</v>
      </c>
      <c r="BN24" s="238">
        <f t="shared" si="31"/>
        <v>0</v>
      </c>
      <c r="BO24" s="239">
        <v>0</v>
      </c>
      <c r="BP24" s="238">
        <f t="shared" si="32"/>
        <v>0</v>
      </c>
      <c r="BQ24" s="239">
        <v>0</v>
      </c>
      <c r="BR24" s="238">
        <f t="shared" si="33"/>
        <v>0</v>
      </c>
      <c r="BS24" s="225"/>
      <c r="BT24" s="239">
        <f t="shared" si="35"/>
        <v>56</v>
      </c>
      <c r="BU24" s="238">
        <f t="shared" si="36"/>
        <v>2716</v>
      </c>
    </row>
    <row r="25" spans="1:73" ht="14.25">
      <c r="A25" s="241">
        <v>1974</v>
      </c>
      <c r="B25" s="240">
        <f t="shared" si="34"/>
        <v>47.5</v>
      </c>
      <c r="C25" s="239">
        <v>0</v>
      </c>
      <c r="D25" s="238">
        <f t="shared" si="0"/>
        <v>0</v>
      </c>
      <c r="E25" s="239">
        <v>0</v>
      </c>
      <c r="F25" s="238">
        <f t="shared" si="1"/>
        <v>0</v>
      </c>
      <c r="G25" s="239">
        <v>0</v>
      </c>
      <c r="H25" s="238">
        <f t="shared" si="2"/>
        <v>0</v>
      </c>
      <c r="I25" s="239">
        <v>0</v>
      </c>
      <c r="J25" s="238">
        <f t="shared" si="3"/>
        <v>0</v>
      </c>
      <c r="K25" s="239">
        <v>0</v>
      </c>
      <c r="L25" s="238">
        <f t="shared" si="4"/>
        <v>0</v>
      </c>
      <c r="M25" s="239">
        <v>0</v>
      </c>
      <c r="N25" s="238">
        <f t="shared" si="5"/>
        <v>0</v>
      </c>
      <c r="O25" s="239">
        <v>0</v>
      </c>
      <c r="P25" s="238">
        <f t="shared" si="6"/>
        <v>0</v>
      </c>
      <c r="Q25" s="239">
        <v>0</v>
      </c>
      <c r="R25" s="238">
        <f t="shared" si="7"/>
        <v>0</v>
      </c>
      <c r="S25" s="239">
        <v>0</v>
      </c>
      <c r="T25" s="238">
        <f t="shared" si="8"/>
        <v>0</v>
      </c>
      <c r="U25" s="239">
        <v>0</v>
      </c>
      <c r="V25" s="238">
        <f t="shared" si="9"/>
        <v>0</v>
      </c>
      <c r="W25" s="239">
        <v>65</v>
      </c>
      <c r="X25" s="238">
        <f t="shared" si="10"/>
        <v>3087.5</v>
      </c>
      <c r="Y25" s="239">
        <v>0</v>
      </c>
      <c r="Z25" s="238">
        <f t="shared" si="11"/>
        <v>0</v>
      </c>
      <c r="AA25" s="239">
        <v>0</v>
      </c>
      <c r="AB25" s="238">
        <f t="shared" si="12"/>
        <v>0</v>
      </c>
      <c r="AC25" s="239">
        <v>0</v>
      </c>
      <c r="AD25" s="238">
        <f t="shared" si="13"/>
        <v>0</v>
      </c>
      <c r="AE25" s="239">
        <v>0</v>
      </c>
      <c r="AF25" s="238">
        <f t="shared" si="14"/>
        <v>0</v>
      </c>
      <c r="AG25" s="239">
        <v>0</v>
      </c>
      <c r="AH25" s="238">
        <f t="shared" si="15"/>
        <v>0</v>
      </c>
      <c r="AI25" s="239">
        <v>0</v>
      </c>
      <c r="AJ25" s="238">
        <f t="shared" si="16"/>
        <v>0</v>
      </c>
      <c r="AK25" s="239">
        <v>0</v>
      </c>
      <c r="AL25" s="238">
        <f t="shared" si="17"/>
        <v>0</v>
      </c>
      <c r="AM25" s="239">
        <v>0</v>
      </c>
      <c r="AN25" s="238">
        <f t="shared" si="18"/>
        <v>0</v>
      </c>
      <c r="AO25" s="239">
        <v>0</v>
      </c>
      <c r="AP25" s="238">
        <f t="shared" si="19"/>
        <v>0</v>
      </c>
      <c r="AQ25" s="239">
        <v>0</v>
      </c>
      <c r="AR25" s="238">
        <f t="shared" si="20"/>
        <v>0</v>
      </c>
      <c r="AS25" s="239">
        <v>0</v>
      </c>
      <c r="AT25" s="238">
        <f t="shared" si="21"/>
        <v>0</v>
      </c>
      <c r="AU25" s="239">
        <v>0</v>
      </c>
      <c r="AV25" s="238">
        <f t="shared" si="22"/>
        <v>0</v>
      </c>
      <c r="AW25" s="239">
        <v>0</v>
      </c>
      <c r="AX25" s="238">
        <f t="shared" si="23"/>
        <v>0</v>
      </c>
      <c r="AY25" s="239">
        <v>0</v>
      </c>
      <c r="AZ25" s="238">
        <f t="shared" si="24"/>
        <v>0</v>
      </c>
      <c r="BA25" s="239">
        <v>0</v>
      </c>
      <c r="BB25" s="238">
        <f t="shared" si="25"/>
        <v>0</v>
      </c>
      <c r="BC25" s="239">
        <v>0</v>
      </c>
      <c r="BD25" s="238">
        <f t="shared" si="26"/>
        <v>0</v>
      </c>
      <c r="BE25" s="239">
        <v>0</v>
      </c>
      <c r="BF25" s="238">
        <f t="shared" si="27"/>
        <v>0</v>
      </c>
      <c r="BG25" s="239">
        <v>0</v>
      </c>
      <c r="BH25" s="238">
        <f t="shared" si="28"/>
        <v>0</v>
      </c>
      <c r="BI25" s="239">
        <v>0</v>
      </c>
      <c r="BJ25" s="238">
        <f t="shared" si="29"/>
        <v>0</v>
      </c>
      <c r="BK25" s="239">
        <v>0</v>
      </c>
      <c r="BL25" s="238">
        <f t="shared" si="30"/>
        <v>0</v>
      </c>
      <c r="BM25" s="239">
        <v>0</v>
      </c>
      <c r="BN25" s="238">
        <f t="shared" si="31"/>
        <v>0</v>
      </c>
      <c r="BO25" s="239">
        <v>0</v>
      </c>
      <c r="BP25" s="238">
        <f t="shared" si="32"/>
        <v>0</v>
      </c>
      <c r="BQ25" s="239">
        <v>0</v>
      </c>
      <c r="BR25" s="238">
        <f t="shared" si="33"/>
        <v>0</v>
      </c>
      <c r="BS25" s="225"/>
      <c r="BT25" s="239">
        <f t="shared" si="35"/>
        <v>65</v>
      </c>
      <c r="BU25" s="238">
        <f t="shared" si="36"/>
        <v>3087.5</v>
      </c>
    </row>
    <row r="26" spans="1:73" ht="14.25">
      <c r="A26" s="241">
        <v>1975</v>
      </c>
      <c r="B26" s="240">
        <f t="shared" si="34"/>
        <v>46.5</v>
      </c>
      <c r="C26" s="239">
        <v>0</v>
      </c>
      <c r="D26" s="238">
        <f t="shared" si="0"/>
        <v>0</v>
      </c>
      <c r="E26" s="239">
        <v>0</v>
      </c>
      <c r="F26" s="238">
        <f t="shared" si="1"/>
        <v>0</v>
      </c>
      <c r="G26" s="239">
        <v>0</v>
      </c>
      <c r="H26" s="238">
        <f t="shared" si="2"/>
        <v>0</v>
      </c>
      <c r="I26" s="239">
        <v>0</v>
      </c>
      <c r="J26" s="238">
        <f t="shared" si="3"/>
        <v>0</v>
      </c>
      <c r="K26" s="239">
        <v>0</v>
      </c>
      <c r="L26" s="238">
        <f t="shared" si="4"/>
        <v>0</v>
      </c>
      <c r="M26" s="239">
        <v>0</v>
      </c>
      <c r="N26" s="238">
        <f t="shared" si="5"/>
        <v>0</v>
      </c>
      <c r="O26" s="239">
        <v>0</v>
      </c>
      <c r="P26" s="238">
        <f t="shared" si="6"/>
        <v>0</v>
      </c>
      <c r="Q26" s="239">
        <v>0</v>
      </c>
      <c r="R26" s="238">
        <f t="shared" si="7"/>
        <v>0</v>
      </c>
      <c r="S26" s="239">
        <v>59.82</v>
      </c>
      <c r="T26" s="238">
        <f t="shared" si="8"/>
        <v>2781.6300000000001</v>
      </c>
      <c r="U26" s="239">
        <v>0</v>
      </c>
      <c r="V26" s="238">
        <f t="shared" si="9"/>
        <v>0</v>
      </c>
      <c r="W26" s="239">
        <v>0</v>
      </c>
      <c r="X26" s="238">
        <f t="shared" si="10"/>
        <v>0</v>
      </c>
      <c r="Y26" s="239">
        <v>0</v>
      </c>
      <c r="Z26" s="238">
        <f t="shared" si="11"/>
        <v>0</v>
      </c>
      <c r="AA26" s="239">
        <v>0</v>
      </c>
      <c r="AB26" s="238">
        <f t="shared" si="12"/>
        <v>0</v>
      </c>
      <c r="AC26" s="239">
        <v>0</v>
      </c>
      <c r="AD26" s="238">
        <f t="shared" si="13"/>
        <v>0</v>
      </c>
      <c r="AE26" s="239">
        <v>25.280000000000001</v>
      </c>
      <c r="AF26" s="238">
        <f t="shared" si="14"/>
        <v>1175.52</v>
      </c>
      <c r="AG26" s="239">
        <v>0</v>
      </c>
      <c r="AH26" s="238">
        <f t="shared" si="15"/>
        <v>0</v>
      </c>
      <c r="AI26" s="239">
        <v>0</v>
      </c>
      <c r="AJ26" s="238">
        <f t="shared" si="16"/>
        <v>0</v>
      </c>
      <c r="AK26" s="239">
        <v>0</v>
      </c>
      <c r="AL26" s="238">
        <f t="shared" si="17"/>
        <v>0</v>
      </c>
      <c r="AM26" s="239">
        <v>0</v>
      </c>
      <c r="AN26" s="238">
        <f t="shared" si="18"/>
        <v>0</v>
      </c>
      <c r="AO26" s="239">
        <v>0</v>
      </c>
      <c r="AP26" s="238">
        <f t="shared" si="19"/>
        <v>0</v>
      </c>
      <c r="AQ26" s="239">
        <v>0</v>
      </c>
      <c r="AR26" s="238">
        <f t="shared" si="20"/>
        <v>0</v>
      </c>
      <c r="AS26" s="239">
        <v>0</v>
      </c>
      <c r="AT26" s="238">
        <f t="shared" si="21"/>
        <v>0</v>
      </c>
      <c r="AU26" s="239">
        <v>0</v>
      </c>
      <c r="AV26" s="238">
        <f t="shared" si="22"/>
        <v>0</v>
      </c>
      <c r="AW26" s="239">
        <v>0</v>
      </c>
      <c r="AX26" s="238">
        <f t="shared" si="23"/>
        <v>0</v>
      </c>
      <c r="AY26" s="239">
        <v>0</v>
      </c>
      <c r="AZ26" s="238">
        <f t="shared" si="24"/>
        <v>0</v>
      </c>
      <c r="BA26" s="239">
        <v>0</v>
      </c>
      <c r="BB26" s="238">
        <f t="shared" si="25"/>
        <v>0</v>
      </c>
      <c r="BC26" s="239">
        <v>0</v>
      </c>
      <c r="BD26" s="238">
        <f t="shared" si="26"/>
        <v>0</v>
      </c>
      <c r="BE26" s="239">
        <v>0</v>
      </c>
      <c r="BF26" s="238">
        <f t="shared" si="27"/>
        <v>0</v>
      </c>
      <c r="BG26" s="239">
        <v>0</v>
      </c>
      <c r="BH26" s="238">
        <f t="shared" si="28"/>
        <v>0</v>
      </c>
      <c r="BI26" s="239">
        <v>0</v>
      </c>
      <c r="BJ26" s="238">
        <f t="shared" si="29"/>
        <v>0</v>
      </c>
      <c r="BK26" s="239">
        <v>0</v>
      </c>
      <c r="BL26" s="238">
        <f t="shared" si="30"/>
        <v>0</v>
      </c>
      <c r="BM26" s="239">
        <v>0</v>
      </c>
      <c r="BN26" s="238">
        <f t="shared" si="31"/>
        <v>0</v>
      </c>
      <c r="BO26" s="239">
        <v>0</v>
      </c>
      <c r="BP26" s="238">
        <f t="shared" si="32"/>
        <v>0</v>
      </c>
      <c r="BQ26" s="239">
        <v>0</v>
      </c>
      <c r="BR26" s="238">
        <f t="shared" si="33"/>
        <v>0</v>
      </c>
      <c r="BS26" s="225"/>
      <c r="BT26" s="239">
        <f t="shared" si="35"/>
        <v>85</v>
      </c>
      <c r="BU26" s="238">
        <f t="shared" si="36"/>
        <v>3952.5</v>
      </c>
    </row>
    <row r="27" spans="1:73" ht="14.25">
      <c r="A27" s="241">
        <v>1976</v>
      </c>
      <c r="B27" s="240">
        <f t="shared" si="34"/>
        <v>45.5</v>
      </c>
      <c r="C27" s="239">
        <v>0</v>
      </c>
      <c r="D27" s="238">
        <f t="shared" si="0"/>
        <v>0</v>
      </c>
      <c r="E27" s="239">
        <v>0</v>
      </c>
      <c r="F27" s="238">
        <f t="shared" si="1"/>
        <v>0</v>
      </c>
      <c r="G27" s="239">
        <v>0</v>
      </c>
      <c r="H27" s="238">
        <f t="shared" si="2"/>
        <v>0</v>
      </c>
      <c r="I27" s="239">
        <v>33.68</v>
      </c>
      <c r="J27" s="238">
        <f t="shared" si="3"/>
        <v>1532.4400000000001</v>
      </c>
      <c r="K27" s="239">
        <v>0</v>
      </c>
      <c r="L27" s="238">
        <f t="shared" si="4"/>
        <v>0</v>
      </c>
      <c r="M27" s="239">
        <v>0</v>
      </c>
      <c r="N27" s="238">
        <f t="shared" si="5"/>
        <v>0</v>
      </c>
      <c r="O27" s="239">
        <v>0</v>
      </c>
      <c r="P27" s="238">
        <f t="shared" si="6"/>
        <v>0</v>
      </c>
      <c r="Q27" s="239">
        <v>6.4100000000000001</v>
      </c>
      <c r="R27" s="238">
        <f t="shared" si="7"/>
        <v>291.65500000000003</v>
      </c>
      <c r="S27" s="239">
        <v>0</v>
      </c>
      <c r="T27" s="238">
        <f t="shared" si="8"/>
        <v>0</v>
      </c>
      <c r="U27" s="239">
        <v>0</v>
      </c>
      <c r="V27" s="238">
        <f t="shared" si="9"/>
        <v>0</v>
      </c>
      <c r="W27" s="239">
        <v>0</v>
      </c>
      <c r="X27" s="238">
        <f t="shared" si="10"/>
        <v>0</v>
      </c>
      <c r="Y27" s="239">
        <v>0</v>
      </c>
      <c r="Z27" s="238">
        <f t="shared" si="11"/>
        <v>0</v>
      </c>
      <c r="AA27" s="239">
        <v>0</v>
      </c>
      <c r="AB27" s="238">
        <f t="shared" si="12"/>
        <v>0</v>
      </c>
      <c r="AC27" s="239">
        <v>0</v>
      </c>
      <c r="AD27" s="238">
        <f t="shared" si="13"/>
        <v>0</v>
      </c>
      <c r="AE27" s="239">
        <v>847.32999999999993</v>
      </c>
      <c r="AF27" s="238">
        <f t="shared" si="14"/>
        <v>38553.514999999999</v>
      </c>
      <c r="AG27" s="239">
        <v>0</v>
      </c>
      <c r="AH27" s="238">
        <f t="shared" si="15"/>
        <v>0</v>
      </c>
      <c r="AI27" s="239">
        <v>0</v>
      </c>
      <c r="AJ27" s="238">
        <f t="shared" si="16"/>
        <v>0</v>
      </c>
      <c r="AK27" s="239">
        <v>0</v>
      </c>
      <c r="AL27" s="238">
        <f t="shared" si="17"/>
        <v>0</v>
      </c>
      <c r="AM27" s="239">
        <v>0</v>
      </c>
      <c r="AN27" s="238">
        <f t="shared" si="18"/>
        <v>0</v>
      </c>
      <c r="AO27" s="239">
        <v>0</v>
      </c>
      <c r="AP27" s="238">
        <f t="shared" si="19"/>
        <v>0</v>
      </c>
      <c r="AQ27" s="239">
        <v>0</v>
      </c>
      <c r="AR27" s="238">
        <f t="shared" si="20"/>
        <v>0</v>
      </c>
      <c r="AS27" s="239">
        <v>0</v>
      </c>
      <c r="AT27" s="238">
        <f t="shared" si="21"/>
        <v>0</v>
      </c>
      <c r="AU27" s="239">
        <v>0</v>
      </c>
      <c r="AV27" s="238">
        <f t="shared" si="22"/>
        <v>0</v>
      </c>
      <c r="AW27" s="239">
        <v>0</v>
      </c>
      <c r="AX27" s="238">
        <f t="shared" si="23"/>
        <v>0</v>
      </c>
      <c r="AY27" s="239">
        <v>0</v>
      </c>
      <c r="AZ27" s="238">
        <f t="shared" si="24"/>
        <v>0</v>
      </c>
      <c r="BA27" s="239">
        <v>0</v>
      </c>
      <c r="BB27" s="238">
        <f t="shared" si="25"/>
        <v>0</v>
      </c>
      <c r="BC27" s="239">
        <v>0</v>
      </c>
      <c r="BD27" s="238">
        <f t="shared" si="26"/>
        <v>0</v>
      </c>
      <c r="BE27" s="239">
        <v>0</v>
      </c>
      <c r="BF27" s="238">
        <f t="shared" si="27"/>
        <v>0</v>
      </c>
      <c r="BG27" s="239">
        <v>0</v>
      </c>
      <c r="BH27" s="238">
        <f t="shared" si="28"/>
        <v>0</v>
      </c>
      <c r="BI27" s="239">
        <v>0</v>
      </c>
      <c r="BJ27" s="238">
        <f t="shared" si="29"/>
        <v>0</v>
      </c>
      <c r="BK27" s="239">
        <v>0</v>
      </c>
      <c r="BL27" s="238">
        <f t="shared" si="30"/>
        <v>0</v>
      </c>
      <c r="BM27" s="239">
        <v>0</v>
      </c>
      <c r="BN27" s="238">
        <f t="shared" si="31"/>
        <v>0</v>
      </c>
      <c r="BO27" s="239">
        <v>0</v>
      </c>
      <c r="BP27" s="238">
        <f t="shared" si="32"/>
        <v>0</v>
      </c>
      <c r="BQ27" s="239">
        <v>0</v>
      </c>
      <c r="BR27" s="238">
        <f t="shared" si="33"/>
        <v>0</v>
      </c>
      <c r="BS27" s="225"/>
      <c r="BT27" s="239">
        <f t="shared" si="35"/>
        <v>887</v>
      </c>
      <c r="BU27" s="238">
        <f t="shared" si="36"/>
        <v>40358.5</v>
      </c>
    </row>
    <row r="28" spans="1:73" ht="14.25">
      <c r="A28" s="241">
        <v>1977</v>
      </c>
      <c r="B28" s="240">
        <f t="shared" si="34"/>
        <v>44.5</v>
      </c>
      <c r="C28" s="239">
        <v>0</v>
      </c>
      <c r="D28" s="238">
        <f t="shared" si="0"/>
        <v>0</v>
      </c>
      <c r="E28" s="239">
        <v>0</v>
      </c>
      <c r="F28" s="238">
        <f t="shared" si="1"/>
        <v>0</v>
      </c>
      <c r="G28" s="239">
        <v>0</v>
      </c>
      <c r="H28" s="238">
        <f t="shared" si="2"/>
        <v>0</v>
      </c>
      <c r="I28" s="239">
        <v>0</v>
      </c>
      <c r="J28" s="238">
        <f t="shared" si="3"/>
        <v>0</v>
      </c>
      <c r="K28" s="239">
        <v>0</v>
      </c>
      <c r="L28" s="238">
        <f t="shared" si="4"/>
        <v>0</v>
      </c>
      <c r="M28" s="239">
        <v>0</v>
      </c>
      <c r="N28" s="238">
        <f t="shared" si="5"/>
        <v>0</v>
      </c>
      <c r="O28" s="239">
        <v>0</v>
      </c>
      <c r="P28" s="238">
        <f t="shared" si="6"/>
        <v>0</v>
      </c>
      <c r="Q28" s="239">
        <v>0</v>
      </c>
      <c r="R28" s="238">
        <f t="shared" si="7"/>
        <v>0</v>
      </c>
      <c r="S28" s="239">
        <v>15.08</v>
      </c>
      <c r="T28" s="238">
        <f t="shared" si="8"/>
        <v>671.06000000000006</v>
      </c>
      <c r="U28" s="239">
        <v>0</v>
      </c>
      <c r="V28" s="238">
        <f t="shared" si="9"/>
        <v>0</v>
      </c>
      <c r="W28" s="239">
        <v>0</v>
      </c>
      <c r="X28" s="238">
        <f t="shared" si="10"/>
        <v>0</v>
      </c>
      <c r="Y28" s="239">
        <v>0</v>
      </c>
      <c r="Z28" s="238">
        <f t="shared" si="11"/>
        <v>0</v>
      </c>
      <c r="AA28" s="239">
        <v>0</v>
      </c>
      <c r="AB28" s="238">
        <f t="shared" si="12"/>
        <v>0</v>
      </c>
      <c r="AC28" s="239">
        <v>0</v>
      </c>
      <c r="AD28" s="238">
        <f t="shared" si="13"/>
        <v>0</v>
      </c>
      <c r="AE28" s="239">
        <v>0</v>
      </c>
      <c r="AF28" s="238">
        <f t="shared" si="14"/>
        <v>0</v>
      </c>
      <c r="AG28" s="239">
        <v>0</v>
      </c>
      <c r="AH28" s="238">
        <f t="shared" si="15"/>
        <v>0</v>
      </c>
      <c r="AI28" s="239">
        <v>0</v>
      </c>
      <c r="AJ28" s="238">
        <f t="shared" si="16"/>
        <v>0</v>
      </c>
      <c r="AK28" s="239">
        <v>0</v>
      </c>
      <c r="AL28" s="238">
        <f t="shared" si="17"/>
        <v>0</v>
      </c>
      <c r="AM28" s="239">
        <v>0</v>
      </c>
      <c r="AN28" s="238">
        <f t="shared" si="18"/>
        <v>0</v>
      </c>
      <c r="AO28" s="239">
        <v>0</v>
      </c>
      <c r="AP28" s="238">
        <f t="shared" si="19"/>
        <v>0</v>
      </c>
      <c r="AQ28" s="239">
        <v>0</v>
      </c>
      <c r="AR28" s="238">
        <f t="shared" si="20"/>
        <v>0</v>
      </c>
      <c r="AS28" s="239">
        <v>0</v>
      </c>
      <c r="AT28" s="238">
        <f t="shared" si="21"/>
        <v>0</v>
      </c>
      <c r="AU28" s="239">
        <v>0</v>
      </c>
      <c r="AV28" s="238">
        <f t="shared" si="22"/>
        <v>0</v>
      </c>
      <c r="AW28" s="239">
        <v>0</v>
      </c>
      <c r="AX28" s="238">
        <f t="shared" si="23"/>
        <v>0</v>
      </c>
      <c r="AY28" s="239">
        <v>0</v>
      </c>
      <c r="AZ28" s="238">
        <f t="shared" si="24"/>
        <v>0</v>
      </c>
      <c r="BA28" s="239">
        <v>0</v>
      </c>
      <c r="BB28" s="238">
        <f t="shared" si="25"/>
        <v>0</v>
      </c>
      <c r="BC28" s="239">
        <v>0</v>
      </c>
      <c r="BD28" s="238">
        <f t="shared" si="26"/>
        <v>0</v>
      </c>
      <c r="BE28" s="239">
        <v>0</v>
      </c>
      <c r="BF28" s="238">
        <f t="shared" si="27"/>
        <v>0</v>
      </c>
      <c r="BG28" s="239">
        <v>0</v>
      </c>
      <c r="BH28" s="238">
        <f t="shared" si="28"/>
        <v>0</v>
      </c>
      <c r="BI28" s="239">
        <v>0</v>
      </c>
      <c r="BJ28" s="238">
        <f t="shared" si="29"/>
        <v>0</v>
      </c>
      <c r="BK28" s="239">
        <v>0</v>
      </c>
      <c r="BL28" s="238">
        <f t="shared" si="30"/>
        <v>0</v>
      </c>
      <c r="BM28" s="239">
        <v>0</v>
      </c>
      <c r="BN28" s="238">
        <f t="shared" si="31"/>
        <v>0</v>
      </c>
      <c r="BO28" s="239">
        <v>0</v>
      </c>
      <c r="BP28" s="238">
        <f t="shared" si="32"/>
        <v>0</v>
      </c>
      <c r="BQ28" s="239">
        <v>0</v>
      </c>
      <c r="BR28" s="238">
        <f t="shared" si="33"/>
        <v>0</v>
      </c>
      <c r="BS28" s="225"/>
      <c r="BT28" s="239">
        <f t="shared" si="35"/>
        <v>15</v>
      </c>
      <c r="BU28" s="238">
        <f t="shared" si="36"/>
        <v>667.5</v>
      </c>
    </row>
    <row r="29" spans="1:73" ht="14.25">
      <c r="A29" s="241">
        <v>1978</v>
      </c>
      <c r="B29" s="240">
        <f t="shared" si="34"/>
        <v>43.5</v>
      </c>
      <c r="C29" s="239">
        <v>0</v>
      </c>
      <c r="D29" s="238">
        <f t="shared" si="0"/>
        <v>0</v>
      </c>
      <c r="E29" s="239">
        <v>0</v>
      </c>
      <c r="F29" s="238">
        <f t="shared" si="1"/>
        <v>0</v>
      </c>
      <c r="G29" s="239">
        <v>0</v>
      </c>
      <c r="H29" s="238">
        <f t="shared" si="2"/>
        <v>0</v>
      </c>
      <c r="I29" s="239">
        <v>0</v>
      </c>
      <c r="J29" s="238">
        <f t="shared" si="3"/>
        <v>0</v>
      </c>
      <c r="K29" s="239">
        <v>0</v>
      </c>
      <c r="L29" s="238">
        <f t="shared" si="4"/>
        <v>0</v>
      </c>
      <c r="M29" s="239">
        <v>0</v>
      </c>
      <c r="N29" s="238">
        <f t="shared" si="5"/>
        <v>0</v>
      </c>
      <c r="O29" s="239">
        <v>0</v>
      </c>
      <c r="P29" s="238">
        <f t="shared" si="6"/>
        <v>0</v>
      </c>
      <c r="Q29" s="239">
        <v>392.43000000000001</v>
      </c>
      <c r="R29" s="238">
        <f t="shared" si="7"/>
        <v>17070.705000000002</v>
      </c>
      <c r="S29" s="239">
        <v>0</v>
      </c>
      <c r="T29" s="238">
        <f t="shared" si="8"/>
        <v>0</v>
      </c>
      <c r="U29" s="239">
        <v>0</v>
      </c>
      <c r="V29" s="238">
        <f t="shared" si="9"/>
        <v>0</v>
      </c>
      <c r="W29" s="239">
        <v>0</v>
      </c>
      <c r="X29" s="238">
        <f t="shared" si="10"/>
        <v>0</v>
      </c>
      <c r="Y29" s="239">
        <v>0</v>
      </c>
      <c r="Z29" s="238">
        <f t="shared" si="11"/>
        <v>0</v>
      </c>
      <c r="AA29" s="239">
        <v>0</v>
      </c>
      <c r="AB29" s="238">
        <f t="shared" si="12"/>
        <v>0</v>
      </c>
      <c r="AC29" s="239">
        <v>0</v>
      </c>
      <c r="AD29" s="238">
        <f t="shared" si="13"/>
        <v>0</v>
      </c>
      <c r="AE29" s="239">
        <v>115.83</v>
      </c>
      <c r="AF29" s="238">
        <f t="shared" si="14"/>
        <v>5038.6049999999996</v>
      </c>
      <c r="AG29" s="239">
        <v>0</v>
      </c>
      <c r="AH29" s="238">
        <f t="shared" si="15"/>
        <v>0</v>
      </c>
      <c r="AI29" s="239">
        <v>0</v>
      </c>
      <c r="AJ29" s="238">
        <f t="shared" si="16"/>
        <v>0</v>
      </c>
      <c r="AK29" s="239">
        <v>0</v>
      </c>
      <c r="AL29" s="238">
        <f t="shared" si="17"/>
        <v>0</v>
      </c>
      <c r="AM29" s="239">
        <v>0</v>
      </c>
      <c r="AN29" s="238">
        <f t="shared" si="18"/>
        <v>0</v>
      </c>
      <c r="AO29" s="239">
        <v>0</v>
      </c>
      <c r="AP29" s="238">
        <f t="shared" si="19"/>
        <v>0</v>
      </c>
      <c r="AQ29" s="239">
        <v>0</v>
      </c>
      <c r="AR29" s="238">
        <f t="shared" si="20"/>
        <v>0</v>
      </c>
      <c r="AS29" s="239">
        <v>0</v>
      </c>
      <c r="AT29" s="238">
        <f t="shared" si="21"/>
        <v>0</v>
      </c>
      <c r="AU29" s="239">
        <v>0</v>
      </c>
      <c r="AV29" s="238">
        <f t="shared" si="22"/>
        <v>0</v>
      </c>
      <c r="AW29" s="239">
        <v>0</v>
      </c>
      <c r="AX29" s="238">
        <f t="shared" si="23"/>
        <v>0</v>
      </c>
      <c r="AY29" s="239">
        <v>0</v>
      </c>
      <c r="AZ29" s="238">
        <f t="shared" si="24"/>
        <v>0</v>
      </c>
      <c r="BA29" s="239">
        <v>0</v>
      </c>
      <c r="BB29" s="238">
        <f t="shared" si="25"/>
        <v>0</v>
      </c>
      <c r="BC29" s="239">
        <v>0</v>
      </c>
      <c r="BD29" s="238">
        <f t="shared" si="26"/>
        <v>0</v>
      </c>
      <c r="BE29" s="239">
        <v>0</v>
      </c>
      <c r="BF29" s="238">
        <f t="shared" si="27"/>
        <v>0</v>
      </c>
      <c r="BG29" s="239">
        <v>0</v>
      </c>
      <c r="BH29" s="238">
        <f t="shared" si="28"/>
        <v>0</v>
      </c>
      <c r="BI29" s="239">
        <v>0</v>
      </c>
      <c r="BJ29" s="238">
        <f t="shared" si="29"/>
        <v>0</v>
      </c>
      <c r="BK29" s="239">
        <v>0</v>
      </c>
      <c r="BL29" s="238">
        <f t="shared" si="30"/>
        <v>0</v>
      </c>
      <c r="BM29" s="239">
        <v>0</v>
      </c>
      <c r="BN29" s="238">
        <f t="shared" si="31"/>
        <v>0</v>
      </c>
      <c r="BO29" s="239">
        <v>0</v>
      </c>
      <c r="BP29" s="238">
        <f t="shared" si="32"/>
        <v>0</v>
      </c>
      <c r="BQ29" s="239">
        <v>0</v>
      </c>
      <c r="BR29" s="238">
        <f t="shared" si="33"/>
        <v>0</v>
      </c>
      <c r="BS29" s="225"/>
      <c r="BT29" s="239">
        <f t="shared" si="35"/>
        <v>508</v>
      </c>
      <c r="BU29" s="238">
        <f t="shared" si="36"/>
        <v>22098</v>
      </c>
    </row>
    <row r="30" spans="1:73" ht="14.25">
      <c r="A30" s="241">
        <v>1979</v>
      </c>
      <c r="B30" s="240">
        <f t="shared" si="34"/>
        <v>42.5</v>
      </c>
      <c r="C30" s="239">
        <v>0</v>
      </c>
      <c r="D30" s="238">
        <f t="shared" si="0"/>
        <v>0</v>
      </c>
      <c r="E30" s="239">
        <v>0</v>
      </c>
      <c r="F30" s="238">
        <f t="shared" si="1"/>
        <v>0</v>
      </c>
      <c r="G30" s="239">
        <v>0</v>
      </c>
      <c r="H30" s="238">
        <f t="shared" si="2"/>
        <v>0</v>
      </c>
      <c r="I30" s="239">
        <v>0</v>
      </c>
      <c r="J30" s="238">
        <f t="shared" si="3"/>
        <v>0</v>
      </c>
      <c r="K30" s="239">
        <v>0</v>
      </c>
      <c r="L30" s="238">
        <f t="shared" si="4"/>
        <v>0</v>
      </c>
      <c r="M30" s="239">
        <v>0</v>
      </c>
      <c r="N30" s="238">
        <f t="shared" si="5"/>
        <v>0</v>
      </c>
      <c r="O30" s="239">
        <v>0</v>
      </c>
      <c r="P30" s="238">
        <f t="shared" si="6"/>
        <v>0</v>
      </c>
      <c r="Q30" s="239">
        <v>416.19999999999999</v>
      </c>
      <c r="R30" s="238">
        <f t="shared" si="7"/>
        <v>17688.5</v>
      </c>
      <c r="S30" s="239">
        <v>442.63999999999999</v>
      </c>
      <c r="T30" s="238">
        <f t="shared" si="8"/>
        <v>18812.200000000001</v>
      </c>
      <c r="U30" s="239">
        <v>0</v>
      </c>
      <c r="V30" s="238">
        <f t="shared" si="9"/>
        <v>0</v>
      </c>
      <c r="W30" s="239">
        <v>22.25</v>
      </c>
      <c r="X30" s="238">
        <f t="shared" si="10"/>
        <v>945.625</v>
      </c>
      <c r="Y30" s="239">
        <v>0</v>
      </c>
      <c r="Z30" s="238">
        <f t="shared" si="11"/>
        <v>0</v>
      </c>
      <c r="AA30" s="239">
        <v>0</v>
      </c>
      <c r="AB30" s="238">
        <f t="shared" si="12"/>
        <v>0</v>
      </c>
      <c r="AC30" s="239">
        <v>0</v>
      </c>
      <c r="AD30" s="238">
        <f t="shared" si="13"/>
        <v>0</v>
      </c>
      <c r="AE30" s="239">
        <v>373.76999999999998</v>
      </c>
      <c r="AF30" s="238">
        <f t="shared" si="14"/>
        <v>15885.224999999999</v>
      </c>
      <c r="AG30" s="239">
        <v>0</v>
      </c>
      <c r="AH30" s="238">
        <f t="shared" si="15"/>
        <v>0</v>
      </c>
      <c r="AI30" s="239">
        <v>0</v>
      </c>
      <c r="AJ30" s="238">
        <f t="shared" si="16"/>
        <v>0</v>
      </c>
      <c r="AK30" s="239">
        <v>0</v>
      </c>
      <c r="AL30" s="238">
        <f t="shared" si="17"/>
        <v>0</v>
      </c>
      <c r="AM30" s="239">
        <v>0</v>
      </c>
      <c r="AN30" s="238">
        <f t="shared" si="18"/>
        <v>0</v>
      </c>
      <c r="AO30" s="239">
        <v>0</v>
      </c>
      <c r="AP30" s="238">
        <f t="shared" si="19"/>
        <v>0</v>
      </c>
      <c r="AQ30" s="239">
        <v>0</v>
      </c>
      <c r="AR30" s="238">
        <f t="shared" si="20"/>
        <v>0</v>
      </c>
      <c r="AS30" s="239">
        <v>0</v>
      </c>
      <c r="AT30" s="238">
        <f t="shared" si="21"/>
        <v>0</v>
      </c>
      <c r="AU30" s="239">
        <v>0</v>
      </c>
      <c r="AV30" s="238">
        <f t="shared" si="22"/>
        <v>0</v>
      </c>
      <c r="AW30" s="239">
        <v>0</v>
      </c>
      <c r="AX30" s="238">
        <f t="shared" si="23"/>
        <v>0</v>
      </c>
      <c r="AY30" s="239">
        <v>0</v>
      </c>
      <c r="AZ30" s="238">
        <f t="shared" si="24"/>
        <v>0</v>
      </c>
      <c r="BA30" s="239">
        <v>0</v>
      </c>
      <c r="BB30" s="238">
        <f t="shared" si="25"/>
        <v>0</v>
      </c>
      <c r="BC30" s="239">
        <v>0</v>
      </c>
      <c r="BD30" s="238">
        <f t="shared" si="26"/>
        <v>0</v>
      </c>
      <c r="BE30" s="239">
        <v>0</v>
      </c>
      <c r="BF30" s="238">
        <f t="shared" si="27"/>
        <v>0</v>
      </c>
      <c r="BG30" s="239">
        <v>0</v>
      </c>
      <c r="BH30" s="238">
        <f t="shared" si="28"/>
        <v>0</v>
      </c>
      <c r="BI30" s="239">
        <v>0</v>
      </c>
      <c r="BJ30" s="238">
        <f t="shared" si="29"/>
        <v>0</v>
      </c>
      <c r="BK30" s="239">
        <v>0</v>
      </c>
      <c r="BL30" s="238">
        <f t="shared" si="30"/>
        <v>0</v>
      </c>
      <c r="BM30" s="239">
        <v>0</v>
      </c>
      <c r="BN30" s="238">
        <f t="shared" si="31"/>
        <v>0</v>
      </c>
      <c r="BO30" s="239">
        <v>0</v>
      </c>
      <c r="BP30" s="238">
        <f t="shared" si="32"/>
        <v>0</v>
      </c>
      <c r="BQ30" s="239">
        <v>0</v>
      </c>
      <c r="BR30" s="238">
        <f t="shared" si="33"/>
        <v>0</v>
      </c>
      <c r="BS30" s="225"/>
      <c r="BT30" s="239">
        <f t="shared" si="35"/>
        <v>1255</v>
      </c>
      <c r="BU30" s="238">
        <f t="shared" si="36"/>
        <v>53337.5</v>
      </c>
    </row>
    <row r="31" spans="1:73" ht="14.25">
      <c r="A31" s="241">
        <v>1980</v>
      </c>
      <c r="B31" s="240">
        <f t="shared" si="34"/>
        <v>41.5</v>
      </c>
      <c r="C31" s="239">
        <v>0</v>
      </c>
      <c r="D31" s="238">
        <f t="shared" si="0"/>
        <v>0</v>
      </c>
      <c r="E31" s="239">
        <v>0</v>
      </c>
      <c r="F31" s="238">
        <f t="shared" si="1"/>
        <v>0</v>
      </c>
      <c r="G31" s="239">
        <v>0</v>
      </c>
      <c r="H31" s="238">
        <f t="shared" si="2"/>
        <v>0</v>
      </c>
      <c r="I31" s="239">
        <v>2657.5</v>
      </c>
      <c r="J31" s="238">
        <f t="shared" si="3"/>
        <v>110286.25</v>
      </c>
      <c r="K31" s="239">
        <v>0</v>
      </c>
      <c r="L31" s="238">
        <f t="shared" si="4"/>
        <v>0</v>
      </c>
      <c r="M31" s="239">
        <v>0</v>
      </c>
      <c r="N31" s="238">
        <f t="shared" si="5"/>
        <v>0</v>
      </c>
      <c r="O31" s="239">
        <v>0</v>
      </c>
      <c r="P31" s="238">
        <f t="shared" si="6"/>
        <v>0</v>
      </c>
      <c r="Q31" s="239">
        <v>830.70000000000005</v>
      </c>
      <c r="R31" s="238">
        <f t="shared" si="7"/>
        <v>34474.050000000003</v>
      </c>
      <c r="S31" s="239">
        <v>1344.8299999999999</v>
      </c>
      <c r="T31" s="238">
        <f t="shared" si="8"/>
        <v>55810.445</v>
      </c>
      <c r="U31" s="239">
        <v>0</v>
      </c>
      <c r="V31" s="238">
        <f t="shared" si="9"/>
        <v>0</v>
      </c>
      <c r="W31" s="239">
        <v>139.88</v>
      </c>
      <c r="X31" s="238">
        <f t="shared" si="10"/>
        <v>5805.0199999999995</v>
      </c>
      <c r="Y31" s="239">
        <v>0</v>
      </c>
      <c r="Z31" s="238">
        <f t="shared" si="11"/>
        <v>0</v>
      </c>
      <c r="AA31" s="239">
        <v>0</v>
      </c>
      <c r="AB31" s="238">
        <f t="shared" si="12"/>
        <v>0</v>
      </c>
      <c r="AC31" s="239">
        <v>0</v>
      </c>
      <c r="AD31" s="238">
        <f t="shared" si="13"/>
        <v>0</v>
      </c>
      <c r="AE31" s="239">
        <v>202.94</v>
      </c>
      <c r="AF31" s="238">
        <f t="shared" si="14"/>
        <v>8422.0100000000002</v>
      </c>
      <c r="AG31" s="239">
        <v>0</v>
      </c>
      <c r="AH31" s="238">
        <f t="shared" si="15"/>
        <v>0</v>
      </c>
      <c r="AI31" s="239">
        <v>0</v>
      </c>
      <c r="AJ31" s="238">
        <f t="shared" si="16"/>
        <v>0</v>
      </c>
      <c r="AK31" s="239">
        <v>0</v>
      </c>
      <c r="AL31" s="238">
        <f t="shared" si="17"/>
        <v>0</v>
      </c>
      <c r="AM31" s="239">
        <v>0</v>
      </c>
      <c r="AN31" s="238">
        <f t="shared" si="18"/>
        <v>0</v>
      </c>
      <c r="AO31" s="239">
        <v>0</v>
      </c>
      <c r="AP31" s="238">
        <f t="shared" si="19"/>
        <v>0</v>
      </c>
      <c r="AQ31" s="239">
        <v>0</v>
      </c>
      <c r="AR31" s="238">
        <f t="shared" si="20"/>
        <v>0</v>
      </c>
      <c r="AS31" s="239">
        <v>0</v>
      </c>
      <c r="AT31" s="238">
        <f t="shared" si="21"/>
        <v>0</v>
      </c>
      <c r="AU31" s="239">
        <v>0</v>
      </c>
      <c r="AV31" s="238">
        <f t="shared" si="22"/>
        <v>0</v>
      </c>
      <c r="AW31" s="239">
        <v>0</v>
      </c>
      <c r="AX31" s="238">
        <f t="shared" si="23"/>
        <v>0</v>
      </c>
      <c r="AY31" s="239">
        <v>0</v>
      </c>
      <c r="AZ31" s="238">
        <f t="shared" si="24"/>
        <v>0</v>
      </c>
      <c r="BA31" s="239">
        <v>0</v>
      </c>
      <c r="BB31" s="238">
        <f t="shared" si="25"/>
        <v>0</v>
      </c>
      <c r="BC31" s="239">
        <v>0</v>
      </c>
      <c r="BD31" s="238">
        <f t="shared" si="26"/>
        <v>0</v>
      </c>
      <c r="BE31" s="239">
        <v>0</v>
      </c>
      <c r="BF31" s="238">
        <f t="shared" si="27"/>
        <v>0</v>
      </c>
      <c r="BG31" s="239">
        <v>0</v>
      </c>
      <c r="BH31" s="238">
        <f t="shared" si="28"/>
        <v>0</v>
      </c>
      <c r="BI31" s="239">
        <v>0</v>
      </c>
      <c r="BJ31" s="238">
        <f t="shared" si="29"/>
        <v>0</v>
      </c>
      <c r="BK31" s="239">
        <v>0</v>
      </c>
      <c r="BL31" s="238">
        <f t="shared" si="30"/>
        <v>0</v>
      </c>
      <c r="BM31" s="239">
        <v>0</v>
      </c>
      <c r="BN31" s="238">
        <f t="shared" si="31"/>
        <v>0</v>
      </c>
      <c r="BO31" s="239">
        <v>0</v>
      </c>
      <c r="BP31" s="238">
        <f t="shared" si="32"/>
        <v>0</v>
      </c>
      <c r="BQ31" s="239">
        <v>0</v>
      </c>
      <c r="BR31" s="238">
        <f t="shared" si="33"/>
        <v>0</v>
      </c>
      <c r="BS31" s="225"/>
      <c r="BT31" s="239">
        <f t="shared" si="35"/>
        <v>5176</v>
      </c>
      <c r="BU31" s="238">
        <f t="shared" si="36"/>
        <v>214804</v>
      </c>
    </row>
    <row r="32" spans="1:73" ht="14.25">
      <c r="A32" s="241">
        <v>1981</v>
      </c>
      <c r="B32" s="240">
        <f t="shared" si="34"/>
        <v>40.5</v>
      </c>
      <c r="C32" s="239">
        <v>0</v>
      </c>
      <c r="D32" s="238">
        <f t="shared" si="0"/>
        <v>0</v>
      </c>
      <c r="E32" s="239">
        <v>0</v>
      </c>
      <c r="F32" s="238">
        <f t="shared" si="1"/>
        <v>0</v>
      </c>
      <c r="G32" s="239">
        <v>0</v>
      </c>
      <c r="H32" s="238">
        <f t="shared" si="2"/>
        <v>0</v>
      </c>
      <c r="I32" s="239">
        <v>0</v>
      </c>
      <c r="J32" s="238">
        <f t="shared" si="3"/>
        <v>0</v>
      </c>
      <c r="K32" s="239">
        <v>0</v>
      </c>
      <c r="L32" s="238">
        <f t="shared" si="4"/>
        <v>0</v>
      </c>
      <c r="M32" s="239">
        <v>0</v>
      </c>
      <c r="N32" s="238">
        <f t="shared" si="5"/>
        <v>0</v>
      </c>
      <c r="O32" s="239">
        <v>0</v>
      </c>
      <c r="P32" s="238">
        <f t="shared" si="6"/>
        <v>0</v>
      </c>
      <c r="Q32" s="239">
        <v>333.56</v>
      </c>
      <c r="R32" s="238">
        <f t="shared" si="7"/>
        <v>13509.18</v>
      </c>
      <c r="S32" s="239">
        <v>795.20000000000005</v>
      </c>
      <c r="T32" s="238">
        <f t="shared" si="8"/>
        <v>32205.600000000002</v>
      </c>
      <c r="U32" s="239">
        <v>0</v>
      </c>
      <c r="V32" s="238">
        <f t="shared" si="9"/>
        <v>0</v>
      </c>
      <c r="W32" s="239">
        <v>844.48000000000002</v>
      </c>
      <c r="X32" s="238">
        <f t="shared" si="10"/>
        <v>34201.440000000002</v>
      </c>
      <c r="Y32" s="239">
        <v>0</v>
      </c>
      <c r="Z32" s="238">
        <f t="shared" si="11"/>
        <v>0</v>
      </c>
      <c r="AA32" s="239">
        <v>0</v>
      </c>
      <c r="AB32" s="238">
        <f t="shared" si="12"/>
        <v>0</v>
      </c>
      <c r="AC32" s="239">
        <v>0</v>
      </c>
      <c r="AD32" s="238">
        <f t="shared" si="13"/>
        <v>0</v>
      </c>
      <c r="AE32" s="239">
        <v>0</v>
      </c>
      <c r="AF32" s="238">
        <f t="shared" si="14"/>
        <v>0</v>
      </c>
      <c r="AG32" s="239">
        <v>0</v>
      </c>
      <c r="AH32" s="238">
        <f t="shared" si="15"/>
        <v>0</v>
      </c>
      <c r="AI32" s="239">
        <v>0</v>
      </c>
      <c r="AJ32" s="238">
        <f t="shared" si="16"/>
        <v>0</v>
      </c>
      <c r="AK32" s="239">
        <v>0</v>
      </c>
      <c r="AL32" s="238">
        <f t="shared" si="17"/>
        <v>0</v>
      </c>
      <c r="AM32" s="239">
        <v>0</v>
      </c>
      <c r="AN32" s="238">
        <f t="shared" si="18"/>
        <v>0</v>
      </c>
      <c r="AO32" s="239">
        <v>0</v>
      </c>
      <c r="AP32" s="238">
        <f t="shared" si="19"/>
        <v>0</v>
      </c>
      <c r="AQ32" s="239">
        <v>0</v>
      </c>
      <c r="AR32" s="238">
        <f t="shared" si="20"/>
        <v>0</v>
      </c>
      <c r="AS32" s="239">
        <v>0</v>
      </c>
      <c r="AT32" s="238">
        <f t="shared" si="21"/>
        <v>0</v>
      </c>
      <c r="AU32" s="239">
        <v>0</v>
      </c>
      <c r="AV32" s="238">
        <f t="shared" si="22"/>
        <v>0</v>
      </c>
      <c r="AW32" s="239">
        <v>0</v>
      </c>
      <c r="AX32" s="238">
        <f t="shared" si="23"/>
        <v>0</v>
      </c>
      <c r="AY32" s="239">
        <v>0</v>
      </c>
      <c r="AZ32" s="238">
        <f t="shared" si="24"/>
        <v>0</v>
      </c>
      <c r="BA32" s="239">
        <v>0</v>
      </c>
      <c r="BB32" s="238">
        <f t="shared" si="25"/>
        <v>0</v>
      </c>
      <c r="BC32" s="239">
        <v>0</v>
      </c>
      <c r="BD32" s="238">
        <f t="shared" si="26"/>
        <v>0</v>
      </c>
      <c r="BE32" s="239">
        <v>0</v>
      </c>
      <c r="BF32" s="238">
        <f t="shared" si="27"/>
        <v>0</v>
      </c>
      <c r="BG32" s="239">
        <v>0</v>
      </c>
      <c r="BH32" s="238">
        <f t="shared" si="28"/>
        <v>0</v>
      </c>
      <c r="BI32" s="239">
        <v>0</v>
      </c>
      <c r="BJ32" s="238">
        <f t="shared" si="29"/>
        <v>0</v>
      </c>
      <c r="BK32" s="239">
        <v>0</v>
      </c>
      <c r="BL32" s="238">
        <f t="shared" si="30"/>
        <v>0</v>
      </c>
      <c r="BM32" s="239">
        <v>0</v>
      </c>
      <c r="BN32" s="238">
        <f t="shared" si="31"/>
        <v>0</v>
      </c>
      <c r="BO32" s="239">
        <v>0</v>
      </c>
      <c r="BP32" s="238">
        <f t="shared" si="32"/>
        <v>0</v>
      </c>
      <c r="BQ32" s="239">
        <v>0</v>
      </c>
      <c r="BR32" s="238">
        <f t="shared" si="33"/>
        <v>0</v>
      </c>
      <c r="BS32" s="225"/>
      <c r="BT32" s="239">
        <f t="shared" si="35"/>
        <v>1973</v>
      </c>
      <c r="BU32" s="238">
        <f t="shared" si="36"/>
        <v>79906.5</v>
      </c>
    </row>
    <row r="33" spans="1:73" ht="14.25">
      <c r="A33" s="241">
        <v>1982</v>
      </c>
      <c r="B33" s="240">
        <f t="shared" si="34"/>
        <v>39.5</v>
      </c>
      <c r="C33" s="239">
        <v>0</v>
      </c>
      <c r="D33" s="238">
        <f t="shared" si="0"/>
        <v>0</v>
      </c>
      <c r="E33" s="239">
        <v>0</v>
      </c>
      <c r="F33" s="238">
        <f t="shared" si="1"/>
        <v>0</v>
      </c>
      <c r="G33" s="239">
        <v>0</v>
      </c>
      <c r="H33" s="238">
        <f t="shared" si="2"/>
        <v>0</v>
      </c>
      <c r="I33" s="239">
        <v>0</v>
      </c>
      <c r="J33" s="238">
        <f t="shared" si="3"/>
        <v>0</v>
      </c>
      <c r="K33" s="239">
        <v>0</v>
      </c>
      <c r="L33" s="238">
        <f t="shared" si="4"/>
        <v>0</v>
      </c>
      <c r="M33" s="239">
        <v>0</v>
      </c>
      <c r="N33" s="238">
        <f t="shared" si="5"/>
        <v>0</v>
      </c>
      <c r="O33" s="239">
        <v>0</v>
      </c>
      <c r="P33" s="238">
        <f t="shared" si="6"/>
        <v>0</v>
      </c>
      <c r="Q33" s="239">
        <v>74.150000000000006</v>
      </c>
      <c r="R33" s="238">
        <f t="shared" si="7"/>
        <v>2928.9250000000002</v>
      </c>
      <c r="S33" s="239">
        <v>236.36000000000001</v>
      </c>
      <c r="T33" s="238">
        <f t="shared" si="8"/>
        <v>9336.2200000000012</v>
      </c>
      <c r="U33" s="239">
        <v>0</v>
      </c>
      <c r="V33" s="238">
        <f t="shared" si="9"/>
        <v>0</v>
      </c>
      <c r="W33" s="239">
        <v>626.12</v>
      </c>
      <c r="X33" s="238">
        <f t="shared" si="10"/>
        <v>24731.740000000002</v>
      </c>
      <c r="Y33" s="239">
        <v>0</v>
      </c>
      <c r="Z33" s="238">
        <f t="shared" si="11"/>
        <v>0</v>
      </c>
      <c r="AA33" s="239">
        <v>0</v>
      </c>
      <c r="AB33" s="238">
        <f t="shared" si="12"/>
        <v>0</v>
      </c>
      <c r="AC33" s="239">
        <v>0</v>
      </c>
      <c r="AD33" s="238">
        <f t="shared" si="13"/>
        <v>0</v>
      </c>
      <c r="AE33" s="239">
        <v>0</v>
      </c>
      <c r="AF33" s="238">
        <f t="shared" si="14"/>
        <v>0</v>
      </c>
      <c r="AG33" s="239">
        <v>0</v>
      </c>
      <c r="AH33" s="238">
        <f t="shared" si="15"/>
        <v>0</v>
      </c>
      <c r="AI33" s="239">
        <v>0</v>
      </c>
      <c r="AJ33" s="238">
        <f t="shared" si="16"/>
        <v>0</v>
      </c>
      <c r="AK33" s="239">
        <v>0</v>
      </c>
      <c r="AL33" s="238">
        <f t="shared" si="17"/>
        <v>0</v>
      </c>
      <c r="AM33" s="239">
        <v>0</v>
      </c>
      <c r="AN33" s="238">
        <f t="shared" si="18"/>
        <v>0</v>
      </c>
      <c r="AO33" s="239">
        <v>0</v>
      </c>
      <c r="AP33" s="238">
        <f t="shared" si="19"/>
        <v>0</v>
      </c>
      <c r="AQ33" s="239">
        <v>0</v>
      </c>
      <c r="AR33" s="238">
        <f t="shared" si="20"/>
        <v>0</v>
      </c>
      <c r="AS33" s="239">
        <v>0</v>
      </c>
      <c r="AT33" s="238">
        <f t="shared" si="21"/>
        <v>0</v>
      </c>
      <c r="AU33" s="239">
        <v>0</v>
      </c>
      <c r="AV33" s="238">
        <f t="shared" si="22"/>
        <v>0</v>
      </c>
      <c r="AW33" s="239">
        <v>0</v>
      </c>
      <c r="AX33" s="238">
        <f t="shared" si="23"/>
        <v>0</v>
      </c>
      <c r="AY33" s="239">
        <v>0</v>
      </c>
      <c r="AZ33" s="238">
        <f t="shared" si="24"/>
        <v>0</v>
      </c>
      <c r="BA33" s="239">
        <v>0</v>
      </c>
      <c r="BB33" s="238">
        <f t="shared" si="25"/>
        <v>0</v>
      </c>
      <c r="BC33" s="239">
        <v>0</v>
      </c>
      <c r="BD33" s="238">
        <f t="shared" si="26"/>
        <v>0</v>
      </c>
      <c r="BE33" s="239">
        <v>0</v>
      </c>
      <c r="BF33" s="238">
        <f t="shared" si="27"/>
        <v>0</v>
      </c>
      <c r="BG33" s="239">
        <v>0</v>
      </c>
      <c r="BH33" s="238">
        <f t="shared" si="28"/>
        <v>0</v>
      </c>
      <c r="BI33" s="239">
        <v>0</v>
      </c>
      <c r="BJ33" s="238">
        <f t="shared" si="29"/>
        <v>0</v>
      </c>
      <c r="BK33" s="239">
        <v>0</v>
      </c>
      <c r="BL33" s="238">
        <f t="shared" si="30"/>
        <v>0</v>
      </c>
      <c r="BM33" s="239">
        <v>0</v>
      </c>
      <c r="BN33" s="238">
        <f t="shared" si="31"/>
        <v>0</v>
      </c>
      <c r="BO33" s="239">
        <v>0</v>
      </c>
      <c r="BP33" s="238">
        <f t="shared" si="32"/>
        <v>0</v>
      </c>
      <c r="BQ33" s="239">
        <v>0</v>
      </c>
      <c r="BR33" s="238">
        <f t="shared" si="33"/>
        <v>0</v>
      </c>
      <c r="BS33" s="225"/>
      <c r="BT33" s="239">
        <f t="shared" si="35"/>
        <v>937</v>
      </c>
      <c r="BU33" s="238">
        <f t="shared" si="36"/>
        <v>37011.5</v>
      </c>
    </row>
    <row r="34" spans="1:73" ht="14.25">
      <c r="A34" s="241">
        <v>1983</v>
      </c>
      <c r="B34" s="240">
        <f t="shared" si="34"/>
        <v>38.5</v>
      </c>
      <c r="C34" s="239">
        <v>0</v>
      </c>
      <c r="D34" s="238">
        <f t="shared" si="0"/>
        <v>0</v>
      </c>
      <c r="E34" s="239">
        <v>0</v>
      </c>
      <c r="F34" s="238">
        <f t="shared" si="1"/>
        <v>0</v>
      </c>
      <c r="G34" s="239">
        <v>0</v>
      </c>
      <c r="H34" s="238">
        <f t="shared" si="2"/>
        <v>0</v>
      </c>
      <c r="I34" s="239">
        <v>0</v>
      </c>
      <c r="J34" s="238">
        <f t="shared" si="3"/>
        <v>0</v>
      </c>
      <c r="K34" s="239">
        <v>0</v>
      </c>
      <c r="L34" s="238">
        <f t="shared" si="4"/>
        <v>0</v>
      </c>
      <c r="M34" s="239">
        <v>0</v>
      </c>
      <c r="N34" s="238">
        <f t="shared" si="5"/>
        <v>0</v>
      </c>
      <c r="O34" s="239">
        <v>0</v>
      </c>
      <c r="P34" s="238">
        <f t="shared" si="6"/>
        <v>0</v>
      </c>
      <c r="Q34" s="239">
        <v>2063.9400000000001</v>
      </c>
      <c r="R34" s="238">
        <f t="shared" si="7"/>
        <v>79461.690000000002</v>
      </c>
      <c r="S34" s="239">
        <v>0</v>
      </c>
      <c r="T34" s="238">
        <f t="shared" si="8"/>
        <v>0</v>
      </c>
      <c r="U34" s="239">
        <v>0</v>
      </c>
      <c r="V34" s="238">
        <f t="shared" si="9"/>
        <v>0</v>
      </c>
      <c r="W34" s="239">
        <v>155.75999999999999</v>
      </c>
      <c r="X34" s="238">
        <f t="shared" si="10"/>
        <v>5996.7599999999993</v>
      </c>
      <c r="Y34" s="239">
        <v>0</v>
      </c>
      <c r="Z34" s="238">
        <f t="shared" si="11"/>
        <v>0</v>
      </c>
      <c r="AA34" s="239">
        <v>0</v>
      </c>
      <c r="AB34" s="238">
        <f t="shared" si="12"/>
        <v>0</v>
      </c>
      <c r="AC34" s="239">
        <v>0</v>
      </c>
      <c r="AD34" s="238">
        <f t="shared" si="13"/>
        <v>0</v>
      </c>
      <c r="AE34" s="239">
        <v>1688.95</v>
      </c>
      <c r="AF34" s="238">
        <f t="shared" si="14"/>
        <v>65024.575000000004</v>
      </c>
      <c r="AG34" s="239">
        <v>0</v>
      </c>
      <c r="AH34" s="238">
        <f t="shared" si="15"/>
        <v>0</v>
      </c>
      <c r="AI34" s="239">
        <v>0</v>
      </c>
      <c r="AJ34" s="238">
        <f t="shared" si="16"/>
        <v>0</v>
      </c>
      <c r="AK34" s="239">
        <v>0</v>
      </c>
      <c r="AL34" s="238">
        <f t="shared" si="17"/>
        <v>0</v>
      </c>
      <c r="AM34" s="239">
        <v>0</v>
      </c>
      <c r="AN34" s="238">
        <f t="shared" si="18"/>
        <v>0</v>
      </c>
      <c r="AO34" s="239">
        <v>0</v>
      </c>
      <c r="AP34" s="238">
        <f t="shared" si="19"/>
        <v>0</v>
      </c>
      <c r="AQ34" s="239">
        <v>0</v>
      </c>
      <c r="AR34" s="238">
        <f t="shared" si="20"/>
        <v>0</v>
      </c>
      <c r="AS34" s="239">
        <v>0</v>
      </c>
      <c r="AT34" s="238">
        <f t="shared" si="21"/>
        <v>0</v>
      </c>
      <c r="AU34" s="239">
        <v>0</v>
      </c>
      <c r="AV34" s="238">
        <f t="shared" si="22"/>
        <v>0</v>
      </c>
      <c r="AW34" s="239">
        <v>0</v>
      </c>
      <c r="AX34" s="238">
        <f t="shared" si="23"/>
        <v>0</v>
      </c>
      <c r="AY34" s="239">
        <v>0</v>
      </c>
      <c r="AZ34" s="238">
        <f t="shared" si="24"/>
        <v>0</v>
      </c>
      <c r="BA34" s="239">
        <v>0</v>
      </c>
      <c r="BB34" s="238">
        <f t="shared" si="25"/>
        <v>0</v>
      </c>
      <c r="BC34" s="239">
        <v>0</v>
      </c>
      <c r="BD34" s="238">
        <f t="shared" si="26"/>
        <v>0</v>
      </c>
      <c r="BE34" s="239">
        <v>0</v>
      </c>
      <c r="BF34" s="238">
        <f t="shared" si="27"/>
        <v>0</v>
      </c>
      <c r="BG34" s="239">
        <v>0</v>
      </c>
      <c r="BH34" s="238">
        <f t="shared" si="28"/>
        <v>0</v>
      </c>
      <c r="BI34" s="239">
        <v>0</v>
      </c>
      <c r="BJ34" s="238">
        <f t="shared" si="29"/>
        <v>0</v>
      </c>
      <c r="BK34" s="239">
        <v>0</v>
      </c>
      <c r="BL34" s="238">
        <f t="shared" si="30"/>
        <v>0</v>
      </c>
      <c r="BM34" s="239">
        <v>0</v>
      </c>
      <c r="BN34" s="238">
        <f t="shared" si="31"/>
        <v>0</v>
      </c>
      <c r="BO34" s="239">
        <v>0</v>
      </c>
      <c r="BP34" s="238">
        <f t="shared" si="32"/>
        <v>0</v>
      </c>
      <c r="BQ34" s="239">
        <v>0</v>
      </c>
      <c r="BR34" s="238">
        <f t="shared" si="33"/>
        <v>0</v>
      </c>
      <c r="BS34" s="225"/>
      <c r="BT34" s="239">
        <f t="shared" si="35"/>
        <v>3909</v>
      </c>
      <c r="BU34" s="238">
        <f t="shared" si="36"/>
        <v>150496.5</v>
      </c>
    </row>
    <row r="35" spans="1:73" ht="14.25">
      <c r="A35" s="241">
        <v>1984</v>
      </c>
      <c r="B35" s="240">
        <f t="shared" si="34"/>
        <v>37.5</v>
      </c>
      <c r="C35" s="239">
        <v>0</v>
      </c>
      <c r="D35" s="238">
        <f t="shared" si="0"/>
        <v>0</v>
      </c>
      <c r="E35" s="239">
        <v>0</v>
      </c>
      <c r="F35" s="238">
        <f t="shared" si="1"/>
        <v>0</v>
      </c>
      <c r="G35" s="239">
        <v>0</v>
      </c>
      <c r="H35" s="238">
        <f t="shared" si="2"/>
        <v>0</v>
      </c>
      <c r="I35" s="239">
        <v>0</v>
      </c>
      <c r="J35" s="238">
        <f t="shared" si="3"/>
        <v>0</v>
      </c>
      <c r="K35" s="239">
        <v>0</v>
      </c>
      <c r="L35" s="238">
        <f t="shared" si="4"/>
        <v>0</v>
      </c>
      <c r="M35" s="239">
        <v>0</v>
      </c>
      <c r="N35" s="238">
        <f t="shared" si="5"/>
        <v>0</v>
      </c>
      <c r="O35" s="239">
        <v>0</v>
      </c>
      <c r="P35" s="238">
        <f t="shared" si="6"/>
        <v>0</v>
      </c>
      <c r="Q35" s="239">
        <v>2831.6399999999999</v>
      </c>
      <c r="R35" s="238">
        <f t="shared" si="7"/>
        <v>106186.5</v>
      </c>
      <c r="S35" s="239">
        <v>397.45999999999998</v>
      </c>
      <c r="T35" s="238">
        <f t="shared" si="8"/>
        <v>14904.75</v>
      </c>
      <c r="U35" s="239">
        <v>0</v>
      </c>
      <c r="V35" s="238">
        <f t="shared" si="9"/>
        <v>0</v>
      </c>
      <c r="W35" s="239">
        <v>91.069999999999993</v>
      </c>
      <c r="X35" s="238">
        <f t="shared" si="10"/>
        <v>3415.1249999999995</v>
      </c>
      <c r="Y35" s="239">
        <v>0</v>
      </c>
      <c r="Z35" s="238">
        <f t="shared" si="11"/>
        <v>0</v>
      </c>
      <c r="AA35" s="239">
        <v>0</v>
      </c>
      <c r="AB35" s="238">
        <f t="shared" si="12"/>
        <v>0</v>
      </c>
      <c r="AC35" s="239">
        <v>0</v>
      </c>
      <c r="AD35" s="238">
        <f t="shared" si="13"/>
        <v>0</v>
      </c>
      <c r="AE35" s="239">
        <v>625.29999999999995</v>
      </c>
      <c r="AF35" s="238">
        <f t="shared" si="14"/>
        <v>23448.75</v>
      </c>
      <c r="AG35" s="239">
        <v>0</v>
      </c>
      <c r="AH35" s="238">
        <f t="shared" si="15"/>
        <v>0</v>
      </c>
      <c r="AI35" s="239">
        <v>0</v>
      </c>
      <c r="AJ35" s="238">
        <f t="shared" si="16"/>
        <v>0</v>
      </c>
      <c r="AK35" s="239">
        <v>0</v>
      </c>
      <c r="AL35" s="238">
        <f t="shared" si="17"/>
        <v>0</v>
      </c>
      <c r="AM35" s="239">
        <v>0</v>
      </c>
      <c r="AN35" s="238">
        <f t="shared" si="18"/>
        <v>0</v>
      </c>
      <c r="AO35" s="239">
        <v>0</v>
      </c>
      <c r="AP35" s="238">
        <f t="shared" si="19"/>
        <v>0</v>
      </c>
      <c r="AQ35" s="239">
        <v>0</v>
      </c>
      <c r="AR35" s="238">
        <f t="shared" si="20"/>
        <v>0</v>
      </c>
      <c r="AS35" s="239">
        <v>0</v>
      </c>
      <c r="AT35" s="238">
        <f t="shared" si="21"/>
        <v>0</v>
      </c>
      <c r="AU35" s="239">
        <v>0</v>
      </c>
      <c r="AV35" s="238">
        <f t="shared" si="22"/>
        <v>0</v>
      </c>
      <c r="AW35" s="239">
        <v>0</v>
      </c>
      <c r="AX35" s="238">
        <f t="shared" si="23"/>
        <v>0</v>
      </c>
      <c r="AY35" s="239">
        <v>0</v>
      </c>
      <c r="AZ35" s="238">
        <f t="shared" si="24"/>
        <v>0</v>
      </c>
      <c r="BA35" s="239">
        <v>0</v>
      </c>
      <c r="BB35" s="238">
        <f t="shared" si="25"/>
        <v>0</v>
      </c>
      <c r="BC35" s="239">
        <v>0</v>
      </c>
      <c r="BD35" s="238">
        <f t="shared" si="26"/>
        <v>0</v>
      </c>
      <c r="BE35" s="239">
        <v>0</v>
      </c>
      <c r="BF35" s="238">
        <f t="shared" si="27"/>
        <v>0</v>
      </c>
      <c r="BG35" s="239">
        <v>0</v>
      </c>
      <c r="BH35" s="238">
        <f t="shared" si="28"/>
        <v>0</v>
      </c>
      <c r="BI35" s="239">
        <v>0</v>
      </c>
      <c r="BJ35" s="238">
        <f t="shared" si="29"/>
        <v>0</v>
      </c>
      <c r="BK35" s="239">
        <v>0</v>
      </c>
      <c r="BL35" s="238">
        <f t="shared" si="30"/>
        <v>0</v>
      </c>
      <c r="BM35" s="239">
        <v>0</v>
      </c>
      <c r="BN35" s="238">
        <f t="shared" si="31"/>
        <v>0</v>
      </c>
      <c r="BO35" s="239">
        <v>0</v>
      </c>
      <c r="BP35" s="238">
        <f t="shared" si="32"/>
        <v>0</v>
      </c>
      <c r="BQ35" s="239">
        <v>0</v>
      </c>
      <c r="BR35" s="238">
        <f t="shared" si="33"/>
        <v>0</v>
      </c>
      <c r="BS35" s="225"/>
      <c r="BT35" s="239">
        <f t="shared" si="35"/>
        <v>3945</v>
      </c>
      <c r="BU35" s="238">
        <f t="shared" si="36"/>
        <v>147937.5</v>
      </c>
    </row>
    <row r="36" spans="1:73" ht="14.25">
      <c r="A36" s="241">
        <v>1985</v>
      </c>
      <c r="B36" s="240">
        <f t="shared" si="34"/>
        <v>36.5</v>
      </c>
      <c r="C36" s="239">
        <v>0</v>
      </c>
      <c r="D36" s="238">
        <f t="shared" si="0"/>
        <v>0</v>
      </c>
      <c r="E36" s="239">
        <v>0</v>
      </c>
      <c r="F36" s="238">
        <f t="shared" si="1"/>
        <v>0</v>
      </c>
      <c r="G36" s="239">
        <v>160.34</v>
      </c>
      <c r="H36" s="238">
        <f t="shared" si="2"/>
        <v>5852.4099999999999</v>
      </c>
      <c r="I36" s="239">
        <v>0</v>
      </c>
      <c r="J36" s="238">
        <f t="shared" si="3"/>
        <v>0</v>
      </c>
      <c r="K36" s="239">
        <v>0</v>
      </c>
      <c r="L36" s="238">
        <f t="shared" si="4"/>
        <v>0</v>
      </c>
      <c r="M36" s="239">
        <v>0</v>
      </c>
      <c r="N36" s="238">
        <f t="shared" si="5"/>
        <v>0</v>
      </c>
      <c r="O36" s="239">
        <v>0</v>
      </c>
      <c r="P36" s="238">
        <f t="shared" si="6"/>
        <v>0</v>
      </c>
      <c r="Q36" s="239">
        <v>4607.9499999999998</v>
      </c>
      <c r="R36" s="238">
        <f t="shared" si="7"/>
        <v>168190.17499999999</v>
      </c>
      <c r="S36" s="239">
        <v>0</v>
      </c>
      <c r="T36" s="238">
        <f t="shared" si="8"/>
        <v>0</v>
      </c>
      <c r="U36" s="239">
        <v>0</v>
      </c>
      <c r="V36" s="238">
        <f t="shared" si="9"/>
        <v>0</v>
      </c>
      <c r="W36" s="239">
        <v>523.04999999999995</v>
      </c>
      <c r="X36" s="238">
        <f t="shared" si="10"/>
        <v>19091.324999999997</v>
      </c>
      <c r="Y36" s="239">
        <v>0</v>
      </c>
      <c r="Z36" s="238">
        <f t="shared" si="11"/>
        <v>0</v>
      </c>
      <c r="AA36" s="239">
        <v>0</v>
      </c>
      <c r="AB36" s="238">
        <f t="shared" si="12"/>
        <v>0</v>
      </c>
      <c r="AC36" s="239">
        <v>0</v>
      </c>
      <c r="AD36" s="238">
        <f t="shared" si="13"/>
        <v>0</v>
      </c>
      <c r="AE36" s="239">
        <v>573.69000000000005</v>
      </c>
      <c r="AF36" s="238">
        <f t="shared" si="14"/>
        <v>20939.685000000001</v>
      </c>
      <c r="AG36" s="239">
        <v>0</v>
      </c>
      <c r="AH36" s="238">
        <f t="shared" si="15"/>
        <v>0</v>
      </c>
      <c r="AI36" s="239">
        <v>0</v>
      </c>
      <c r="AJ36" s="238">
        <f t="shared" si="16"/>
        <v>0</v>
      </c>
      <c r="AK36" s="239">
        <v>0</v>
      </c>
      <c r="AL36" s="238">
        <f t="shared" si="17"/>
        <v>0</v>
      </c>
      <c r="AM36" s="239">
        <v>0</v>
      </c>
      <c r="AN36" s="238">
        <f t="shared" si="18"/>
        <v>0</v>
      </c>
      <c r="AO36" s="239">
        <v>0</v>
      </c>
      <c r="AP36" s="238">
        <f t="shared" si="19"/>
        <v>0</v>
      </c>
      <c r="AQ36" s="239">
        <v>0</v>
      </c>
      <c r="AR36" s="238">
        <f t="shared" si="20"/>
        <v>0</v>
      </c>
      <c r="AS36" s="239">
        <v>0</v>
      </c>
      <c r="AT36" s="238">
        <f t="shared" si="21"/>
        <v>0</v>
      </c>
      <c r="AU36" s="239">
        <v>0</v>
      </c>
      <c r="AV36" s="238">
        <f t="shared" si="22"/>
        <v>0</v>
      </c>
      <c r="AW36" s="239">
        <v>0</v>
      </c>
      <c r="AX36" s="238">
        <f t="shared" si="23"/>
        <v>0</v>
      </c>
      <c r="AY36" s="239">
        <v>0</v>
      </c>
      <c r="AZ36" s="238">
        <f t="shared" si="24"/>
        <v>0</v>
      </c>
      <c r="BA36" s="239">
        <v>0</v>
      </c>
      <c r="BB36" s="238">
        <f t="shared" si="25"/>
        <v>0</v>
      </c>
      <c r="BC36" s="239">
        <v>0</v>
      </c>
      <c r="BD36" s="238">
        <f t="shared" si="26"/>
        <v>0</v>
      </c>
      <c r="BE36" s="239">
        <v>0</v>
      </c>
      <c r="BF36" s="238">
        <f t="shared" si="27"/>
        <v>0</v>
      </c>
      <c r="BG36" s="239">
        <v>0</v>
      </c>
      <c r="BH36" s="238">
        <f t="shared" si="28"/>
        <v>0</v>
      </c>
      <c r="BI36" s="239">
        <v>0</v>
      </c>
      <c r="BJ36" s="238">
        <f t="shared" si="29"/>
        <v>0</v>
      </c>
      <c r="BK36" s="239">
        <v>0</v>
      </c>
      <c r="BL36" s="238">
        <f t="shared" si="30"/>
        <v>0</v>
      </c>
      <c r="BM36" s="239">
        <v>0</v>
      </c>
      <c r="BN36" s="238">
        <f t="shared" si="31"/>
        <v>0</v>
      </c>
      <c r="BO36" s="239">
        <v>0</v>
      </c>
      <c r="BP36" s="238">
        <f t="shared" si="32"/>
        <v>0</v>
      </c>
      <c r="BQ36" s="239">
        <v>0</v>
      </c>
      <c r="BR36" s="238">
        <f t="shared" si="33"/>
        <v>0</v>
      </c>
      <c r="BS36" s="225"/>
      <c r="BT36" s="239">
        <f t="shared" si="35"/>
        <v>5865</v>
      </c>
      <c r="BU36" s="238">
        <f t="shared" si="36"/>
        <v>214072.5</v>
      </c>
    </row>
    <row r="37" spans="1:73" ht="14.25">
      <c r="A37" s="241">
        <v>1986</v>
      </c>
      <c r="B37" s="240">
        <f t="shared" si="34"/>
        <v>35.5</v>
      </c>
      <c r="C37" s="239">
        <v>0</v>
      </c>
      <c r="D37" s="238">
        <f t="shared" si="0"/>
        <v>0</v>
      </c>
      <c r="E37" s="239">
        <v>0</v>
      </c>
      <c r="F37" s="238">
        <f t="shared" si="1"/>
        <v>0</v>
      </c>
      <c r="G37" s="239">
        <v>0</v>
      </c>
      <c r="H37" s="238">
        <f t="shared" si="2"/>
        <v>0</v>
      </c>
      <c r="I37" s="239">
        <v>7063.3400000000001</v>
      </c>
      <c r="J37" s="238">
        <f t="shared" si="3"/>
        <v>250748.57000000001</v>
      </c>
      <c r="K37" s="239">
        <v>0</v>
      </c>
      <c r="L37" s="238">
        <f t="shared" si="4"/>
        <v>0</v>
      </c>
      <c r="M37" s="239">
        <v>0</v>
      </c>
      <c r="N37" s="238">
        <f t="shared" si="5"/>
        <v>0</v>
      </c>
      <c r="O37" s="239">
        <v>0</v>
      </c>
      <c r="P37" s="238">
        <f t="shared" si="6"/>
        <v>0</v>
      </c>
      <c r="Q37" s="239">
        <v>4580.6800000000003</v>
      </c>
      <c r="R37" s="238">
        <f t="shared" si="7"/>
        <v>162614.14000000001</v>
      </c>
      <c r="S37" s="239">
        <v>0</v>
      </c>
      <c r="T37" s="238">
        <f t="shared" si="8"/>
        <v>0</v>
      </c>
      <c r="U37" s="239">
        <v>0</v>
      </c>
      <c r="V37" s="238">
        <f t="shared" si="9"/>
        <v>0</v>
      </c>
      <c r="W37" s="239">
        <v>1913.53</v>
      </c>
      <c r="X37" s="238">
        <f t="shared" si="10"/>
        <v>67930.315000000002</v>
      </c>
      <c r="Y37" s="239">
        <v>0</v>
      </c>
      <c r="Z37" s="238">
        <f t="shared" si="11"/>
        <v>0</v>
      </c>
      <c r="AA37" s="239">
        <v>0</v>
      </c>
      <c r="AB37" s="238">
        <f t="shared" si="12"/>
        <v>0</v>
      </c>
      <c r="AC37" s="239">
        <v>0</v>
      </c>
      <c r="AD37" s="238">
        <f t="shared" si="13"/>
        <v>0</v>
      </c>
      <c r="AE37" s="239">
        <v>0</v>
      </c>
      <c r="AF37" s="238">
        <f t="shared" si="14"/>
        <v>0</v>
      </c>
      <c r="AG37" s="239">
        <v>0</v>
      </c>
      <c r="AH37" s="238">
        <f t="shared" si="15"/>
        <v>0</v>
      </c>
      <c r="AI37" s="239">
        <v>0</v>
      </c>
      <c r="AJ37" s="238">
        <f t="shared" si="16"/>
        <v>0</v>
      </c>
      <c r="AK37" s="239">
        <v>0</v>
      </c>
      <c r="AL37" s="238">
        <f t="shared" si="17"/>
        <v>0</v>
      </c>
      <c r="AM37" s="239">
        <v>0</v>
      </c>
      <c r="AN37" s="238">
        <f t="shared" si="18"/>
        <v>0</v>
      </c>
      <c r="AO37" s="239">
        <v>0</v>
      </c>
      <c r="AP37" s="238">
        <f t="shared" si="19"/>
        <v>0</v>
      </c>
      <c r="AQ37" s="239">
        <v>0</v>
      </c>
      <c r="AR37" s="238">
        <f t="shared" si="20"/>
        <v>0</v>
      </c>
      <c r="AS37" s="239">
        <v>0</v>
      </c>
      <c r="AT37" s="238">
        <f t="shared" si="21"/>
        <v>0</v>
      </c>
      <c r="AU37" s="239">
        <v>0</v>
      </c>
      <c r="AV37" s="238">
        <f t="shared" si="22"/>
        <v>0</v>
      </c>
      <c r="AW37" s="239">
        <v>0</v>
      </c>
      <c r="AX37" s="238">
        <f t="shared" si="23"/>
        <v>0</v>
      </c>
      <c r="AY37" s="239">
        <v>0</v>
      </c>
      <c r="AZ37" s="238">
        <f t="shared" si="24"/>
        <v>0</v>
      </c>
      <c r="BA37" s="239">
        <v>0</v>
      </c>
      <c r="BB37" s="238">
        <f t="shared" si="25"/>
        <v>0</v>
      </c>
      <c r="BC37" s="239">
        <v>0</v>
      </c>
      <c r="BD37" s="238">
        <f t="shared" si="26"/>
        <v>0</v>
      </c>
      <c r="BE37" s="239">
        <v>0</v>
      </c>
      <c r="BF37" s="238">
        <f t="shared" si="27"/>
        <v>0</v>
      </c>
      <c r="BG37" s="239">
        <v>0</v>
      </c>
      <c r="BH37" s="238">
        <f t="shared" si="28"/>
        <v>0</v>
      </c>
      <c r="BI37" s="239">
        <v>0</v>
      </c>
      <c r="BJ37" s="238">
        <f t="shared" si="29"/>
        <v>0</v>
      </c>
      <c r="BK37" s="239">
        <v>0</v>
      </c>
      <c r="BL37" s="238">
        <f t="shared" si="30"/>
        <v>0</v>
      </c>
      <c r="BM37" s="239">
        <v>0</v>
      </c>
      <c r="BN37" s="238">
        <f t="shared" si="31"/>
        <v>0</v>
      </c>
      <c r="BO37" s="239">
        <v>0</v>
      </c>
      <c r="BP37" s="238">
        <f t="shared" si="32"/>
        <v>0</v>
      </c>
      <c r="BQ37" s="239">
        <v>0</v>
      </c>
      <c r="BR37" s="238">
        <f t="shared" si="33"/>
        <v>0</v>
      </c>
      <c r="BS37" s="225"/>
      <c r="BT37" s="239">
        <f t="shared" si="35"/>
        <v>13558</v>
      </c>
      <c r="BU37" s="238">
        <f t="shared" si="36"/>
        <v>481309</v>
      </c>
    </row>
    <row r="38" spans="1:73" ht="14.25">
      <c r="A38" s="241">
        <v>1987</v>
      </c>
      <c r="B38" s="240">
        <f t="shared" si="34"/>
        <v>34.5</v>
      </c>
      <c r="C38" s="239">
        <v>0</v>
      </c>
      <c r="D38" s="238">
        <f t="shared" si="0"/>
        <v>0</v>
      </c>
      <c r="E38" s="239">
        <v>0</v>
      </c>
      <c r="F38" s="238">
        <f t="shared" si="1"/>
        <v>0</v>
      </c>
      <c r="G38" s="239">
        <v>1208.03</v>
      </c>
      <c r="H38" s="238">
        <f t="shared" si="2"/>
        <v>41677.034999999996</v>
      </c>
      <c r="I38" s="239">
        <v>6675.1499999999996</v>
      </c>
      <c r="J38" s="238">
        <f t="shared" si="3"/>
        <v>230292.67499999999</v>
      </c>
      <c r="K38" s="239">
        <v>0</v>
      </c>
      <c r="L38" s="238">
        <f t="shared" si="4"/>
        <v>0</v>
      </c>
      <c r="M38" s="239">
        <v>0</v>
      </c>
      <c r="N38" s="238">
        <f t="shared" si="5"/>
        <v>0</v>
      </c>
      <c r="O38" s="239">
        <v>0</v>
      </c>
      <c r="P38" s="238">
        <f t="shared" si="6"/>
        <v>0</v>
      </c>
      <c r="Q38" s="239">
        <v>24369</v>
      </c>
      <c r="R38" s="238">
        <f t="shared" si="7"/>
        <v>840730.5</v>
      </c>
      <c r="S38" s="239">
        <v>138.47999999999999</v>
      </c>
      <c r="T38" s="238">
        <f t="shared" si="8"/>
        <v>4777.5599999999995</v>
      </c>
      <c r="U38" s="239">
        <v>0</v>
      </c>
      <c r="V38" s="238">
        <f t="shared" si="9"/>
        <v>0</v>
      </c>
      <c r="W38" s="239">
        <v>514.20000000000005</v>
      </c>
      <c r="X38" s="238">
        <f t="shared" si="10"/>
        <v>17739.900000000001</v>
      </c>
      <c r="Y38" s="239">
        <v>0</v>
      </c>
      <c r="Z38" s="238">
        <f t="shared" si="11"/>
        <v>0</v>
      </c>
      <c r="AA38" s="239">
        <v>0</v>
      </c>
      <c r="AB38" s="238">
        <f t="shared" si="12"/>
        <v>0</v>
      </c>
      <c r="AC38" s="239">
        <v>0</v>
      </c>
      <c r="AD38" s="238">
        <f t="shared" si="13"/>
        <v>0</v>
      </c>
      <c r="AE38" s="239">
        <v>0</v>
      </c>
      <c r="AF38" s="238">
        <f t="shared" si="14"/>
        <v>0</v>
      </c>
      <c r="AG38" s="239">
        <v>0</v>
      </c>
      <c r="AH38" s="238">
        <f t="shared" si="15"/>
        <v>0</v>
      </c>
      <c r="AI38" s="239">
        <v>0</v>
      </c>
      <c r="AJ38" s="238">
        <f t="shared" si="16"/>
        <v>0</v>
      </c>
      <c r="AK38" s="239">
        <v>0</v>
      </c>
      <c r="AL38" s="238">
        <f t="shared" si="17"/>
        <v>0</v>
      </c>
      <c r="AM38" s="239">
        <v>0</v>
      </c>
      <c r="AN38" s="238">
        <f t="shared" si="18"/>
        <v>0</v>
      </c>
      <c r="AO38" s="239">
        <v>0</v>
      </c>
      <c r="AP38" s="238">
        <f t="shared" si="19"/>
        <v>0</v>
      </c>
      <c r="AQ38" s="239">
        <v>0</v>
      </c>
      <c r="AR38" s="238">
        <f t="shared" si="20"/>
        <v>0</v>
      </c>
      <c r="AS38" s="239">
        <v>0</v>
      </c>
      <c r="AT38" s="238">
        <f t="shared" si="21"/>
        <v>0</v>
      </c>
      <c r="AU38" s="239">
        <v>0</v>
      </c>
      <c r="AV38" s="238">
        <f t="shared" si="22"/>
        <v>0</v>
      </c>
      <c r="AW38" s="239">
        <v>0</v>
      </c>
      <c r="AX38" s="238">
        <f t="shared" si="23"/>
        <v>0</v>
      </c>
      <c r="AY38" s="239">
        <v>0</v>
      </c>
      <c r="AZ38" s="238">
        <f t="shared" si="24"/>
        <v>0</v>
      </c>
      <c r="BA38" s="239">
        <v>0</v>
      </c>
      <c r="BB38" s="238">
        <f t="shared" si="25"/>
        <v>0</v>
      </c>
      <c r="BC38" s="239">
        <v>0</v>
      </c>
      <c r="BD38" s="238">
        <f t="shared" si="26"/>
        <v>0</v>
      </c>
      <c r="BE38" s="239">
        <v>0</v>
      </c>
      <c r="BF38" s="238">
        <f t="shared" si="27"/>
        <v>0</v>
      </c>
      <c r="BG38" s="239">
        <v>0</v>
      </c>
      <c r="BH38" s="238">
        <f t="shared" si="28"/>
        <v>0</v>
      </c>
      <c r="BI38" s="239">
        <v>0</v>
      </c>
      <c r="BJ38" s="238">
        <f t="shared" si="29"/>
        <v>0</v>
      </c>
      <c r="BK38" s="239">
        <v>0</v>
      </c>
      <c r="BL38" s="238">
        <f t="shared" si="30"/>
        <v>0</v>
      </c>
      <c r="BM38" s="239">
        <v>0</v>
      </c>
      <c r="BN38" s="238">
        <f t="shared" si="31"/>
        <v>0</v>
      </c>
      <c r="BO38" s="239">
        <v>0</v>
      </c>
      <c r="BP38" s="238">
        <f t="shared" si="32"/>
        <v>0</v>
      </c>
      <c r="BQ38" s="239">
        <v>0</v>
      </c>
      <c r="BR38" s="238">
        <f t="shared" si="33"/>
        <v>0</v>
      </c>
      <c r="BS38" s="225"/>
      <c r="BT38" s="239">
        <f t="shared" si="35"/>
        <v>32905</v>
      </c>
      <c r="BU38" s="238">
        <f t="shared" si="36"/>
        <v>1135222.5</v>
      </c>
    </row>
    <row r="39" spans="1:73" ht="14.25">
      <c r="A39" s="241">
        <v>1988</v>
      </c>
      <c r="B39" s="240">
        <f t="shared" si="34"/>
        <v>33.5</v>
      </c>
      <c r="C39" s="239">
        <v>0</v>
      </c>
      <c r="D39" s="238">
        <f t="shared" si="0"/>
        <v>0</v>
      </c>
      <c r="E39" s="239">
        <v>0</v>
      </c>
      <c r="F39" s="238">
        <f t="shared" si="1"/>
        <v>0</v>
      </c>
      <c r="G39" s="239">
        <v>0</v>
      </c>
      <c r="H39" s="238">
        <f t="shared" si="2"/>
        <v>0</v>
      </c>
      <c r="I39" s="239">
        <v>0</v>
      </c>
      <c r="J39" s="238">
        <f t="shared" si="3"/>
        <v>0</v>
      </c>
      <c r="K39" s="239">
        <v>0</v>
      </c>
      <c r="L39" s="238">
        <f t="shared" si="4"/>
        <v>0</v>
      </c>
      <c r="M39" s="239">
        <v>0</v>
      </c>
      <c r="N39" s="238">
        <f t="shared" si="5"/>
        <v>0</v>
      </c>
      <c r="O39" s="239">
        <v>0</v>
      </c>
      <c r="P39" s="238">
        <f t="shared" si="6"/>
        <v>0</v>
      </c>
      <c r="Q39" s="239">
        <v>8.0700000000000003</v>
      </c>
      <c r="R39" s="238">
        <f t="shared" si="7"/>
        <v>270.34500000000003</v>
      </c>
      <c r="S39" s="239">
        <v>0</v>
      </c>
      <c r="T39" s="238">
        <f t="shared" si="8"/>
        <v>0</v>
      </c>
      <c r="U39" s="239">
        <v>0</v>
      </c>
      <c r="V39" s="238">
        <f t="shared" si="9"/>
        <v>0</v>
      </c>
      <c r="W39" s="239">
        <v>462.54000000000002</v>
      </c>
      <c r="X39" s="238">
        <f t="shared" si="10"/>
        <v>15495.09</v>
      </c>
      <c r="Y39" s="239">
        <v>0</v>
      </c>
      <c r="Z39" s="238">
        <f t="shared" si="11"/>
        <v>0</v>
      </c>
      <c r="AA39" s="239">
        <v>0</v>
      </c>
      <c r="AB39" s="238">
        <f t="shared" si="12"/>
        <v>0</v>
      </c>
      <c r="AC39" s="239">
        <v>0</v>
      </c>
      <c r="AD39" s="238">
        <f t="shared" si="13"/>
        <v>0</v>
      </c>
      <c r="AE39" s="239">
        <v>0</v>
      </c>
      <c r="AF39" s="238">
        <f t="shared" si="14"/>
        <v>0</v>
      </c>
      <c r="AG39" s="239">
        <v>0</v>
      </c>
      <c r="AH39" s="238">
        <f t="shared" si="15"/>
        <v>0</v>
      </c>
      <c r="AI39" s="239">
        <v>0</v>
      </c>
      <c r="AJ39" s="238">
        <f t="shared" si="16"/>
        <v>0</v>
      </c>
      <c r="AK39" s="239">
        <v>0</v>
      </c>
      <c r="AL39" s="238">
        <f t="shared" si="17"/>
        <v>0</v>
      </c>
      <c r="AM39" s="239">
        <v>0</v>
      </c>
      <c r="AN39" s="238">
        <f t="shared" si="18"/>
        <v>0</v>
      </c>
      <c r="AO39" s="239">
        <v>0</v>
      </c>
      <c r="AP39" s="238">
        <f t="shared" si="19"/>
        <v>0</v>
      </c>
      <c r="AQ39" s="239">
        <v>0</v>
      </c>
      <c r="AR39" s="238">
        <f t="shared" si="20"/>
        <v>0</v>
      </c>
      <c r="AS39" s="239">
        <v>0</v>
      </c>
      <c r="AT39" s="238">
        <f t="shared" si="21"/>
        <v>0</v>
      </c>
      <c r="AU39" s="239">
        <v>0</v>
      </c>
      <c r="AV39" s="238">
        <f t="shared" si="22"/>
        <v>0</v>
      </c>
      <c r="AW39" s="239">
        <v>0</v>
      </c>
      <c r="AX39" s="238">
        <f t="shared" si="23"/>
        <v>0</v>
      </c>
      <c r="AY39" s="239">
        <v>0</v>
      </c>
      <c r="AZ39" s="238">
        <f t="shared" si="24"/>
        <v>0</v>
      </c>
      <c r="BA39" s="239">
        <v>0</v>
      </c>
      <c r="BB39" s="238">
        <f t="shared" si="25"/>
        <v>0</v>
      </c>
      <c r="BC39" s="239">
        <v>0</v>
      </c>
      <c r="BD39" s="238">
        <f t="shared" si="26"/>
        <v>0</v>
      </c>
      <c r="BE39" s="239">
        <v>0</v>
      </c>
      <c r="BF39" s="238">
        <f t="shared" si="27"/>
        <v>0</v>
      </c>
      <c r="BG39" s="239">
        <v>0</v>
      </c>
      <c r="BH39" s="238">
        <f t="shared" si="28"/>
        <v>0</v>
      </c>
      <c r="BI39" s="239">
        <v>0</v>
      </c>
      <c r="BJ39" s="238">
        <f t="shared" si="29"/>
        <v>0</v>
      </c>
      <c r="BK39" s="239">
        <v>0</v>
      </c>
      <c r="BL39" s="238">
        <f t="shared" si="30"/>
        <v>0</v>
      </c>
      <c r="BM39" s="239">
        <v>0</v>
      </c>
      <c r="BN39" s="238">
        <f t="shared" si="31"/>
        <v>0</v>
      </c>
      <c r="BO39" s="239">
        <v>0</v>
      </c>
      <c r="BP39" s="238">
        <f t="shared" si="32"/>
        <v>0</v>
      </c>
      <c r="BQ39" s="239">
        <v>0</v>
      </c>
      <c r="BR39" s="238">
        <f t="shared" si="33"/>
        <v>0</v>
      </c>
      <c r="BS39" s="225"/>
      <c r="BT39" s="239">
        <f t="shared" si="35"/>
        <v>471</v>
      </c>
      <c r="BU39" s="238">
        <f t="shared" si="36"/>
        <v>15778.5</v>
      </c>
    </row>
    <row r="40" spans="1:73" ht="14.25">
      <c r="A40" s="241">
        <v>1989</v>
      </c>
      <c r="B40" s="240">
        <f t="shared" si="34"/>
        <v>32.5</v>
      </c>
      <c r="C40" s="239">
        <v>0</v>
      </c>
      <c r="D40" s="238">
        <f t="shared" si="0"/>
        <v>0</v>
      </c>
      <c r="E40" s="239">
        <v>0</v>
      </c>
      <c r="F40" s="238">
        <f t="shared" si="1"/>
        <v>0</v>
      </c>
      <c r="G40" s="239">
        <v>0</v>
      </c>
      <c r="H40" s="238">
        <f t="shared" si="2"/>
        <v>0</v>
      </c>
      <c r="I40" s="239">
        <v>13449.139999999999</v>
      </c>
      <c r="J40" s="238">
        <f t="shared" si="3"/>
        <v>437097.04999999999</v>
      </c>
      <c r="K40" s="239">
        <v>0</v>
      </c>
      <c r="L40" s="238">
        <f t="shared" si="4"/>
        <v>0</v>
      </c>
      <c r="M40" s="239">
        <v>0</v>
      </c>
      <c r="N40" s="238">
        <f t="shared" si="5"/>
        <v>0</v>
      </c>
      <c r="O40" s="239">
        <v>0</v>
      </c>
      <c r="P40" s="238">
        <f t="shared" si="6"/>
        <v>0</v>
      </c>
      <c r="Q40" s="239">
        <v>16289.08</v>
      </c>
      <c r="R40" s="238">
        <f t="shared" si="7"/>
        <v>529395.09999999998</v>
      </c>
      <c r="S40" s="239">
        <v>0</v>
      </c>
      <c r="T40" s="238">
        <f t="shared" si="8"/>
        <v>0</v>
      </c>
      <c r="U40" s="239">
        <v>0</v>
      </c>
      <c r="V40" s="238">
        <f t="shared" si="9"/>
        <v>0</v>
      </c>
      <c r="W40" s="239">
        <v>552.70000000000005</v>
      </c>
      <c r="X40" s="238">
        <f t="shared" si="10"/>
        <v>17962.75</v>
      </c>
      <c r="Y40" s="239">
        <v>0</v>
      </c>
      <c r="Z40" s="238">
        <f t="shared" si="11"/>
        <v>0</v>
      </c>
      <c r="AA40" s="239">
        <v>0</v>
      </c>
      <c r="AB40" s="238">
        <f t="shared" si="12"/>
        <v>0</v>
      </c>
      <c r="AC40" s="239">
        <v>0</v>
      </c>
      <c r="AD40" s="238">
        <f t="shared" si="13"/>
        <v>0</v>
      </c>
      <c r="AE40" s="239">
        <v>0</v>
      </c>
      <c r="AF40" s="238">
        <f t="shared" si="14"/>
        <v>0</v>
      </c>
      <c r="AG40" s="239">
        <v>0</v>
      </c>
      <c r="AH40" s="238">
        <f t="shared" si="15"/>
        <v>0</v>
      </c>
      <c r="AI40" s="239">
        <v>0</v>
      </c>
      <c r="AJ40" s="238">
        <f t="shared" si="16"/>
        <v>0</v>
      </c>
      <c r="AK40" s="239">
        <v>0</v>
      </c>
      <c r="AL40" s="238">
        <f t="shared" si="17"/>
        <v>0</v>
      </c>
      <c r="AM40" s="239">
        <v>0</v>
      </c>
      <c r="AN40" s="238">
        <f t="shared" si="18"/>
        <v>0</v>
      </c>
      <c r="AO40" s="239">
        <v>0</v>
      </c>
      <c r="AP40" s="238">
        <f t="shared" si="19"/>
        <v>0</v>
      </c>
      <c r="AQ40" s="239">
        <v>0</v>
      </c>
      <c r="AR40" s="238">
        <f t="shared" si="20"/>
        <v>0</v>
      </c>
      <c r="AS40" s="239">
        <v>0</v>
      </c>
      <c r="AT40" s="238">
        <f t="shared" si="21"/>
        <v>0</v>
      </c>
      <c r="AU40" s="239">
        <v>0</v>
      </c>
      <c r="AV40" s="238">
        <f t="shared" si="22"/>
        <v>0</v>
      </c>
      <c r="AW40" s="239">
        <v>0</v>
      </c>
      <c r="AX40" s="238">
        <f t="shared" si="23"/>
        <v>0</v>
      </c>
      <c r="AY40" s="239">
        <v>0</v>
      </c>
      <c r="AZ40" s="238">
        <f t="shared" si="24"/>
        <v>0</v>
      </c>
      <c r="BA40" s="239">
        <v>0</v>
      </c>
      <c r="BB40" s="238">
        <f t="shared" si="25"/>
        <v>0</v>
      </c>
      <c r="BC40" s="239">
        <v>0</v>
      </c>
      <c r="BD40" s="238">
        <f t="shared" si="26"/>
        <v>0</v>
      </c>
      <c r="BE40" s="239">
        <v>0</v>
      </c>
      <c r="BF40" s="238">
        <f t="shared" si="27"/>
        <v>0</v>
      </c>
      <c r="BG40" s="239">
        <v>0</v>
      </c>
      <c r="BH40" s="238">
        <f t="shared" si="28"/>
        <v>0</v>
      </c>
      <c r="BI40" s="239">
        <v>0</v>
      </c>
      <c r="BJ40" s="238">
        <f t="shared" si="29"/>
        <v>0</v>
      </c>
      <c r="BK40" s="239">
        <v>0</v>
      </c>
      <c r="BL40" s="238">
        <f t="shared" si="30"/>
        <v>0</v>
      </c>
      <c r="BM40" s="239">
        <v>0</v>
      </c>
      <c r="BN40" s="238">
        <f t="shared" si="31"/>
        <v>0</v>
      </c>
      <c r="BO40" s="239">
        <v>0</v>
      </c>
      <c r="BP40" s="238">
        <f t="shared" si="32"/>
        <v>0</v>
      </c>
      <c r="BQ40" s="239">
        <v>0</v>
      </c>
      <c r="BR40" s="238">
        <f t="shared" si="33"/>
        <v>0</v>
      </c>
      <c r="BS40" s="225"/>
      <c r="BT40" s="239">
        <f t="shared" si="35"/>
        <v>30291</v>
      </c>
      <c r="BU40" s="238">
        <f t="shared" si="36"/>
        <v>984457.5</v>
      </c>
    </row>
    <row r="41" spans="1:73" ht="14.25">
      <c r="A41" s="241">
        <v>1990</v>
      </c>
      <c r="B41" s="240">
        <f t="shared" si="34"/>
        <v>31.5</v>
      </c>
      <c r="C41" s="239">
        <v>0</v>
      </c>
      <c r="D41" s="238">
        <f t="shared" si="0"/>
        <v>0</v>
      </c>
      <c r="E41" s="239">
        <v>0</v>
      </c>
      <c r="F41" s="238">
        <f t="shared" si="1"/>
        <v>0</v>
      </c>
      <c r="G41" s="239">
        <v>0</v>
      </c>
      <c r="H41" s="238">
        <f t="shared" si="2"/>
        <v>0</v>
      </c>
      <c r="I41" s="239">
        <v>0</v>
      </c>
      <c r="J41" s="238">
        <f t="shared" si="3"/>
        <v>0</v>
      </c>
      <c r="K41" s="239">
        <v>0</v>
      </c>
      <c r="L41" s="238">
        <f t="shared" si="4"/>
        <v>0</v>
      </c>
      <c r="M41" s="239">
        <v>0</v>
      </c>
      <c r="N41" s="238">
        <f t="shared" si="5"/>
        <v>0</v>
      </c>
      <c r="O41" s="239">
        <v>0</v>
      </c>
      <c r="P41" s="238">
        <f t="shared" si="6"/>
        <v>0</v>
      </c>
      <c r="Q41" s="239">
        <v>14547.02</v>
      </c>
      <c r="R41" s="238">
        <f t="shared" si="7"/>
        <v>458231.13</v>
      </c>
      <c r="S41" s="239">
        <v>0</v>
      </c>
      <c r="T41" s="238">
        <f t="shared" si="8"/>
        <v>0</v>
      </c>
      <c r="U41" s="239">
        <v>0</v>
      </c>
      <c r="V41" s="238">
        <f t="shared" si="9"/>
        <v>0</v>
      </c>
      <c r="W41" s="239">
        <v>521.55999999999995</v>
      </c>
      <c r="X41" s="238">
        <f t="shared" si="10"/>
        <v>16429.139999999999</v>
      </c>
      <c r="Y41" s="239">
        <v>0</v>
      </c>
      <c r="Z41" s="238">
        <f t="shared" si="11"/>
        <v>0</v>
      </c>
      <c r="AA41" s="239">
        <v>0</v>
      </c>
      <c r="AB41" s="238">
        <f t="shared" si="12"/>
        <v>0</v>
      </c>
      <c r="AC41" s="239">
        <v>0</v>
      </c>
      <c r="AD41" s="238">
        <f t="shared" si="13"/>
        <v>0</v>
      </c>
      <c r="AE41" s="239">
        <v>0</v>
      </c>
      <c r="AF41" s="238">
        <f t="shared" si="14"/>
        <v>0</v>
      </c>
      <c r="AG41" s="239">
        <v>0</v>
      </c>
      <c r="AH41" s="238">
        <f t="shared" si="15"/>
        <v>0</v>
      </c>
      <c r="AI41" s="239">
        <v>0</v>
      </c>
      <c r="AJ41" s="238">
        <f t="shared" si="16"/>
        <v>0</v>
      </c>
      <c r="AK41" s="239">
        <v>0</v>
      </c>
      <c r="AL41" s="238">
        <f t="shared" si="17"/>
        <v>0</v>
      </c>
      <c r="AM41" s="239">
        <v>0</v>
      </c>
      <c r="AN41" s="238">
        <f t="shared" si="18"/>
        <v>0</v>
      </c>
      <c r="AO41" s="239">
        <v>0</v>
      </c>
      <c r="AP41" s="238">
        <f t="shared" si="19"/>
        <v>0</v>
      </c>
      <c r="AQ41" s="239">
        <v>0</v>
      </c>
      <c r="AR41" s="238">
        <f t="shared" si="20"/>
        <v>0</v>
      </c>
      <c r="AS41" s="239">
        <v>0</v>
      </c>
      <c r="AT41" s="238">
        <f t="shared" si="21"/>
        <v>0</v>
      </c>
      <c r="AU41" s="239">
        <v>0</v>
      </c>
      <c r="AV41" s="238">
        <f t="shared" si="22"/>
        <v>0</v>
      </c>
      <c r="AW41" s="239">
        <v>0</v>
      </c>
      <c r="AX41" s="238">
        <f t="shared" si="23"/>
        <v>0</v>
      </c>
      <c r="AY41" s="239">
        <v>0</v>
      </c>
      <c r="AZ41" s="238">
        <f t="shared" si="24"/>
        <v>0</v>
      </c>
      <c r="BA41" s="239">
        <v>0</v>
      </c>
      <c r="BB41" s="238">
        <f t="shared" si="25"/>
        <v>0</v>
      </c>
      <c r="BC41" s="239">
        <v>0</v>
      </c>
      <c r="BD41" s="238">
        <f t="shared" si="26"/>
        <v>0</v>
      </c>
      <c r="BE41" s="239">
        <v>0</v>
      </c>
      <c r="BF41" s="238">
        <f t="shared" si="27"/>
        <v>0</v>
      </c>
      <c r="BG41" s="239">
        <v>0</v>
      </c>
      <c r="BH41" s="238">
        <f t="shared" si="28"/>
        <v>0</v>
      </c>
      <c r="BI41" s="239">
        <v>0</v>
      </c>
      <c r="BJ41" s="238">
        <f t="shared" si="29"/>
        <v>0</v>
      </c>
      <c r="BK41" s="239">
        <v>0</v>
      </c>
      <c r="BL41" s="238">
        <f t="shared" si="30"/>
        <v>0</v>
      </c>
      <c r="BM41" s="239">
        <v>0</v>
      </c>
      <c r="BN41" s="238">
        <f t="shared" si="31"/>
        <v>0</v>
      </c>
      <c r="BO41" s="239">
        <v>0</v>
      </c>
      <c r="BP41" s="238">
        <f t="shared" si="32"/>
        <v>0</v>
      </c>
      <c r="BQ41" s="239">
        <v>0</v>
      </c>
      <c r="BR41" s="238">
        <f t="shared" si="33"/>
        <v>0</v>
      </c>
      <c r="BS41" s="225"/>
      <c r="BT41" s="239">
        <f t="shared" si="35"/>
        <v>15069</v>
      </c>
      <c r="BU41" s="238">
        <f t="shared" si="36"/>
        <v>474673.5</v>
      </c>
    </row>
    <row r="42" spans="1:73" ht="14.25">
      <c r="A42" s="241">
        <v>1991</v>
      </c>
      <c r="B42" s="240">
        <f t="shared" si="37" ref="B42:B71">$A$72-A42+0.5</f>
        <v>30.5</v>
      </c>
      <c r="C42" s="239">
        <v>0</v>
      </c>
      <c r="D42" s="238">
        <f t="shared" si="0"/>
        <v>0</v>
      </c>
      <c r="E42" s="239">
        <v>0</v>
      </c>
      <c r="F42" s="238">
        <f t="shared" si="1"/>
        <v>0</v>
      </c>
      <c r="G42" s="239">
        <v>2239.29</v>
      </c>
      <c r="H42" s="238">
        <f t="shared" si="2"/>
        <v>68298.345000000001</v>
      </c>
      <c r="I42" s="239">
        <v>27412.43</v>
      </c>
      <c r="J42" s="238">
        <f t="shared" si="3"/>
        <v>836079.11499999999</v>
      </c>
      <c r="K42" s="239">
        <v>0</v>
      </c>
      <c r="L42" s="238">
        <f t="shared" si="4"/>
        <v>0</v>
      </c>
      <c r="M42" s="239">
        <v>0</v>
      </c>
      <c r="N42" s="238">
        <f t="shared" si="5"/>
        <v>0</v>
      </c>
      <c r="O42" s="239">
        <v>0</v>
      </c>
      <c r="P42" s="238">
        <f t="shared" si="6"/>
        <v>0</v>
      </c>
      <c r="Q42" s="239">
        <v>10921.969999999999</v>
      </c>
      <c r="R42" s="238">
        <f t="shared" si="7"/>
        <v>333120.08499999996</v>
      </c>
      <c r="S42" s="239">
        <v>136.88999999999999</v>
      </c>
      <c r="T42" s="238">
        <f t="shared" si="8"/>
        <v>4175.1449999999995</v>
      </c>
      <c r="U42" s="239">
        <v>0</v>
      </c>
      <c r="V42" s="238">
        <f t="shared" si="9"/>
        <v>0</v>
      </c>
      <c r="W42" s="239">
        <v>983.51999999999998</v>
      </c>
      <c r="X42" s="238">
        <f t="shared" si="10"/>
        <v>29997.360000000001</v>
      </c>
      <c r="Y42" s="239">
        <v>0</v>
      </c>
      <c r="Z42" s="238">
        <f t="shared" si="11"/>
        <v>0</v>
      </c>
      <c r="AA42" s="239">
        <v>0</v>
      </c>
      <c r="AB42" s="238">
        <f t="shared" si="12"/>
        <v>0</v>
      </c>
      <c r="AC42" s="239">
        <v>0</v>
      </c>
      <c r="AD42" s="238">
        <f t="shared" si="13"/>
        <v>0</v>
      </c>
      <c r="AE42" s="239">
        <v>0</v>
      </c>
      <c r="AF42" s="238">
        <f t="shared" si="14"/>
        <v>0</v>
      </c>
      <c r="AG42" s="239">
        <v>0</v>
      </c>
      <c r="AH42" s="238">
        <f t="shared" si="15"/>
        <v>0</v>
      </c>
      <c r="AI42" s="239">
        <v>0</v>
      </c>
      <c r="AJ42" s="238">
        <f t="shared" si="16"/>
        <v>0</v>
      </c>
      <c r="AK42" s="239">
        <v>0</v>
      </c>
      <c r="AL42" s="238">
        <f t="shared" si="17"/>
        <v>0</v>
      </c>
      <c r="AM42" s="239">
        <v>0</v>
      </c>
      <c r="AN42" s="238">
        <f t="shared" si="18"/>
        <v>0</v>
      </c>
      <c r="AO42" s="239">
        <v>0</v>
      </c>
      <c r="AP42" s="238">
        <f t="shared" si="19"/>
        <v>0</v>
      </c>
      <c r="AQ42" s="239">
        <v>0</v>
      </c>
      <c r="AR42" s="238">
        <f t="shared" si="20"/>
        <v>0</v>
      </c>
      <c r="AS42" s="239">
        <v>0</v>
      </c>
      <c r="AT42" s="238">
        <f t="shared" si="21"/>
        <v>0</v>
      </c>
      <c r="AU42" s="239">
        <v>0</v>
      </c>
      <c r="AV42" s="238">
        <f t="shared" si="22"/>
        <v>0</v>
      </c>
      <c r="AW42" s="239">
        <v>0</v>
      </c>
      <c r="AX42" s="238">
        <f t="shared" si="23"/>
        <v>0</v>
      </c>
      <c r="AY42" s="239">
        <v>0</v>
      </c>
      <c r="AZ42" s="238">
        <f t="shared" si="24"/>
        <v>0</v>
      </c>
      <c r="BA42" s="239">
        <v>0</v>
      </c>
      <c r="BB42" s="238">
        <f t="shared" si="25"/>
        <v>0</v>
      </c>
      <c r="BC42" s="239">
        <v>0</v>
      </c>
      <c r="BD42" s="238">
        <f t="shared" si="26"/>
        <v>0</v>
      </c>
      <c r="BE42" s="239">
        <v>0</v>
      </c>
      <c r="BF42" s="238">
        <f t="shared" si="27"/>
        <v>0</v>
      </c>
      <c r="BG42" s="239">
        <v>0</v>
      </c>
      <c r="BH42" s="238">
        <f t="shared" si="28"/>
        <v>0</v>
      </c>
      <c r="BI42" s="239">
        <v>0</v>
      </c>
      <c r="BJ42" s="238">
        <f t="shared" si="29"/>
        <v>0</v>
      </c>
      <c r="BK42" s="239">
        <v>0</v>
      </c>
      <c r="BL42" s="238">
        <f t="shared" si="30"/>
        <v>0</v>
      </c>
      <c r="BM42" s="239">
        <v>0</v>
      </c>
      <c r="BN42" s="238">
        <f t="shared" si="31"/>
        <v>0</v>
      </c>
      <c r="BO42" s="239">
        <v>0</v>
      </c>
      <c r="BP42" s="238">
        <f t="shared" si="32"/>
        <v>0</v>
      </c>
      <c r="BQ42" s="239">
        <v>0</v>
      </c>
      <c r="BR42" s="238">
        <f t="shared" si="33"/>
        <v>0</v>
      </c>
      <c r="BS42" s="225"/>
      <c r="BT42" s="239">
        <f t="shared" si="38" ref="BT42:BT72">ROUND(+BO42+BM42+BK42+BG42+BE42+BC42+AY42+AW42+AS42+AQ42+AO42+AM42+AK42+AI42+AG42+AE42+AA42+C42+E42+G42+I42+M42+O42+Q42+S42+W42+BQ42+AC42+Y42+BI42+BA42+K42+U42+AU42,0)</f>
        <v>41694</v>
      </c>
      <c r="BU42" s="238">
        <f t="shared" si="39" ref="BU42:BU72">+BT42*$B42</f>
        <v>1271667</v>
      </c>
    </row>
    <row r="43" spans="1:73" ht="14.25">
      <c r="A43" s="241">
        <v>1992</v>
      </c>
      <c r="B43" s="240">
        <f t="shared" si="37"/>
        <v>29.5</v>
      </c>
      <c r="C43" s="239">
        <v>0</v>
      </c>
      <c r="D43" s="238">
        <f t="shared" si="0"/>
        <v>0</v>
      </c>
      <c r="E43" s="239">
        <v>0</v>
      </c>
      <c r="F43" s="238">
        <f t="shared" si="1"/>
        <v>0</v>
      </c>
      <c r="G43" s="239">
        <v>0</v>
      </c>
      <c r="H43" s="238">
        <f t="shared" si="2"/>
        <v>0</v>
      </c>
      <c r="I43" s="239">
        <v>0</v>
      </c>
      <c r="J43" s="238">
        <f t="shared" si="3"/>
        <v>0</v>
      </c>
      <c r="K43" s="239">
        <v>0</v>
      </c>
      <c r="L43" s="238">
        <f t="shared" si="4"/>
        <v>0</v>
      </c>
      <c r="M43" s="239">
        <v>0</v>
      </c>
      <c r="N43" s="238">
        <f t="shared" si="5"/>
        <v>0</v>
      </c>
      <c r="O43" s="239">
        <v>0</v>
      </c>
      <c r="P43" s="238">
        <f t="shared" si="6"/>
        <v>0</v>
      </c>
      <c r="Q43" s="239">
        <v>22743.579999999998</v>
      </c>
      <c r="R43" s="238">
        <f t="shared" si="7"/>
        <v>670935.60999999999</v>
      </c>
      <c r="S43" s="239">
        <v>1003.0700000000001</v>
      </c>
      <c r="T43" s="238">
        <f t="shared" si="8"/>
        <v>29590.565000000002</v>
      </c>
      <c r="U43" s="239">
        <v>0</v>
      </c>
      <c r="V43" s="238">
        <f t="shared" si="9"/>
        <v>0</v>
      </c>
      <c r="W43" s="239">
        <v>217.28</v>
      </c>
      <c r="X43" s="238">
        <f t="shared" si="10"/>
        <v>6409.7600000000002</v>
      </c>
      <c r="Y43" s="239">
        <v>0</v>
      </c>
      <c r="Z43" s="238">
        <f t="shared" si="11"/>
        <v>0</v>
      </c>
      <c r="AA43" s="239">
        <v>0</v>
      </c>
      <c r="AB43" s="238">
        <f t="shared" si="12"/>
        <v>0</v>
      </c>
      <c r="AC43" s="239">
        <v>0</v>
      </c>
      <c r="AD43" s="238">
        <f t="shared" si="13"/>
        <v>0</v>
      </c>
      <c r="AE43" s="239">
        <v>0</v>
      </c>
      <c r="AF43" s="238">
        <f t="shared" si="14"/>
        <v>0</v>
      </c>
      <c r="AG43" s="239">
        <v>0</v>
      </c>
      <c r="AH43" s="238">
        <f t="shared" si="15"/>
        <v>0</v>
      </c>
      <c r="AI43" s="239">
        <v>0</v>
      </c>
      <c r="AJ43" s="238">
        <f t="shared" si="16"/>
        <v>0</v>
      </c>
      <c r="AK43" s="239">
        <v>0</v>
      </c>
      <c r="AL43" s="238">
        <f t="shared" si="17"/>
        <v>0</v>
      </c>
      <c r="AM43" s="239">
        <v>0</v>
      </c>
      <c r="AN43" s="238">
        <f t="shared" si="18"/>
        <v>0</v>
      </c>
      <c r="AO43" s="239">
        <v>0</v>
      </c>
      <c r="AP43" s="238">
        <f t="shared" si="19"/>
        <v>0</v>
      </c>
      <c r="AQ43" s="239">
        <v>0</v>
      </c>
      <c r="AR43" s="238">
        <f t="shared" si="20"/>
        <v>0</v>
      </c>
      <c r="AS43" s="239">
        <v>0</v>
      </c>
      <c r="AT43" s="238">
        <f t="shared" si="21"/>
        <v>0</v>
      </c>
      <c r="AU43" s="239">
        <v>0</v>
      </c>
      <c r="AV43" s="238">
        <f t="shared" si="22"/>
        <v>0</v>
      </c>
      <c r="AW43" s="239">
        <v>0</v>
      </c>
      <c r="AX43" s="238">
        <f t="shared" si="23"/>
        <v>0</v>
      </c>
      <c r="AY43" s="239">
        <v>0</v>
      </c>
      <c r="AZ43" s="238">
        <f t="shared" si="24"/>
        <v>0</v>
      </c>
      <c r="BA43" s="239">
        <v>0</v>
      </c>
      <c r="BB43" s="238">
        <f t="shared" si="25"/>
        <v>0</v>
      </c>
      <c r="BC43" s="239">
        <v>0</v>
      </c>
      <c r="BD43" s="238">
        <f t="shared" si="26"/>
        <v>0</v>
      </c>
      <c r="BE43" s="239">
        <v>0</v>
      </c>
      <c r="BF43" s="238">
        <f t="shared" si="27"/>
        <v>0</v>
      </c>
      <c r="BG43" s="239">
        <v>0</v>
      </c>
      <c r="BH43" s="238">
        <f t="shared" si="28"/>
        <v>0</v>
      </c>
      <c r="BI43" s="239">
        <v>0</v>
      </c>
      <c r="BJ43" s="238">
        <f t="shared" si="29"/>
        <v>0</v>
      </c>
      <c r="BK43" s="239">
        <v>0</v>
      </c>
      <c r="BL43" s="238">
        <f t="shared" si="30"/>
        <v>0</v>
      </c>
      <c r="BM43" s="239">
        <v>0</v>
      </c>
      <c r="BN43" s="238">
        <f t="shared" si="31"/>
        <v>0</v>
      </c>
      <c r="BO43" s="239">
        <v>0</v>
      </c>
      <c r="BP43" s="238">
        <f t="shared" si="32"/>
        <v>0</v>
      </c>
      <c r="BQ43" s="239">
        <v>0</v>
      </c>
      <c r="BR43" s="238">
        <f t="shared" si="33"/>
        <v>0</v>
      </c>
      <c r="BS43" s="225"/>
      <c r="BT43" s="239">
        <f t="shared" si="38"/>
        <v>23964</v>
      </c>
      <c r="BU43" s="238">
        <f t="shared" si="39"/>
        <v>706938</v>
      </c>
    </row>
    <row r="44" spans="1:73" ht="14.25">
      <c r="A44" s="241">
        <v>1993</v>
      </c>
      <c r="B44" s="240">
        <f t="shared" si="37"/>
        <v>28.5</v>
      </c>
      <c r="C44" s="239">
        <v>0</v>
      </c>
      <c r="D44" s="238">
        <f t="shared" si="0"/>
        <v>0</v>
      </c>
      <c r="E44" s="239">
        <v>0</v>
      </c>
      <c r="F44" s="238">
        <f t="shared" si="1"/>
        <v>0</v>
      </c>
      <c r="G44" s="239">
        <v>0</v>
      </c>
      <c r="H44" s="238">
        <f t="shared" si="2"/>
        <v>0</v>
      </c>
      <c r="I44" s="239">
        <v>0</v>
      </c>
      <c r="J44" s="238">
        <f t="shared" si="3"/>
        <v>0</v>
      </c>
      <c r="K44" s="239">
        <v>0</v>
      </c>
      <c r="L44" s="238">
        <f t="shared" si="4"/>
        <v>0</v>
      </c>
      <c r="M44" s="239">
        <v>0</v>
      </c>
      <c r="N44" s="238">
        <f t="shared" si="5"/>
        <v>0</v>
      </c>
      <c r="O44" s="239">
        <v>0</v>
      </c>
      <c r="P44" s="238">
        <f t="shared" si="6"/>
        <v>0</v>
      </c>
      <c r="Q44" s="239">
        <v>12446.469999999999</v>
      </c>
      <c r="R44" s="238">
        <f t="shared" si="7"/>
        <v>354724.39499999996</v>
      </c>
      <c r="S44" s="239">
        <v>133.31</v>
      </c>
      <c r="T44" s="238">
        <f t="shared" si="8"/>
        <v>3799.335</v>
      </c>
      <c r="U44" s="239">
        <v>0</v>
      </c>
      <c r="V44" s="238">
        <f t="shared" si="9"/>
        <v>0</v>
      </c>
      <c r="W44" s="239">
        <v>1503.45</v>
      </c>
      <c r="X44" s="238">
        <f t="shared" si="10"/>
        <v>42848.325000000004</v>
      </c>
      <c r="Y44" s="239">
        <v>0</v>
      </c>
      <c r="Z44" s="238">
        <f t="shared" si="11"/>
        <v>0</v>
      </c>
      <c r="AA44" s="239">
        <v>0</v>
      </c>
      <c r="AB44" s="238">
        <f t="shared" si="12"/>
        <v>0</v>
      </c>
      <c r="AC44" s="239">
        <v>0</v>
      </c>
      <c r="AD44" s="238">
        <f t="shared" si="13"/>
        <v>0</v>
      </c>
      <c r="AE44" s="239">
        <v>0</v>
      </c>
      <c r="AF44" s="238">
        <f t="shared" si="14"/>
        <v>0</v>
      </c>
      <c r="AG44" s="239">
        <v>0</v>
      </c>
      <c r="AH44" s="238">
        <f t="shared" si="15"/>
        <v>0</v>
      </c>
      <c r="AI44" s="239">
        <v>0</v>
      </c>
      <c r="AJ44" s="238">
        <f t="shared" si="16"/>
        <v>0</v>
      </c>
      <c r="AK44" s="239">
        <v>0</v>
      </c>
      <c r="AL44" s="238">
        <f t="shared" si="17"/>
        <v>0</v>
      </c>
      <c r="AM44" s="239">
        <v>0</v>
      </c>
      <c r="AN44" s="238">
        <f t="shared" si="18"/>
        <v>0</v>
      </c>
      <c r="AO44" s="239">
        <v>0</v>
      </c>
      <c r="AP44" s="238">
        <f t="shared" si="19"/>
        <v>0</v>
      </c>
      <c r="AQ44" s="239">
        <v>0</v>
      </c>
      <c r="AR44" s="238">
        <f t="shared" si="20"/>
        <v>0</v>
      </c>
      <c r="AS44" s="239">
        <v>0</v>
      </c>
      <c r="AT44" s="238">
        <f t="shared" si="21"/>
        <v>0</v>
      </c>
      <c r="AU44" s="239">
        <v>0</v>
      </c>
      <c r="AV44" s="238">
        <f t="shared" si="22"/>
        <v>0</v>
      </c>
      <c r="AW44" s="239">
        <v>0</v>
      </c>
      <c r="AX44" s="238">
        <f t="shared" si="23"/>
        <v>0</v>
      </c>
      <c r="AY44" s="239">
        <v>0</v>
      </c>
      <c r="AZ44" s="238">
        <f t="shared" si="24"/>
        <v>0</v>
      </c>
      <c r="BA44" s="239">
        <v>0</v>
      </c>
      <c r="BB44" s="238">
        <f t="shared" si="25"/>
        <v>0</v>
      </c>
      <c r="BC44" s="239">
        <v>0</v>
      </c>
      <c r="BD44" s="238">
        <f t="shared" si="26"/>
        <v>0</v>
      </c>
      <c r="BE44" s="239">
        <v>0</v>
      </c>
      <c r="BF44" s="238">
        <f t="shared" si="27"/>
        <v>0</v>
      </c>
      <c r="BG44" s="239">
        <v>0</v>
      </c>
      <c r="BH44" s="238">
        <f t="shared" si="28"/>
        <v>0</v>
      </c>
      <c r="BI44" s="239">
        <v>0</v>
      </c>
      <c r="BJ44" s="238">
        <f t="shared" si="29"/>
        <v>0</v>
      </c>
      <c r="BK44" s="239">
        <v>0</v>
      </c>
      <c r="BL44" s="238">
        <f t="shared" si="30"/>
        <v>0</v>
      </c>
      <c r="BM44" s="239">
        <v>0</v>
      </c>
      <c r="BN44" s="238">
        <f t="shared" si="31"/>
        <v>0</v>
      </c>
      <c r="BO44" s="239">
        <v>0</v>
      </c>
      <c r="BP44" s="238">
        <f t="shared" si="32"/>
        <v>0</v>
      </c>
      <c r="BQ44" s="239">
        <v>0</v>
      </c>
      <c r="BR44" s="238">
        <f t="shared" si="33"/>
        <v>0</v>
      </c>
      <c r="BS44" s="225"/>
      <c r="BT44" s="239">
        <f t="shared" si="38"/>
        <v>14083</v>
      </c>
      <c r="BU44" s="238">
        <f t="shared" si="39"/>
        <v>401365.5</v>
      </c>
    </row>
    <row r="45" spans="1:73" ht="14.25">
      <c r="A45" s="241">
        <v>1994</v>
      </c>
      <c r="B45" s="240">
        <f t="shared" si="37"/>
        <v>27.5</v>
      </c>
      <c r="C45" s="239">
        <v>0</v>
      </c>
      <c r="D45" s="238">
        <f t="shared" si="0"/>
        <v>0</v>
      </c>
      <c r="E45" s="239">
        <v>0</v>
      </c>
      <c r="F45" s="238">
        <f t="shared" si="1"/>
        <v>0</v>
      </c>
      <c r="G45" s="239">
        <v>0</v>
      </c>
      <c r="H45" s="238">
        <f t="shared" si="2"/>
        <v>0</v>
      </c>
      <c r="I45" s="239">
        <v>0</v>
      </c>
      <c r="J45" s="238">
        <f t="shared" si="3"/>
        <v>0</v>
      </c>
      <c r="K45" s="239">
        <v>0</v>
      </c>
      <c r="L45" s="238">
        <f t="shared" si="4"/>
        <v>0</v>
      </c>
      <c r="M45" s="239">
        <v>0</v>
      </c>
      <c r="N45" s="238">
        <f t="shared" si="5"/>
        <v>0</v>
      </c>
      <c r="O45" s="239">
        <v>0</v>
      </c>
      <c r="P45" s="238">
        <f t="shared" si="6"/>
        <v>0</v>
      </c>
      <c r="Q45" s="239">
        <v>16862.02</v>
      </c>
      <c r="R45" s="238">
        <f t="shared" si="7"/>
        <v>463705.54999999999</v>
      </c>
      <c r="S45" s="239">
        <v>15.17</v>
      </c>
      <c r="T45" s="238">
        <f t="shared" si="8"/>
        <v>417.17500000000001</v>
      </c>
      <c r="U45" s="239">
        <v>0</v>
      </c>
      <c r="V45" s="238">
        <f t="shared" si="9"/>
        <v>0</v>
      </c>
      <c r="W45" s="239">
        <v>10742.280000000001</v>
      </c>
      <c r="X45" s="238">
        <f t="shared" si="10"/>
        <v>295412.70000000001</v>
      </c>
      <c r="Y45" s="239">
        <v>0</v>
      </c>
      <c r="Z45" s="238">
        <f t="shared" si="11"/>
        <v>0</v>
      </c>
      <c r="AA45" s="239">
        <v>0</v>
      </c>
      <c r="AB45" s="238">
        <f t="shared" si="12"/>
        <v>0</v>
      </c>
      <c r="AC45" s="239">
        <v>0</v>
      </c>
      <c r="AD45" s="238">
        <f t="shared" si="13"/>
        <v>0</v>
      </c>
      <c r="AE45" s="239">
        <v>0</v>
      </c>
      <c r="AF45" s="238">
        <f t="shared" si="14"/>
        <v>0</v>
      </c>
      <c r="AG45" s="239">
        <v>0</v>
      </c>
      <c r="AH45" s="238">
        <f t="shared" si="15"/>
        <v>0</v>
      </c>
      <c r="AI45" s="239">
        <v>0</v>
      </c>
      <c r="AJ45" s="238">
        <f t="shared" si="16"/>
        <v>0</v>
      </c>
      <c r="AK45" s="239">
        <v>0</v>
      </c>
      <c r="AL45" s="238">
        <f t="shared" si="17"/>
        <v>0</v>
      </c>
      <c r="AM45" s="239">
        <v>0</v>
      </c>
      <c r="AN45" s="238">
        <f t="shared" si="18"/>
        <v>0</v>
      </c>
      <c r="AO45" s="239">
        <v>0</v>
      </c>
      <c r="AP45" s="238">
        <f t="shared" si="19"/>
        <v>0</v>
      </c>
      <c r="AQ45" s="239">
        <v>0</v>
      </c>
      <c r="AR45" s="238">
        <f t="shared" si="20"/>
        <v>0</v>
      </c>
      <c r="AS45" s="239">
        <v>0</v>
      </c>
      <c r="AT45" s="238">
        <f t="shared" si="21"/>
        <v>0</v>
      </c>
      <c r="AU45" s="239">
        <v>0</v>
      </c>
      <c r="AV45" s="238">
        <f t="shared" si="22"/>
        <v>0</v>
      </c>
      <c r="AW45" s="239">
        <v>0</v>
      </c>
      <c r="AX45" s="238">
        <f t="shared" si="23"/>
        <v>0</v>
      </c>
      <c r="AY45" s="239">
        <v>0</v>
      </c>
      <c r="AZ45" s="238">
        <f t="shared" si="24"/>
        <v>0</v>
      </c>
      <c r="BA45" s="239">
        <v>0</v>
      </c>
      <c r="BB45" s="238">
        <f t="shared" si="25"/>
        <v>0</v>
      </c>
      <c r="BC45" s="239">
        <v>0</v>
      </c>
      <c r="BD45" s="238">
        <f t="shared" si="26"/>
        <v>0</v>
      </c>
      <c r="BE45" s="239">
        <v>0</v>
      </c>
      <c r="BF45" s="238">
        <f t="shared" si="27"/>
        <v>0</v>
      </c>
      <c r="BG45" s="239">
        <v>0</v>
      </c>
      <c r="BH45" s="238">
        <f t="shared" si="28"/>
        <v>0</v>
      </c>
      <c r="BI45" s="239">
        <v>0</v>
      </c>
      <c r="BJ45" s="238">
        <f t="shared" si="29"/>
        <v>0</v>
      </c>
      <c r="BK45" s="239">
        <v>0</v>
      </c>
      <c r="BL45" s="238">
        <f t="shared" si="30"/>
        <v>0</v>
      </c>
      <c r="BM45" s="239">
        <v>0</v>
      </c>
      <c r="BN45" s="238">
        <f t="shared" si="31"/>
        <v>0</v>
      </c>
      <c r="BO45" s="239">
        <v>0</v>
      </c>
      <c r="BP45" s="238">
        <f t="shared" si="32"/>
        <v>0</v>
      </c>
      <c r="BQ45" s="239">
        <v>0</v>
      </c>
      <c r="BR45" s="238">
        <f t="shared" si="33"/>
        <v>0</v>
      </c>
      <c r="BS45" s="225"/>
      <c r="BT45" s="239">
        <f t="shared" si="38"/>
        <v>27619</v>
      </c>
      <c r="BU45" s="238">
        <f t="shared" si="39"/>
        <v>759522.5</v>
      </c>
    </row>
    <row r="46" spans="1:73" ht="14.25">
      <c r="A46" s="241">
        <v>1995</v>
      </c>
      <c r="B46" s="240">
        <f t="shared" si="37"/>
        <v>26.5</v>
      </c>
      <c r="C46" s="239">
        <v>0</v>
      </c>
      <c r="D46" s="238">
        <f t="shared" si="0"/>
        <v>0</v>
      </c>
      <c r="E46" s="239">
        <v>0</v>
      </c>
      <c r="F46" s="238">
        <f t="shared" si="1"/>
        <v>0</v>
      </c>
      <c r="G46" s="239">
        <v>0</v>
      </c>
      <c r="H46" s="238">
        <f t="shared" si="2"/>
        <v>0</v>
      </c>
      <c r="I46" s="239">
        <v>0</v>
      </c>
      <c r="J46" s="238">
        <f t="shared" si="3"/>
        <v>0</v>
      </c>
      <c r="K46" s="239">
        <v>0</v>
      </c>
      <c r="L46" s="238">
        <f t="shared" si="4"/>
        <v>0</v>
      </c>
      <c r="M46" s="239">
        <v>0</v>
      </c>
      <c r="N46" s="238">
        <f t="shared" si="5"/>
        <v>0</v>
      </c>
      <c r="O46" s="239">
        <v>0</v>
      </c>
      <c r="P46" s="238">
        <f t="shared" si="6"/>
        <v>0</v>
      </c>
      <c r="Q46" s="239">
        <v>38474.159999999996</v>
      </c>
      <c r="R46" s="238">
        <f t="shared" si="7"/>
        <v>1019565.2399999999</v>
      </c>
      <c r="S46" s="239">
        <v>0</v>
      </c>
      <c r="T46" s="238">
        <f t="shared" si="8"/>
        <v>0</v>
      </c>
      <c r="U46" s="239">
        <v>0</v>
      </c>
      <c r="V46" s="238">
        <f t="shared" si="9"/>
        <v>0</v>
      </c>
      <c r="W46" s="239">
        <v>9756.1599999999999</v>
      </c>
      <c r="X46" s="238">
        <f t="shared" si="10"/>
        <v>258538.23999999999</v>
      </c>
      <c r="Y46" s="239">
        <v>0</v>
      </c>
      <c r="Z46" s="238">
        <f t="shared" si="11"/>
        <v>0</v>
      </c>
      <c r="AA46" s="239">
        <v>0</v>
      </c>
      <c r="AB46" s="238">
        <f t="shared" si="12"/>
        <v>0</v>
      </c>
      <c r="AC46" s="239">
        <v>0</v>
      </c>
      <c r="AD46" s="238">
        <f t="shared" si="13"/>
        <v>0</v>
      </c>
      <c r="AE46" s="239">
        <v>0</v>
      </c>
      <c r="AF46" s="238">
        <f t="shared" si="14"/>
        <v>0</v>
      </c>
      <c r="AG46" s="239">
        <v>0</v>
      </c>
      <c r="AH46" s="238">
        <f t="shared" si="15"/>
        <v>0</v>
      </c>
      <c r="AI46" s="239">
        <v>0</v>
      </c>
      <c r="AJ46" s="238">
        <f t="shared" si="16"/>
        <v>0</v>
      </c>
      <c r="AK46" s="239">
        <v>0</v>
      </c>
      <c r="AL46" s="238">
        <f t="shared" si="17"/>
        <v>0</v>
      </c>
      <c r="AM46" s="239">
        <v>0</v>
      </c>
      <c r="AN46" s="238">
        <f t="shared" si="18"/>
        <v>0</v>
      </c>
      <c r="AO46" s="239">
        <v>0</v>
      </c>
      <c r="AP46" s="238">
        <f t="shared" si="19"/>
        <v>0</v>
      </c>
      <c r="AQ46" s="239">
        <v>0</v>
      </c>
      <c r="AR46" s="238">
        <f t="shared" si="20"/>
        <v>0</v>
      </c>
      <c r="AS46" s="239">
        <v>0</v>
      </c>
      <c r="AT46" s="238">
        <f t="shared" si="21"/>
        <v>0</v>
      </c>
      <c r="AU46" s="239">
        <v>0</v>
      </c>
      <c r="AV46" s="238">
        <f t="shared" si="22"/>
        <v>0</v>
      </c>
      <c r="AW46" s="239">
        <v>0</v>
      </c>
      <c r="AX46" s="238">
        <f t="shared" si="23"/>
        <v>0</v>
      </c>
      <c r="AY46" s="239">
        <v>0</v>
      </c>
      <c r="AZ46" s="238">
        <f t="shared" si="24"/>
        <v>0</v>
      </c>
      <c r="BA46" s="239">
        <v>0</v>
      </c>
      <c r="BB46" s="238">
        <f t="shared" si="25"/>
        <v>0</v>
      </c>
      <c r="BC46" s="239">
        <v>0</v>
      </c>
      <c r="BD46" s="238">
        <f t="shared" si="26"/>
        <v>0</v>
      </c>
      <c r="BE46" s="239">
        <v>0</v>
      </c>
      <c r="BF46" s="238">
        <f t="shared" si="27"/>
        <v>0</v>
      </c>
      <c r="BG46" s="239">
        <v>0</v>
      </c>
      <c r="BH46" s="238">
        <f t="shared" si="28"/>
        <v>0</v>
      </c>
      <c r="BI46" s="239">
        <v>0</v>
      </c>
      <c r="BJ46" s="238">
        <f t="shared" si="29"/>
        <v>0</v>
      </c>
      <c r="BK46" s="239">
        <v>0</v>
      </c>
      <c r="BL46" s="238">
        <f t="shared" si="30"/>
        <v>0</v>
      </c>
      <c r="BM46" s="239">
        <v>0</v>
      </c>
      <c r="BN46" s="238">
        <f t="shared" si="31"/>
        <v>0</v>
      </c>
      <c r="BO46" s="239">
        <v>0</v>
      </c>
      <c r="BP46" s="238">
        <f t="shared" si="32"/>
        <v>0</v>
      </c>
      <c r="BQ46" s="239">
        <v>0</v>
      </c>
      <c r="BR46" s="238">
        <f t="shared" si="33"/>
        <v>0</v>
      </c>
      <c r="BS46" s="225"/>
      <c r="BT46" s="239">
        <f t="shared" si="38"/>
        <v>48230</v>
      </c>
      <c r="BU46" s="238">
        <f t="shared" si="39"/>
        <v>1278095</v>
      </c>
    </row>
    <row r="47" spans="1:73" ht="14.25">
      <c r="A47" s="241">
        <v>1996</v>
      </c>
      <c r="B47" s="240">
        <f t="shared" si="37"/>
        <v>25.5</v>
      </c>
      <c r="C47" s="239">
        <v>0</v>
      </c>
      <c r="D47" s="238">
        <f t="shared" si="0"/>
        <v>0</v>
      </c>
      <c r="E47" s="239">
        <v>0</v>
      </c>
      <c r="F47" s="238">
        <f t="shared" si="1"/>
        <v>0</v>
      </c>
      <c r="G47" s="239">
        <v>0</v>
      </c>
      <c r="H47" s="238">
        <f t="shared" si="2"/>
        <v>0</v>
      </c>
      <c r="I47" s="239">
        <v>0</v>
      </c>
      <c r="J47" s="238">
        <f t="shared" si="3"/>
        <v>0</v>
      </c>
      <c r="K47" s="239">
        <v>0</v>
      </c>
      <c r="L47" s="238">
        <f t="shared" si="4"/>
        <v>0</v>
      </c>
      <c r="M47" s="239">
        <v>0</v>
      </c>
      <c r="N47" s="238">
        <f t="shared" si="5"/>
        <v>0</v>
      </c>
      <c r="O47" s="239">
        <v>0</v>
      </c>
      <c r="P47" s="238">
        <f t="shared" si="6"/>
        <v>0</v>
      </c>
      <c r="Q47" s="239">
        <v>26763.580000000002</v>
      </c>
      <c r="R47" s="238">
        <f t="shared" si="7"/>
        <v>682471.29000000004</v>
      </c>
      <c r="S47" s="239">
        <v>849.32000000000005</v>
      </c>
      <c r="T47" s="238">
        <f t="shared" si="8"/>
        <v>21657.66</v>
      </c>
      <c r="U47" s="239">
        <v>0</v>
      </c>
      <c r="V47" s="238">
        <f t="shared" si="9"/>
        <v>0</v>
      </c>
      <c r="W47" s="239">
        <v>10569.457</v>
      </c>
      <c r="X47" s="238">
        <f t="shared" si="10"/>
        <v>269521.15350000001</v>
      </c>
      <c r="Y47" s="239">
        <v>0</v>
      </c>
      <c r="Z47" s="238">
        <f t="shared" si="11"/>
        <v>0</v>
      </c>
      <c r="AA47" s="239">
        <v>0</v>
      </c>
      <c r="AB47" s="238">
        <f t="shared" si="12"/>
        <v>0</v>
      </c>
      <c r="AC47" s="239">
        <v>0</v>
      </c>
      <c r="AD47" s="238">
        <f t="shared" si="13"/>
        <v>0</v>
      </c>
      <c r="AE47" s="239">
        <v>0</v>
      </c>
      <c r="AF47" s="238">
        <f t="shared" si="14"/>
        <v>0</v>
      </c>
      <c r="AG47" s="239">
        <v>0</v>
      </c>
      <c r="AH47" s="238">
        <f t="shared" si="15"/>
        <v>0</v>
      </c>
      <c r="AI47" s="239">
        <v>0</v>
      </c>
      <c r="AJ47" s="238">
        <f t="shared" si="16"/>
        <v>0</v>
      </c>
      <c r="AK47" s="239">
        <v>0</v>
      </c>
      <c r="AL47" s="238">
        <f t="shared" si="17"/>
        <v>0</v>
      </c>
      <c r="AM47" s="239">
        <v>0</v>
      </c>
      <c r="AN47" s="238">
        <f t="shared" si="18"/>
        <v>0</v>
      </c>
      <c r="AO47" s="239">
        <v>0</v>
      </c>
      <c r="AP47" s="238">
        <f t="shared" si="19"/>
        <v>0</v>
      </c>
      <c r="AQ47" s="239">
        <v>0</v>
      </c>
      <c r="AR47" s="238">
        <f t="shared" si="20"/>
        <v>0</v>
      </c>
      <c r="AS47" s="239">
        <v>0</v>
      </c>
      <c r="AT47" s="238">
        <f t="shared" si="21"/>
        <v>0</v>
      </c>
      <c r="AU47" s="239">
        <v>0</v>
      </c>
      <c r="AV47" s="238">
        <f t="shared" si="22"/>
        <v>0</v>
      </c>
      <c r="AW47" s="239">
        <v>0</v>
      </c>
      <c r="AX47" s="238">
        <f t="shared" si="23"/>
        <v>0</v>
      </c>
      <c r="AY47" s="239">
        <v>0</v>
      </c>
      <c r="AZ47" s="238">
        <f t="shared" si="24"/>
        <v>0</v>
      </c>
      <c r="BA47" s="239">
        <v>0</v>
      </c>
      <c r="BB47" s="238">
        <f t="shared" si="25"/>
        <v>0</v>
      </c>
      <c r="BC47" s="239">
        <v>0</v>
      </c>
      <c r="BD47" s="238">
        <f t="shared" si="26"/>
        <v>0</v>
      </c>
      <c r="BE47" s="239">
        <v>0</v>
      </c>
      <c r="BF47" s="238">
        <f t="shared" si="27"/>
        <v>0</v>
      </c>
      <c r="BG47" s="239">
        <v>0</v>
      </c>
      <c r="BH47" s="238">
        <f t="shared" si="28"/>
        <v>0</v>
      </c>
      <c r="BI47" s="239">
        <v>0</v>
      </c>
      <c r="BJ47" s="238">
        <f t="shared" si="29"/>
        <v>0</v>
      </c>
      <c r="BK47" s="239">
        <v>0</v>
      </c>
      <c r="BL47" s="238">
        <f t="shared" si="30"/>
        <v>0</v>
      </c>
      <c r="BM47" s="239">
        <v>0</v>
      </c>
      <c r="BN47" s="238">
        <f t="shared" si="31"/>
        <v>0</v>
      </c>
      <c r="BO47" s="239">
        <v>0</v>
      </c>
      <c r="BP47" s="238">
        <f t="shared" si="32"/>
        <v>0</v>
      </c>
      <c r="BQ47" s="239">
        <v>0</v>
      </c>
      <c r="BR47" s="238">
        <f t="shared" si="33"/>
        <v>0</v>
      </c>
      <c r="BS47" s="225"/>
      <c r="BT47" s="239">
        <f t="shared" si="38"/>
        <v>38182</v>
      </c>
      <c r="BU47" s="238">
        <f t="shared" si="39"/>
        <v>973641</v>
      </c>
    </row>
    <row r="48" spans="1:73" ht="14.25">
      <c r="A48" s="241">
        <v>1997</v>
      </c>
      <c r="B48" s="240">
        <f t="shared" si="37"/>
        <v>24.5</v>
      </c>
      <c r="C48" s="239">
        <v>0</v>
      </c>
      <c r="D48" s="238">
        <f t="shared" si="0"/>
        <v>0</v>
      </c>
      <c r="E48" s="239">
        <v>0</v>
      </c>
      <c r="F48" s="238">
        <f t="shared" si="1"/>
        <v>0</v>
      </c>
      <c r="G48" s="239">
        <v>6310.25</v>
      </c>
      <c r="H48" s="238">
        <f t="shared" si="2"/>
        <v>154601.125</v>
      </c>
      <c r="I48" s="239">
        <v>0</v>
      </c>
      <c r="J48" s="238">
        <f t="shared" si="3"/>
        <v>0</v>
      </c>
      <c r="K48" s="239">
        <v>0</v>
      </c>
      <c r="L48" s="238">
        <f t="shared" si="4"/>
        <v>0</v>
      </c>
      <c r="M48" s="239">
        <v>0</v>
      </c>
      <c r="N48" s="238">
        <f t="shared" si="5"/>
        <v>0</v>
      </c>
      <c r="O48" s="239">
        <v>0</v>
      </c>
      <c r="P48" s="238">
        <f t="shared" si="6"/>
        <v>0</v>
      </c>
      <c r="Q48" s="239">
        <v>17428.880000000001</v>
      </c>
      <c r="R48" s="238">
        <f t="shared" si="7"/>
        <v>427007.56</v>
      </c>
      <c r="S48" s="239">
        <v>130</v>
      </c>
      <c r="T48" s="238">
        <f t="shared" si="8"/>
        <v>3185</v>
      </c>
      <c r="U48" s="239">
        <v>0</v>
      </c>
      <c r="V48" s="238">
        <f t="shared" si="9"/>
        <v>0</v>
      </c>
      <c r="W48" s="239">
        <v>11366.799999999999</v>
      </c>
      <c r="X48" s="238">
        <f t="shared" si="10"/>
        <v>278486.59999999998</v>
      </c>
      <c r="Y48" s="239">
        <v>0</v>
      </c>
      <c r="Z48" s="238">
        <f t="shared" si="11"/>
        <v>0</v>
      </c>
      <c r="AA48" s="239">
        <v>0</v>
      </c>
      <c r="AB48" s="238">
        <f t="shared" si="12"/>
        <v>0</v>
      </c>
      <c r="AC48" s="239">
        <v>0</v>
      </c>
      <c r="AD48" s="238">
        <f t="shared" si="13"/>
        <v>0</v>
      </c>
      <c r="AE48" s="239">
        <v>0</v>
      </c>
      <c r="AF48" s="238">
        <f t="shared" si="14"/>
        <v>0</v>
      </c>
      <c r="AG48" s="239">
        <v>0</v>
      </c>
      <c r="AH48" s="238">
        <f t="shared" si="15"/>
        <v>0</v>
      </c>
      <c r="AI48" s="239">
        <v>0</v>
      </c>
      <c r="AJ48" s="238">
        <f t="shared" si="16"/>
        <v>0</v>
      </c>
      <c r="AK48" s="239">
        <v>0</v>
      </c>
      <c r="AL48" s="238">
        <f t="shared" si="17"/>
        <v>0</v>
      </c>
      <c r="AM48" s="239">
        <v>0</v>
      </c>
      <c r="AN48" s="238">
        <f t="shared" si="18"/>
        <v>0</v>
      </c>
      <c r="AO48" s="239">
        <v>0</v>
      </c>
      <c r="AP48" s="238">
        <f t="shared" si="19"/>
        <v>0</v>
      </c>
      <c r="AQ48" s="239">
        <v>0</v>
      </c>
      <c r="AR48" s="238">
        <f t="shared" si="20"/>
        <v>0</v>
      </c>
      <c r="AS48" s="239">
        <v>0</v>
      </c>
      <c r="AT48" s="238">
        <f t="shared" si="21"/>
        <v>0</v>
      </c>
      <c r="AU48" s="239">
        <v>0</v>
      </c>
      <c r="AV48" s="238">
        <f t="shared" si="22"/>
        <v>0</v>
      </c>
      <c r="AW48" s="239">
        <v>0</v>
      </c>
      <c r="AX48" s="238">
        <f t="shared" si="23"/>
        <v>0</v>
      </c>
      <c r="AY48" s="239">
        <v>0</v>
      </c>
      <c r="AZ48" s="238">
        <f t="shared" si="24"/>
        <v>0</v>
      </c>
      <c r="BA48" s="239">
        <v>0</v>
      </c>
      <c r="BB48" s="238">
        <f t="shared" si="25"/>
        <v>0</v>
      </c>
      <c r="BC48" s="239">
        <v>0</v>
      </c>
      <c r="BD48" s="238">
        <f t="shared" si="26"/>
        <v>0</v>
      </c>
      <c r="BE48" s="239">
        <v>0</v>
      </c>
      <c r="BF48" s="238">
        <f t="shared" si="27"/>
        <v>0</v>
      </c>
      <c r="BG48" s="239">
        <v>0</v>
      </c>
      <c r="BH48" s="238">
        <f t="shared" si="28"/>
        <v>0</v>
      </c>
      <c r="BI48" s="239">
        <v>0</v>
      </c>
      <c r="BJ48" s="238">
        <f t="shared" si="29"/>
        <v>0</v>
      </c>
      <c r="BK48" s="239">
        <v>0</v>
      </c>
      <c r="BL48" s="238">
        <f t="shared" si="30"/>
        <v>0</v>
      </c>
      <c r="BM48" s="239">
        <v>0</v>
      </c>
      <c r="BN48" s="238">
        <f t="shared" si="31"/>
        <v>0</v>
      </c>
      <c r="BO48" s="239">
        <v>0</v>
      </c>
      <c r="BP48" s="238">
        <f t="shared" si="32"/>
        <v>0</v>
      </c>
      <c r="BQ48" s="239">
        <v>0</v>
      </c>
      <c r="BR48" s="238">
        <f t="shared" si="33"/>
        <v>0</v>
      </c>
      <c r="BS48" s="225"/>
      <c r="BT48" s="239">
        <f t="shared" si="38"/>
        <v>35236</v>
      </c>
      <c r="BU48" s="238">
        <f t="shared" si="39"/>
        <v>863282</v>
      </c>
    </row>
    <row r="49" spans="1:73" ht="14.25">
      <c r="A49" s="241">
        <v>1998</v>
      </c>
      <c r="B49" s="240">
        <f t="shared" si="37"/>
        <v>23.5</v>
      </c>
      <c r="C49" s="239">
        <v>0</v>
      </c>
      <c r="D49" s="238">
        <f t="shared" si="0"/>
        <v>0</v>
      </c>
      <c r="E49" s="239">
        <v>0</v>
      </c>
      <c r="F49" s="238">
        <f t="shared" si="1"/>
        <v>0</v>
      </c>
      <c r="G49" s="239">
        <v>0</v>
      </c>
      <c r="H49" s="238">
        <f t="shared" si="2"/>
        <v>0</v>
      </c>
      <c r="I49" s="239">
        <v>0</v>
      </c>
      <c r="J49" s="238">
        <f t="shared" si="3"/>
        <v>0</v>
      </c>
      <c r="K49" s="239">
        <v>0</v>
      </c>
      <c r="L49" s="238">
        <f t="shared" si="4"/>
        <v>0</v>
      </c>
      <c r="M49" s="239">
        <v>0</v>
      </c>
      <c r="N49" s="238">
        <f t="shared" si="5"/>
        <v>0</v>
      </c>
      <c r="O49" s="239">
        <v>0</v>
      </c>
      <c r="P49" s="238">
        <f t="shared" si="6"/>
        <v>0</v>
      </c>
      <c r="Q49" s="239">
        <v>24377.519999999997</v>
      </c>
      <c r="R49" s="238">
        <f t="shared" si="7"/>
        <v>572871.71999999997</v>
      </c>
      <c r="S49" s="239">
        <v>65</v>
      </c>
      <c r="T49" s="238">
        <f t="shared" si="8"/>
        <v>1527.5</v>
      </c>
      <c r="U49" s="239">
        <v>0</v>
      </c>
      <c r="V49" s="238">
        <f t="shared" si="9"/>
        <v>0</v>
      </c>
      <c r="W49" s="239">
        <v>12879.59</v>
      </c>
      <c r="X49" s="238">
        <f t="shared" si="10"/>
        <v>302670.36499999999</v>
      </c>
      <c r="Y49" s="239">
        <v>0</v>
      </c>
      <c r="Z49" s="238">
        <f t="shared" si="11"/>
        <v>0</v>
      </c>
      <c r="AA49" s="239">
        <v>0</v>
      </c>
      <c r="AB49" s="238">
        <f t="shared" si="12"/>
        <v>0</v>
      </c>
      <c r="AC49" s="239">
        <v>0</v>
      </c>
      <c r="AD49" s="238">
        <f t="shared" si="13"/>
        <v>0</v>
      </c>
      <c r="AE49" s="239">
        <v>0</v>
      </c>
      <c r="AF49" s="238">
        <f t="shared" si="14"/>
        <v>0</v>
      </c>
      <c r="AG49" s="239">
        <v>0</v>
      </c>
      <c r="AH49" s="238">
        <f t="shared" si="15"/>
        <v>0</v>
      </c>
      <c r="AI49" s="239">
        <v>0</v>
      </c>
      <c r="AJ49" s="238">
        <f t="shared" si="16"/>
        <v>0</v>
      </c>
      <c r="AK49" s="239">
        <v>0</v>
      </c>
      <c r="AL49" s="238">
        <f t="shared" si="17"/>
        <v>0</v>
      </c>
      <c r="AM49" s="239">
        <v>0</v>
      </c>
      <c r="AN49" s="238">
        <f t="shared" si="18"/>
        <v>0</v>
      </c>
      <c r="AO49" s="239">
        <v>0</v>
      </c>
      <c r="AP49" s="238">
        <f t="shared" si="19"/>
        <v>0</v>
      </c>
      <c r="AQ49" s="239">
        <v>0</v>
      </c>
      <c r="AR49" s="238">
        <f t="shared" si="20"/>
        <v>0</v>
      </c>
      <c r="AS49" s="239">
        <v>0</v>
      </c>
      <c r="AT49" s="238">
        <f t="shared" si="21"/>
        <v>0</v>
      </c>
      <c r="AU49" s="239">
        <v>0</v>
      </c>
      <c r="AV49" s="238">
        <f t="shared" si="22"/>
        <v>0</v>
      </c>
      <c r="AW49" s="239">
        <v>0</v>
      </c>
      <c r="AX49" s="238">
        <f t="shared" si="23"/>
        <v>0</v>
      </c>
      <c r="AY49" s="239">
        <v>0</v>
      </c>
      <c r="AZ49" s="238">
        <f t="shared" si="24"/>
        <v>0</v>
      </c>
      <c r="BA49" s="239">
        <v>0</v>
      </c>
      <c r="BB49" s="238">
        <f t="shared" si="25"/>
        <v>0</v>
      </c>
      <c r="BC49" s="239">
        <v>0</v>
      </c>
      <c r="BD49" s="238">
        <f t="shared" si="26"/>
        <v>0</v>
      </c>
      <c r="BE49" s="239">
        <v>0</v>
      </c>
      <c r="BF49" s="238">
        <f t="shared" si="27"/>
        <v>0</v>
      </c>
      <c r="BG49" s="239">
        <v>0</v>
      </c>
      <c r="BH49" s="238">
        <f t="shared" si="28"/>
        <v>0</v>
      </c>
      <c r="BI49" s="239">
        <v>0</v>
      </c>
      <c r="BJ49" s="238">
        <f t="shared" si="29"/>
        <v>0</v>
      </c>
      <c r="BK49" s="239">
        <v>0</v>
      </c>
      <c r="BL49" s="238">
        <f t="shared" si="30"/>
        <v>0</v>
      </c>
      <c r="BM49" s="239">
        <v>0</v>
      </c>
      <c r="BN49" s="238">
        <f t="shared" si="31"/>
        <v>0</v>
      </c>
      <c r="BO49" s="239">
        <v>0</v>
      </c>
      <c r="BP49" s="238">
        <f t="shared" si="32"/>
        <v>0</v>
      </c>
      <c r="BQ49" s="239">
        <v>0</v>
      </c>
      <c r="BR49" s="238">
        <f t="shared" si="33"/>
        <v>0</v>
      </c>
      <c r="BS49" s="225"/>
      <c r="BT49" s="239">
        <f t="shared" si="38"/>
        <v>37322</v>
      </c>
      <c r="BU49" s="238">
        <f t="shared" si="39"/>
        <v>877067</v>
      </c>
    </row>
    <row r="50" spans="1:73" ht="14.25">
      <c r="A50" s="241">
        <v>1999</v>
      </c>
      <c r="B50" s="240">
        <f t="shared" si="37"/>
        <v>22.5</v>
      </c>
      <c r="C50" s="239">
        <v>0</v>
      </c>
      <c r="D50" s="238">
        <f t="shared" si="0"/>
        <v>0</v>
      </c>
      <c r="E50" s="239">
        <v>0</v>
      </c>
      <c r="F50" s="238">
        <f t="shared" si="1"/>
        <v>0</v>
      </c>
      <c r="G50" s="239">
        <v>0</v>
      </c>
      <c r="H50" s="238">
        <f t="shared" si="2"/>
        <v>0</v>
      </c>
      <c r="I50" s="239">
        <v>0</v>
      </c>
      <c r="J50" s="238">
        <f t="shared" si="3"/>
        <v>0</v>
      </c>
      <c r="K50" s="239">
        <v>0</v>
      </c>
      <c r="L50" s="238">
        <f t="shared" si="4"/>
        <v>0</v>
      </c>
      <c r="M50" s="239">
        <v>0</v>
      </c>
      <c r="N50" s="238">
        <f t="shared" si="5"/>
        <v>0</v>
      </c>
      <c r="O50" s="239">
        <v>0</v>
      </c>
      <c r="P50" s="238">
        <f t="shared" si="6"/>
        <v>0</v>
      </c>
      <c r="Q50" s="239">
        <v>22302.07</v>
      </c>
      <c r="R50" s="238">
        <f t="shared" si="7"/>
        <v>501796.57500000001</v>
      </c>
      <c r="S50" s="239">
        <v>0</v>
      </c>
      <c r="T50" s="238">
        <f t="shared" si="8"/>
        <v>0</v>
      </c>
      <c r="U50" s="239">
        <v>0</v>
      </c>
      <c r="V50" s="238">
        <f t="shared" si="9"/>
        <v>0</v>
      </c>
      <c r="W50" s="239">
        <v>13774.983</v>
      </c>
      <c r="X50" s="238">
        <f t="shared" si="10"/>
        <v>309937.11749999999</v>
      </c>
      <c r="Y50" s="239">
        <v>0</v>
      </c>
      <c r="Z50" s="238">
        <f t="shared" si="11"/>
        <v>0</v>
      </c>
      <c r="AA50" s="239">
        <v>0</v>
      </c>
      <c r="AB50" s="238">
        <f t="shared" si="12"/>
        <v>0</v>
      </c>
      <c r="AC50" s="239">
        <v>0</v>
      </c>
      <c r="AD50" s="238">
        <f t="shared" si="13"/>
        <v>0</v>
      </c>
      <c r="AE50" s="239">
        <v>1047.0899999999999</v>
      </c>
      <c r="AF50" s="238">
        <f t="shared" si="14"/>
        <v>23559.524999999998</v>
      </c>
      <c r="AG50" s="239">
        <v>0</v>
      </c>
      <c r="AH50" s="238">
        <f t="shared" si="15"/>
        <v>0</v>
      </c>
      <c r="AI50" s="239">
        <v>0</v>
      </c>
      <c r="AJ50" s="238">
        <f t="shared" si="16"/>
        <v>0</v>
      </c>
      <c r="AK50" s="239">
        <v>0</v>
      </c>
      <c r="AL50" s="238">
        <f t="shared" si="17"/>
        <v>0</v>
      </c>
      <c r="AM50" s="239">
        <v>0</v>
      </c>
      <c r="AN50" s="238">
        <f t="shared" si="18"/>
        <v>0</v>
      </c>
      <c r="AO50" s="239">
        <v>0</v>
      </c>
      <c r="AP50" s="238">
        <f t="shared" si="19"/>
        <v>0</v>
      </c>
      <c r="AQ50" s="239">
        <v>0</v>
      </c>
      <c r="AR50" s="238">
        <f t="shared" si="20"/>
        <v>0</v>
      </c>
      <c r="AS50" s="239">
        <v>0</v>
      </c>
      <c r="AT50" s="238">
        <f t="shared" si="21"/>
        <v>0</v>
      </c>
      <c r="AU50" s="239">
        <v>0</v>
      </c>
      <c r="AV50" s="238">
        <f t="shared" si="22"/>
        <v>0</v>
      </c>
      <c r="AW50" s="239">
        <v>0</v>
      </c>
      <c r="AX50" s="238">
        <f t="shared" si="23"/>
        <v>0</v>
      </c>
      <c r="AY50" s="239">
        <v>0</v>
      </c>
      <c r="AZ50" s="238">
        <f t="shared" si="24"/>
        <v>0</v>
      </c>
      <c r="BA50" s="239">
        <v>0</v>
      </c>
      <c r="BB50" s="238">
        <f t="shared" si="25"/>
        <v>0</v>
      </c>
      <c r="BC50" s="239">
        <v>0</v>
      </c>
      <c r="BD50" s="238">
        <f t="shared" si="26"/>
        <v>0</v>
      </c>
      <c r="BE50" s="239">
        <v>0</v>
      </c>
      <c r="BF50" s="238">
        <f t="shared" si="27"/>
        <v>0</v>
      </c>
      <c r="BG50" s="239">
        <v>0</v>
      </c>
      <c r="BH50" s="238">
        <f t="shared" si="28"/>
        <v>0</v>
      </c>
      <c r="BI50" s="239">
        <v>0</v>
      </c>
      <c r="BJ50" s="238">
        <f t="shared" si="29"/>
        <v>0</v>
      </c>
      <c r="BK50" s="239">
        <v>0</v>
      </c>
      <c r="BL50" s="238">
        <f t="shared" si="30"/>
        <v>0</v>
      </c>
      <c r="BM50" s="239">
        <v>0</v>
      </c>
      <c r="BN50" s="238">
        <f t="shared" si="31"/>
        <v>0</v>
      </c>
      <c r="BO50" s="239">
        <v>0</v>
      </c>
      <c r="BP50" s="238">
        <f t="shared" si="32"/>
        <v>0</v>
      </c>
      <c r="BQ50" s="239">
        <v>0</v>
      </c>
      <c r="BR50" s="238">
        <f t="shared" si="33"/>
        <v>0</v>
      </c>
      <c r="BS50" s="225"/>
      <c r="BT50" s="239">
        <f t="shared" si="38"/>
        <v>37124</v>
      </c>
      <c r="BU50" s="238">
        <f t="shared" si="39"/>
        <v>835290</v>
      </c>
    </row>
    <row r="51" spans="1:73" ht="14.25">
      <c r="A51" s="241">
        <v>2000</v>
      </c>
      <c r="B51" s="240">
        <f t="shared" si="37"/>
        <v>21.5</v>
      </c>
      <c r="C51" s="239">
        <v>0</v>
      </c>
      <c r="D51" s="238">
        <f t="shared" si="0"/>
        <v>0</v>
      </c>
      <c r="E51" s="239">
        <v>0</v>
      </c>
      <c r="F51" s="238">
        <f t="shared" si="1"/>
        <v>0</v>
      </c>
      <c r="G51" s="239">
        <v>0</v>
      </c>
      <c r="H51" s="238">
        <f t="shared" si="2"/>
        <v>0</v>
      </c>
      <c r="I51" s="239">
        <v>0</v>
      </c>
      <c r="J51" s="238">
        <f t="shared" si="3"/>
        <v>0</v>
      </c>
      <c r="K51" s="239">
        <v>0</v>
      </c>
      <c r="L51" s="238">
        <f t="shared" si="4"/>
        <v>0</v>
      </c>
      <c r="M51" s="239">
        <v>0</v>
      </c>
      <c r="N51" s="238">
        <f t="shared" si="5"/>
        <v>0</v>
      </c>
      <c r="O51" s="239">
        <v>0</v>
      </c>
      <c r="P51" s="238">
        <f t="shared" si="6"/>
        <v>0</v>
      </c>
      <c r="Q51" s="239">
        <v>20536.399999999998</v>
      </c>
      <c r="R51" s="238">
        <f t="shared" si="7"/>
        <v>441532.59999999998</v>
      </c>
      <c r="S51" s="239">
        <v>97.519999999999996</v>
      </c>
      <c r="T51" s="238">
        <f t="shared" si="8"/>
        <v>2096.6799999999998</v>
      </c>
      <c r="U51" s="239">
        <v>0</v>
      </c>
      <c r="V51" s="238">
        <f t="shared" si="9"/>
        <v>0</v>
      </c>
      <c r="W51" s="239">
        <v>2727.3699999999999</v>
      </c>
      <c r="X51" s="238">
        <f t="shared" si="10"/>
        <v>58638.454999999994</v>
      </c>
      <c r="Y51" s="239">
        <v>0</v>
      </c>
      <c r="Z51" s="238">
        <f t="shared" si="11"/>
        <v>0</v>
      </c>
      <c r="AA51" s="239">
        <v>0</v>
      </c>
      <c r="AB51" s="238">
        <f t="shared" si="12"/>
        <v>0</v>
      </c>
      <c r="AC51" s="239">
        <v>0</v>
      </c>
      <c r="AD51" s="238">
        <f t="shared" si="13"/>
        <v>0</v>
      </c>
      <c r="AE51" s="239">
        <v>0</v>
      </c>
      <c r="AF51" s="238">
        <f t="shared" si="14"/>
        <v>0</v>
      </c>
      <c r="AG51" s="239">
        <v>0</v>
      </c>
      <c r="AH51" s="238">
        <f t="shared" si="15"/>
        <v>0</v>
      </c>
      <c r="AI51" s="239">
        <v>0</v>
      </c>
      <c r="AJ51" s="238">
        <f t="shared" si="16"/>
        <v>0</v>
      </c>
      <c r="AK51" s="239">
        <v>0</v>
      </c>
      <c r="AL51" s="238">
        <f t="shared" si="17"/>
        <v>0</v>
      </c>
      <c r="AM51" s="239">
        <v>0</v>
      </c>
      <c r="AN51" s="238">
        <f t="shared" si="18"/>
        <v>0</v>
      </c>
      <c r="AO51" s="239">
        <v>0</v>
      </c>
      <c r="AP51" s="238">
        <f t="shared" si="19"/>
        <v>0</v>
      </c>
      <c r="AQ51" s="239">
        <v>0</v>
      </c>
      <c r="AR51" s="238">
        <f t="shared" si="20"/>
        <v>0</v>
      </c>
      <c r="AS51" s="239">
        <v>0</v>
      </c>
      <c r="AT51" s="238">
        <f t="shared" si="21"/>
        <v>0</v>
      </c>
      <c r="AU51" s="239">
        <v>0</v>
      </c>
      <c r="AV51" s="238">
        <f t="shared" si="22"/>
        <v>0</v>
      </c>
      <c r="AW51" s="239">
        <v>0</v>
      </c>
      <c r="AX51" s="238">
        <f t="shared" si="23"/>
        <v>0</v>
      </c>
      <c r="AY51" s="239">
        <v>0</v>
      </c>
      <c r="AZ51" s="238">
        <f t="shared" si="24"/>
        <v>0</v>
      </c>
      <c r="BA51" s="239">
        <v>0</v>
      </c>
      <c r="BB51" s="238">
        <f t="shared" si="25"/>
        <v>0</v>
      </c>
      <c r="BC51" s="239">
        <v>0</v>
      </c>
      <c r="BD51" s="238">
        <f t="shared" si="26"/>
        <v>0</v>
      </c>
      <c r="BE51" s="239">
        <v>0</v>
      </c>
      <c r="BF51" s="238">
        <f t="shared" si="27"/>
        <v>0</v>
      </c>
      <c r="BG51" s="239">
        <v>0</v>
      </c>
      <c r="BH51" s="238">
        <f t="shared" si="28"/>
        <v>0</v>
      </c>
      <c r="BI51" s="239">
        <v>0</v>
      </c>
      <c r="BJ51" s="238">
        <f t="shared" si="29"/>
        <v>0</v>
      </c>
      <c r="BK51" s="239">
        <v>0</v>
      </c>
      <c r="BL51" s="238">
        <f t="shared" si="30"/>
        <v>0</v>
      </c>
      <c r="BM51" s="239">
        <v>0</v>
      </c>
      <c r="BN51" s="238">
        <f t="shared" si="31"/>
        <v>0</v>
      </c>
      <c r="BO51" s="239">
        <v>0</v>
      </c>
      <c r="BP51" s="238">
        <f t="shared" si="32"/>
        <v>0</v>
      </c>
      <c r="BQ51" s="239">
        <v>0</v>
      </c>
      <c r="BR51" s="238">
        <f t="shared" si="33"/>
        <v>0</v>
      </c>
      <c r="BS51" s="225"/>
      <c r="BT51" s="239">
        <f t="shared" si="38"/>
        <v>23361</v>
      </c>
      <c r="BU51" s="238">
        <f t="shared" si="39"/>
        <v>502261.5</v>
      </c>
    </row>
    <row r="52" spans="1:73" ht="14.25">
      <c r="A52" s="241">
        <v>2001</v>
      </c>
      <c r="B52" s="240">
        <f t="shared" si="37"/>
        <v>20.5</v>
      </c>
      <c r="C52" s="239">
        <v>0</v>
      </c>
      <c r="D52" s="238">
        <f t="shared" si="0"/>
        <v>0</v>
      </c>
      <c r="E52" s="239">
        <v>0</v>
      </c>
      <c r="F52" s="238">
        <f t="shared" si="1"/>
        <v>0</v>
      </c>
      <c r="G52" s="239">
        <v>0</v>
      </c>
      <c r="H52" s="238">
        <f t="shared" si="2"/>
        <v>0</v>
      </c>
      <c r="I52" s="239">
        <v>2</v>
      </c>
      <c r="J52" s="238">
        <f t="shared" si="3"/>
        <v>41</v>
      </c>
      <c r="K52" s="239">
        <v>0</v>
      </c>
      <c r="L52" s="238">
        <f t="shared" si="4"/>
        <v>0</v>
      </c>
      <c r="M52" s="239">
        <v>0</v>
      </c>
      <c r="N52" s="238">
        <f t="shared" si="5"/>
        <v>0</v>
      </c>
      <c r="O52" s="239">
        <v>0</v>
      </c>
      <c r="P52" s="238">
        <f t="shared" si="6"/>
        <v>0</v>
      </c>
      <c r="Q52" s="239">
        <v>15858.15</v>
      </c>
      <c r="R52" s="238">
        <f t="shared" si="7"/>
        <v>325092.07500000001</v>
      </c>
      <c r="S52" s="239">
        <v>2011.3900000000001</v>
      </c>
      <c r="T52" s="238">
        <f t="shared" si="8"/>
        <v>41233.495000000003</v>
      </c>
      <c r="U52" s="239">
        <v>0</v>
      </c>
      <c r="V52" s="238">
        <f t="shared" si="9"/>
        <v>0</v>
      </c>
      <c r="W52" s="239">
        <v>3810.3699999999999</v>
      </c>
      <c r="X52" s="238">
        <f t="shared" si="10"/>
        <v>78112.584999999992</v>
      </c>
      <c r="Y52" s="239">
        <v>0</v>
      </c>
      <c r="Z52" s="238">
        <f t="shared" si="11"/>
        <v>0</v>
      </c>
      <c r="AA52" s="239">
        <v>0</v>
      </c>
      <c r="AB52" s="238">
        <f t="shared" si="12"/>
        <v>0</v>
      </c>
      <c r="AC52" s="239">
        <v>0</v>
      </c>
      <c r="AD52" s="238">
        <f t="shared" si="13"/>
        <v>0</v>
      </c>
      <c r="AE52" s="239">
        <v>190.00999999999999</v>
      </c>
      <c r="AF52" s="238">
        <f t="shared" si="14"/>
        <v>3895.2049999999999</v>
      </c>
      <c r="AG52" s="239">
        <v>0</v>
      </c>
      <c r="AH52" s="238">
        <f t="shared" si="15"/>
        <v>0</v>
      </c>
      <c r="AI52" s="239">
        <v>0</v>
      </c>
      <c r="AJ52" s="238">
        <f t="shared" si="16"/>
        <v>0</v>
      </c>
      <c r="AK52" s="239">
        <v>0</v>
      </c>
      <c r="AL52" s="238">
        <f t="shared" si="17"/>
        <v>0</v>
      </c>
      <c r="AM52" s="239">
        <v>0</v>
      </c>
      <c r="AN52" s="238">
        <f t="shared" si="18"/>
        <v>0</v>
      </c>
      <c r="AO52" s="239">
        <v>0</v>
      </c>
      <c r="AP52" s="238">
        <f t="shared" si="19"/>
        <v>0</v>
      </c>
      <c r="AQ52" s="239">
        <v>0</v>
      </c>
      <c r="AR52" s="238">
        <f t="shared" si="20"/>
        <v>0</v>
      </c>
      <c r="AS52" s="239">
        <v>0</v>
      </c>
      <c r="AT52" s="238">
        <f t="shared" si="21"/>
        <v>0</v>
      </c>
      <c r="AU52" s="239">
        <v>0</v>
      </c>
      <c r="AV52" s="238">
        <f t="shared" si="22"/>
        <v>0</v>
      </c>
      <c r="AW52" s="239">
        <v>0</v>
      </c>
      <c r="AX52" s="238">
        <f t="shared" si="23"/>
        <v>0</v>
      </c>
      <c r="AY52" s="239">
        <v>0</v>
      </c>
      <c r="AZ52" s="238">
        <f t="shared" si="24"/>
        <v>0</v>
      </c>
      <c r="BA52" s="239">
        <v>0</v>
      </c>
      <c r="BB52" s="238">
        <f t="shared" si="25"/>
        <v>0</v>
      </c>
      <c r="BC52" s="239">
        <v>0</v>
      </c>
      <c r="BD52" s="238">
        <f t="shared" si="26"/>
        <v>0</v>
      </c>
      <c r="BE52" s="239">
        <v>0</v>
      </c>
      <c r="BF52" s="238">
        <f t="shared" si="27"/>
        <v>0</v>
      </c>
      <c r="BG52" s="239">
        <v>0</v>
      </c>
      <c r="BH52" s="238">
        <f t="shared" si="28"/>
        <v>0</v>
      </c>
      <c r="BI52" s="239">
        <v>0</v>
      </c>
      <c r="BJ52" s="238">
        <f t="shared" si="29"/>
        <v>0</v>
      </c>
      <c r="BK52" s="239">
        <v>0</v>
      </c>
      <c r="BL52" s="238">
        <f t="shared" si="30"/>
        <v>0</v>
      </c>
      <c r="BM52" s="239">
        <v>0</v>
      </c>
      <c r="BN52" s="238">
        <f t="shared" si="31"/>
        <v>0</v>
      </c>
      <c r="BO52" s="239">
        <v>0</v>
      </c>
      <c r="BP52" s="238">
        <f t="shared" si="32"/>
        <v>0</v>
      </c>
      <c r="BQ52" s="239">
        <v>0</v>
      </c>
      <c r="BR52" s="238">
        <f t="shared" si="33"/>
        <v>0</v>
      </c>
      <c r="BS52" s="225"/>
      <c r="BT52" s="239">
        <f t="shared" si="38"/>
        <v>21872</v>
      </c>
      <c r="BU52" s="238">
        <f t="shared" si="39"/>
        <v>448376</v>
      </c>
    </row>
    <row r="53" spans="1:73" ht="14.25">
      <c r="A53" s="241">
        <v>2002</v>
      </c>
      <c r="B53" s="240">
        <f t="shared" si="37"/>
        <v>19.5</v>
      </c>
      <c r="C53" s="239">
        <v>0</v>
      </c>
      <c r="D53" s="238">
        <f t="shared" si="0"/>
        <v>0</v>
      </c>
      <c r="E53" s="239">
        <v>0</v>
      </c>
      <c r="F53" s="238">
        <f t="shared" si="1"/>
        <v>0</v>
      </c>
      <c r="G53" s="239">
        <v>0</v>
      </c>
      <c r="H53" s="238">
        <f t="shared" si="2"/>
        <v>0</v>
      </c>
      <c r="I53" s="239">
        <v>0</v>
      </c>
      <c r="J53" s="238">
        <f t="shared" si="3"/>
        <v>0</v>
      </c>
      <c r="K53" s="239">
        <v>0</v>
      </c>
      <c r="L53" s="238">
        <f t="shared" si="4"/>
        <v>0</v>
      </c>
      <c r="M53" s="239">
        <v>0</v>
      </c>
      <c r="N53" s="238">
        <f t="shared" si="5"/>
        <v>0</v>
      </c>
      <c r="O53" s="239">
        <v>0</v>
      </c>
      <c r="P53" s="238">
        <f t="shared" si="6"/>
        <v>0</v>
      </c>
      <c r="Q53" s="239">
        <v>7391.3099999999995</v>
      </c>
      <c r="R53" s="238">
        <f t="shared" si="7"/>
        <v>144130.54499999998</v>
      </c>
      <c r="S53" s="239">
        <v>274</v>
      </c>
      <c r="T53" s="238">
        <f t="shared" si="8"/>
        <v>5343</v>
      </c>
      <c r="U53" s="239">
        <v>0</v>
      </c>
      <c r="V53" s="238">
        <f t="shared" si="9"/>
        <v>0</v>
      </c>
      <c r="W53" s="239">
        <v>1378.3</v>
      </c>
      <c r="X53" s="238">
        <f t="shared" si="10"/>
        <v>26876.849999999999</v>
      </c>
      <c r="Y53" s="239">
        <v>0</v>
      </c>
      <c r="Z53" s="238">
        <f t="shared" si="11"/>
        <v>0</v>
      </c>
      <c r="AA53" s="239">
        <v>0</v>
      </c>
      <c r="AB53" s="238">
        <f t="shared" si="12"/>
        <v>0</v>
      </c>
      <c r="AC53" s="239">
        <v>0</v>
      </c>
      <c r="AD53" s="238">
        <f t="shared" si="13"/>
        <v>0</v>
      </c>
      <c r="AE53" s="239">
        <v>0</v>
      </c>
      <c r="AF53" s="238">
        <f t="shared" si="14"/>
        <v>0</v>
      </c>
      <c r="AG53" s="239">
        <v>0</v>
      </c>
      <c r="AH53" s="238">
        <f t="shared" si="15"/>
        <v>0</v>
      </c>
      <c r="AI53" s="239">
        <v>0</v>
      </c>
      <c r="AJ53" s="238">
        <f t="shared" si="16"/>
        <v>0</v>
      </c>
      <c r="AK53" s="239">
        <v>0</v>
      </c>
      <c r="AL53" s="238">
        <f t="shared" si="17"/>
        <v>0</v>
      </c>
      <c r="AM53" s="239">
        <v>0</v>
      </c>
      <c r="AN53" s="238">
        <f t="shared" si="18"/>
        <v>0</v>
      </c>
      <c r="AO53" s="239">
        <v>0</v>
      </c>
      <c r="AP53" s="238">
        <f t="shared" si="19"/>
        <v>0</v>
      </c>
      <c r="AQ53" s="239">
        <v>0</v>
      </c>
      <c r="AR53" s="238">
        <f t="shared" si="20"/>
        <v>0</v>
      </c>
      <c r="AS53" s="239">
        <v>0</v>
      </c>
      <c r="AT53" s="238">
        <f t="shared" si="21"/>
        <v>0</v>
      </c>
      <c r="AU53" s="239">
        <v>0</v>
      </c>
      <c r="AV53" s="238">
        <f t="shared" si="22"/>
        <v>0</v>
      </c>
      <c r="AW53" s="239">
        <v>0</v>
      </c>
      <c r="AX53" s="238">
        <f t="shared" si="23"/>
        <v>0</v>
      </c>
      <c r="AY53" s="239">
        <v>0</v>
      </c>
      <c r="AZ53" s="238">
        <f t="shared" si="24"/>
        <v>0</v>
      </c>
      <c r="BA53" s="239">
        <v>0</v>
      </c>
      <c r="BB53" s="238">
        <f t="shared" si="25"/>
        <v>0</v>
      </c>
      <c r="BC53" s="239">
        <v>0</v>
      </c>
      <c r="BD53" s="238">
        <f t="shared" si="26"/>
        <v>0</v>
      </c>
      <c r="BE53" s="239">
        <v>0</v>
      </c>
      <c r="BF53" s="238">
        <f t="shared" si="27"/>
        <v>0</v>
      </c>
      <c r="BG53" s="239">
        <v>0</v>
      </c>
      <c r="BH53" s="238">
        <f t="shared" si="28"/>
        <v>0</v>
      </c>
      <c r="BI53" s="239">
        <v>0</v>
      </c>
      <c r="BJ53" s="238">
        <f t="shared" si="29"/>
        <v>0</v>
      </c>
      <c r="BK53" s="239">
        <v>0</v>
      </c>
      <c r="BL53" s="238">
        <f t="shared" si="30"/>
        <v>0</v>
      </c>
      <c r="BM53" s="239">
        <v>0</v>
      </c>
      <c r="BN53" s="238">
        <f t="shared" si="31"/>
        <v>0</v>
      </c>
      <c r="BO53" s="239">
        <v>0</v>
      </c>
      <c r="BP53" s="238">
        <f t="shared" si="32"/>
        <v>0</v>
      </c>
      <c r="BQ53" s="239">
        <v>0</v>
      </c>
      <c r="BR53" s="238">
        <f t="shared" si="33"/>
        <v>0</v>
      </c>
      <c r="BS53" s="225"/>
      <c r="BT53" s="239">
        <f t="shared" si="38"/>
        <v>9044</v>
      </c>
      <c r="BU53" s="238">
        <f t="shared" si="39"/>
        <v>176358</v>
      </c>
    </row>
    <row r="54" spans="1:73" ht="14.25">
      <c r="A54" s="241">
        <v>2003</v>
      </c>
      <c r="B54" s="240">
        <f t="shared" si="37"/>
        <v>18.5</v>
      </c>
      <c r="C54" s="239">
        <v>0</v>
      </c>
      <c r="D54" s="238">
        <f t="shared" si="0"/>
        <v>0</v>
      </c>
      <c r="E54" s="239">
        <v>0</v>
      </c>
      <c r="F54" s="238">
        <f t="shared" si="1"/>
        <v>0</v>
      </c>
      <c r="G54" s="239">
        <v>0</v>
      </c>
      <c r="H54" s="238">
        <f t="shared" si="2"/>
        <v>0</v>
      </c>
      <c r="I54" s="239">
        <v>0</v>
      </c>
      <c r="J54" s="238">
        <f t="shared" si="3"/>
        <v>0</v>
      </c>
      <c r="K54" s="239">
        <v>0</v>
      </c>
      <c r="L54" s="238">
        <f t="shared" si="4"/>
        <v>0</v>
      </c>
      <c r="M54" s="239">
        <v>0</v>
      </c>
      <c r="N54" s="238">
        <f t="shared" si="5"/>
        <v>0</v>
      </c>
      <c r="O54" s="239">
        <v>0</v>
      </c>
      <c r="P54" s="238">
        <f t="shared" si="6"/>
        <v>0</v>
      </c>
      <c r="Q54" s="239">
        <v>14553.58</v>
      </c>
      <c r="R54" s="238">
        <f t="shared" si="7"/>
        <v>269241.22999999998</v>
      </c>
      <c r="S54" s="239">
        <v>1247.45</v>
      </c>
      <c r="T54" s="238">
        <f t="shared" si="8"/>
        <v>23077.825000000001</v>
      </c>
      <c r="U54" s="239">
        <v>0</v>
      </c>
      <c r="V54" s="238">
        <f t="shared" si="9"/>
        <v>0</v>
      </c>
      <c r="W54" s="239">
        <v>869.65999999999997</v>
      </c>
      <c r="X54" s="238">
        <f t="shared" si="10"/>
        <v>16088.709999999999</v>
      </c>
      <c r="Y54" s="239">
        <v>0</v>
      </c>
      <c r="Z54" s="238">
        <f t="shared" si="11"/>
        <v>0</v>
      </c>
      <c r="AA54" s="239">
        <v>0</v>
      </c>
      <c r="AB54" s="238">
        <f t="shared" si="12"/>
        <v>0</v>
      </c>
      <c r="AC54" s="239">
        <v>0</v>
      </c>
      <c r="AD54" s="238">
        <f t="shared" si="13"/>
        <v>0</v>
      </c>
      <c r="AE54" s="239">
        <v>2639.2800000000002</v>
      </c>
      <c r="AF54" s="238">
        <f t="shared" si="14"/>
        <v>48826.68</v>
      </c>
      <c r="AG54" s="239">
        <v>0</v>
      </c>
      <c r="AH54" s="238">
        <f t="shared" si="15"/>
        <v>0</v>
      </c>
      <c r="AI54" s="239">
        <v>0</v>
      </c>
      <c r="AJ54" s="238">
        <f t="shared" si="16"/>
        <v>0</v>
      </c>
      <c r="AK54" s="239">
        <v>0</v>
      </c>
      <c r="AL54" s="238">
        <f t="shared" si="17"/>
        <v>0</v>
      </c>
      <c r="AM54" s="239">
        <v>0</v>
      </c>
      <c r="AN54" s="238">
        <f t="shared" si="18"/>
        <v>0</v>
      </c>
      <c r="AO54" s="239">
        <v>0</v>
      </c>
      <c r="AP54" s="238">
        <f t="shared" si="19"/>
        <v>0</v>
      </c>
      <c r="AQ54" s="239">
        <v>0</v>
      </c>
      <c r="AR54" s="238">
        <f t="shared" si="20"/>
        <v>0</v>
      </c>
      <c r="AS54" s="239">
        <v>0</v>
      </c>
      <c r="AT54" s="238">
        <f t="shared" si="21"/>
        <v>0</v>
      </c>
      <c r="AU54" s="239">
        <v>0</v>
      </c>
      <c r="AV54" s="238">
        <f t="shared" si="22"/>
        <v>0</v>
      </c>
      <c r="AW54" s="239">
        <v>0</v>
      </c>
      <c r="AX54" s="238">
        <f t="shared" si="23"/>
        <v>0</v>
      </c>
      <c r="AY54" s="239">
        <v>0</v>
      </c>
      <c r="AZ54" s="238">
        <f t="shared" si="24"/>
        <v>0</v>
      </c>
      <c r="BA54" s="239">
        <v>0</v>
      </c>
      <c r="BB54" s="238">
        <f t="shared" si="25"/>
        <v>0</v>
      </c>
      <c r="BC54" s="239">
        <v>0</v>
      </c>
      <c r="BD54" s="238">
        <f t="shared" si="26"/>
        <v>0</v>
      </c>
      <c r="BE54" s="239">
        <v>0</v>
      </c>
      <c r="BF54" s="238">
        <f t="shared" si="27"/>
        <v>0</v>
      </c>
      <c r="BG54" s="239">
        <v>0</v>
      </c>
      <c r="BH54" s="238">
        <f t="shared" si="28"/>
        <v>0</v>
      </c>
      <c r="BI54" s="239">
        <v>0</v>
      </c>
      <c r="BJ54" s="238">
        <f t="shared" si="29"/>
        <v>0</v>
      </c>
      <c r="BK54" s="239">
        <v>0</v>
      </c>
      <c r="BL54" s="238">
        <f t="shared" si="30"/>
        <v>0</v>
      </c>
      <c r="BM54" s="239">
        <v>0</v>
      </c>
      <c r="BN54" s="238">
        <f t="shared" si="31"/>
        <v>0</v>
      </c>
      <c r="BO54" s="239">
        <v>0</v>
      </c>
      <c r="BP54" s="238">
        <f t="shared" si="32"/>
        <v>0</v>
      </c>
      <c r="BQ54" s="239">
        <v>0</v>
      </c>
      <c r="BR54" s="238">
        <f t="shared" si="33"/>
        <v>0</v>
      </c>
      <c r="BS54" s="225"/>
      <c r="BT54" s="239">
        <f t="shared" si="38"/>
        <v>19310</v>
      </c>
      <c r="BU54" s="238">
        <f t="shared" si="39"/>
        <v>357235</v>
      </c>
    </row>
    <row r="55" spans="1:73" ht="14.25">
      <c r="A55" s="241">
        <v>2004</v>
      </c>
      <c r="B55" s="240">
        <f t="shared" si="37"/>
        <v>17.5</v>
      </c>
      <c r="C55" s="239">
        <v>0</v>
      </c>
      <c r="D55" s="238">
        <f t="shared" si="0"/>
        <v>0</v>
      </c>
      <c r="E55" s="239">
        <v>0</v>
      </c>
      <c r="F55" s="238">
        <f t="shared" si="1"/>
        <v>0</v>
      </c>
      <c r="G55" s="239">
        <v>0</v>
      </c>
      <c r="H55" s="238">
        <f t="shared" si="2"/>
        <v>0</v>
      </c>
      <c r="I55" s="239">
        <v>4952.96</v>
      </c>
      <c r="J55" s="238">
        <f t="shared" si="3"/>
        <v>86676.800000000003</v>
      </c>
      <c r="K55" s="239">
        <v>0</v>
      </c>
      <c r="L55" s="238">
        <f t="shared" si="4"/>
        <v>0</v>
      </c>
      <c r="M55" s="239">
        <v>0</v>
      </c>
      <c r="N55" s="238">
        <f t="shared" si="5"/>
        <v>0</v>
      </c>
      <c r="O55" s="239">
        <v>0</v>
      </c>
      <c r="P55" s="238">
        <f t="shared" si="6"/>
        <v>0</v>
      </c>
      <c r="Q55" s="239">
        <v>10606.5</v>
      </c>
      <c r="R55" s="238">
        <f t="shared" si="7"/>
        <v>185613.75</v>
      </c>
      <c r="S55" s="239">
        <v>817</v>
      </c>
      <c r="T55" s="238">
        <f t="shared" si="8"/>
        <v>14297.5</v>
      </c>
      <c r="U55" s="239">
        <v>0</v>
      </c>
      <c r="V55" s="238">
        <f t="shared" si="9"/>
        <v>0</v>
      </c>
      <c r="W55" s="239">
        <v>1347.8900000000001</v>
      </c>
      <c r="X55" s="238">
        <f t="shared" si="10"/>
        <v>23588.075000000001</v>
      </c>
      <c r="Y55" s="239">
        <v>0</v>
      </c>
      <c r="Z55" s="238">
        <f t="shared" si="11"/>
        <v>0</v>
      </c>
      <c r="AA55" s="239">
        <v>0</v>
      </c>
      <c r="AB55" s="238">
        <f t="shared" si="12"/>
        <v>0</v>
      </c>
      <c r="AC55" s="239">
        <v>0</v>
      </c>
      <c r="AD55" s="238">
        <f t="shared" si="13"/>
        <v>0</v>
      </c>
      <c r="AE55" s="239">
        <v>0</v>
      </c>
      <c r="AF55" s="238">
        <f t="shared" si="14"/>
        <v>0</v>
      </c>
      <c r="AG55" s="239">
        <v>0</v>
      </c>
      <c r="AH55" s="238">
        <f t="shared" si="15"/>
        <v>0</v>
      </c>
      <c r="AI55" s="239">
        <v>0</v>
      </c>
      <c r="AJ55" s="238">
        <f t="shared" si="16"/>
        <v>0</v>
      </c>
      <c r="AK55" s="239">
        <v>0</v>
      </c>
      <c r="AL55" s="238">
        <f t="shared" si="17"/>
        <v>0</v>
      </c>
      <c r="AM55" s="239">
        <v>0</v>
      </c>
      <c r="AN55" s="238">
        <f t="shared" si="18"/>
        <v>0</v>
      </c>
      <c r="AO55" s="239">
        <v>0</v>
      </c>
      <c r="AP55" s="238">
        <f t="shared" si="19"/>
        <v>0</v>
      </c>
      <c r="AQ55" s="239">
        <v>0</v>
      </c>
      <c r="AR55" s="238">
        <f t="shared" si="20"/>
        <v>0</v>
      </c>
      <c r="AS55" s="239">
        <v>0</v>
      </c>
      <c r="AT55" s="238">
        <f t="shared" si="21"/>
        <v>0</v>
      </c>
      <c r="AU55" s="239">
        <v>0</v>
      </c>
      <c r="AV55" s="238">
        <f t="shared" si="22"/>
        <v>0</v>
      </c>
      <c r="AW55" s="239">
        <v>0</v>
      </c>
      <c r="AX55" s="238">
        <f t="shared" si="23"/>
        <v>0</v>
      </c>
      <c r="AY55" s="239">
        <v>0</v>
      </c>
      <c r="AZ55" s="238">
        <f t="shared" si="24"/>
        <v>0</v>
      </c>
      <c r="BA55" s="239">
        <v>0</v>
      </c>
      <c r="BB55" s="238">
        <f t="shared" si="25"/>
        <v>0</v>
      </c>
      <c r="BC55" s="239">
        <v>0</v>
      </c>
      <c r="BD55" s="238">
        <f t="shared" si="26"/>
        <v>0</v>
      </c>
      <c r="BE55" s="239">
        <v>0</v>
      </c>
      <c r="BF55" s="238">
        <f t="shared" si="27"/>
        <v>0</v>
      </c>
      <c r="BG55" s="239">
        <v>0</v>
      </c>
      <c r="BH55" s="238">
        <f t="shared" si="28"/>
        <v>0</v>
      </c>
      <c r="BI55" s="239">
        <v>0</v>
      </c>
      <c r="BJ55" s="238">
        <f t="shared" si="29"/>
        <v>0</v>
      </c>
      <c r="BK55" s="239">
        <v>0</v>
      </c>
      <c r="BL55" s="238">
        <f t="shared" si="30"/>
        <v>0</v>
      </c>
      <c r="BM55" s="239">
        <v>0</v>
      </c>
      <c r="BN55" s="238">
        <f t="shared" si="31"/>
        <v>0</v>
      </c>
      <c r="BO55" s="239">
        <v>0</v>
      </c>
      <c r="BP55" s="238">
        <f t="shared" si="32"/>
        <v>0</v>
      </c>
      <c r="BQ55" s="239">
        <v>0</v>
      </c>
      <c r="BR55" s="238">
        <f t="shared" si="33"/>
        <v>0</v>
      </c>
      <c r="BS55" s="225"/>
      <c r="BT55" s="239">
        <f t="shared" si="38"/>
        <v>17724</v>
      </c>
      <c r="BU55" s="238">
        <f t="shared" si="39"/>
        <v>310170</v>
      </c>
    </row>
    <row r="56" spans="1:73" ht="14.25">
      <c r="A56" s="241">
        <v>2005</v>
      </c>
      <c r="B56" s="240">
        <f t="shared" si="37"/>
        <v>16.5</v>
      </c>
      <c r="C56" s="239">
        <v>0</v>
      </c>
      <c r="D56" s="238">
        <f t="shared" si="0"/>
        <v>0</v>
      </c>
      <c r="E56" s="239">
        <v>0</v>
      </c>
      <c r="F56" s="238">
        <f t="shared" si="1"/>
        <v>0</v>
      </c>
      <c r="G56" s="239">
        <v>75</v>
      </c>
      <c r="H56" s="238">
        <f t="shared" si="2"/>
        <v>1237.5</v>
      </c>
      <c r="I56" s="239">
        <v>0</v>
      </c>
      <c r="J56" s="238">
        <f t="shared" si="3"/>
        <v>0</v>
      </c>
      <c r="K56" s="239">
        <v>0</v>
      </c>
      <c r="L56" s="238">
        <f t="shared" si="4"/>
        <v>0</v>
      </c>
      <c r="M56" s="239">
        <v>0</v>
      </c>
      <c r="N56" s="238">
        <f t="shared" si="5"/>
        <v>0</v>
      </c>
      <c r="O56" s="239">
        <v>0</v>
      </c>
      <c r="P56" s="238">
        <f t="shared" si="6"/>
        <v>0</v>
      </c>
      <c r="Q56" s="239">
        <v>16298.540000000001</v>
      </c>
      <c r="R56" s="238">
        <f t="shared" si="7"/>
        <v>268925.91000000003</v>
      </c>
      <c r="S56" s="239">
        <v>0</v>
      </c>
      <c r="T56" s="238">
        <f t="shared" si="8"/>
        <v>0</v>
      </c>
      <c r="U56" s="239">
        <v>0</v>
      </c>
      <c r="V56" s="238">
        <f t="shared" si="9"/>
        <v>0</v>
      </c>
      <c r="W56" s="239">
        <v>6061.5600000000004</v>
      </c>
      <c r="X56" s="238">
        <f t="shared" si="10"/>
        <v>100015.74000000001</v>
      </c>
      <c r="Y56" s="239">
        <v>0</v>
      </c>
      <c r="Z56" s="238">
        <f t="shared" si="11"/>
        <v>0</v>
      </c>
      <c r="AA56" s="239">
        <v>0</v>
      </c>
      <c r="AB56" s="238">
        <f t="shared" si="12"/>
        <v>0</v>
      </c>
      <c r="AC56" s="239">
        <v>0</v>
      </c>
      <c r="AD56" s="238">
        <f t="shared" si="13"/>
        <v>0</v>
      </c>
      <c r="AE56" s="239">
        <v>705.70000000000005</v>
      </c>
      <c r="AF56" s="238">
        <f t="shared" si="14"/>
        <v>11644.050000000001</v>
      </c>
      <c r="AG56" s="239">
        <v>0</v>
      </c>
      <c r="AH56" s="238">
        <f t="shared" si="15"/>
        <v>0</v>
      </c>
      <c r="AI56" s="239">
        <v>0</v>
      </c>
      <c r="AJ56" s="238">
        <f t="shared" si="16"/>
        <v>0</v>
      </c>
      <c r="AK56" s="239">
        <v>0</v>
      </c>
      <c r="AL56" s="238">
        <f t="shared" si="17"/>
        <v>0</v>
      </c>
      <c r="AM56" s="239">
        <v>0</v>
      </c>
      <c r="AN56" s="238">
        <f t="shared" si="18"/>
        <v>0</v>
      </c>
      <c r="AO56" s="239">
        <v>0</v>
      </c>
      <c r="AP56" s="238">
        <f t="shared" si="19"/>
        <v>0</v>
      </c>
      <c r="AQ56" s="239">
        <v>0</v>
      </c>
      <c r="AR56" s="238">
        <f t="shared" si="20"/>
        <v>0</v>
      </c>
      <c r="AS56" s="239">
        <v>0</v>
      </c>
      <c r="AT56" s="238">
        <f t="shared" si="21"/>
        <v>0</v>
      </c>
      <c r="AU56" s="239">
        <v>0</v>
      </c>
      <c r="AV56" s="238">
        <f t="shared" si="22"/>
        <v>0</v>
      </c>
      <c r="AW56" s="239">
        <v>0</v>
      </c>
      <c r="AX56" s="238">
        <f t="shared" si="23"/>
        <v>0</v>
      </c>
      <c r="AY56" s="239">
        <v>28470.490000000002</v>
      </c>
      <c r="AZ56" s="238">
        <f t="shared" si="24"/>
        <v>469763.08500000002</v>
      </c>
      <c r="BA56" s="239">
        <v>0</v>
      </c>
      <c r="BB56" s="238">
        <f t="shared" si="25"/>
        <v>0</v>
      </c>
      <c r="BC56" s="239">
        <v>0</v>
      </c>
      <c r="BD56" s="238">
        <f t="shared" si="26"/>
        <v>0</v>
      </c>
      <c r="BE56" s="239">
        <v>0</v>
      </c>
      <c r="BF56" s="238">
        <f t="shared" si="27"/>
        <v>0</v>
      </c>
      <c r="BG56" s="239">
        <v>0</v>
      </c>
      <c r="BH56" s="238">
        <f t="shared" si="28"/>
        <v>0</v>
      </c>
      <c r="BI56" s="239">
        <v>0</v>
      </c>
      <c r="BJ56" s="238">
        <f t="shared" si="29"/>
        <v>0</v>
      </c>
      <c r="BK56" s="239">
        <v>0</v>
      </c>
      <c r="BL56" s="238">
        <f t="shared" si="30"/>
        <v>0</v>
      </c>
      <c r="BM56" s="239">
        <v>0</v>
      </c>
      <c r="BN56" s="238">
        <f t="shared" si="31"/>
        <v>0</v>
      </c>
      <c r="BO56" s="239">
        <v>0</v>
      </c>
      <c r="BP56" s="238">
        <f t="shared" si="32"/>
        <v>0</v>
      </c>
      <c r="BQ56" s="239">
        <v>0</v>
      </c>
      <c r="BR56" s="238">
        <f t="shared" si="33"/>
        <v>0</v>
      </c>
      <c r="BS56" s="225"/>
      <c r="BT56" s="239">
        <f t="shared" si="38"/>
        <v>51611</v>
      </c>
      <c r="BU56" s="238">
        <f t="shared" si="39"/>
        <v>851581.5</v>
      </c>
    </row>
    <row r="57" spans="1:73" ht="14.25">
      <c r="A57" s="241">
        <v>2006</v>
      </c>
      <c r="B57" s="240">
        <f t="shared" si="37"/>
        <v>15.5</v>
      </c>
      <c r="C57" s="239">
        <v>0</v>
      </c>
      <c r="D57" s="238">
        <f t="shared" si="0"/>
        <v>0</v>
      </c>
      <c r="E57" s="239">
        <v>0</v>
      </c>
      <c r="F57" s="238">
        <f t="shared" si="1"/>
        <v>0</v>
      </c>
      <c r="G57" s="239">
        <v>26913.459999999999</v>
      </c>
      <c r="H57" s="238">
        <f t="shared" si="2"/>
        <v>417158.63</v>
      </c>
      <c r="I57" s="239">
        <v>4933.4099999999999</v>
      </c>
      <c r="J57" s="238">
        <f t="shared" si="3"/>
        <v>76467.854999999996</v>
      </c>
      <c r="K57" s="239">
        <v>0</v>
      </c>
      <c r="L57" s="238">
        <f t="shared" si="4"/>
        <v>0</v>
      </c>
      <c r="M57" s="239">
        <v>0</v>
      </c>
      <c r="N57" s="238">
        <f t="shared" si="5"/>
        <v>0</v>
      </c>
      <c r="O57" s="239">
        <v>0</v>
      </c>
      <c r="P57" s="238">
        <f t="shared" si="6"/>
        <v>0</v>
      </c>
      <c r="Q57" s="239">
        <v>17920.150000000001</v>
      </c>
      <c r="R57" s="238">
        <f t="shared" si="7"/>
        <v>277762.32500000001</v>
      </c>
      <c r="S57" s="239">
        <v>0</v>
      </c>
      <c r="T57" s="238">
        <f t="shared" si="8"/>
        <v>0</v>
      </c>
      <c r="U57" s="239">
        <v>0</v>
      </c>
      <c r="V57" s="238">
        <f t="shared" si="9"/>
        <v>0</v>
      </c>
      <c r="W57" s="239">
        <v>1975.8900000000001</v>
      </c>
      <c r="X57" s="238">
        <f t="shared" si="10"/>
        <v>30626.295000000002</v>
      </c>
      <c r="Y57" s="239">
        <v>0</v>
      </c>
      <c r="Z57" s="238">
        <f t="shared" si="11"/>
        <v>0</v>
      </c>
      <c r="AA57" s="239">
        <v>0</v>
      </c>
      <c r="AB57" s="238">
        <f t="shared" si="12"/>
        <v>0</v>
      </c>
      <c r="AC57" s="239">
        <v>0</v>
      </c>
      <c r="AD57" s="238">
        <f t="shared" si="13"/>
        <v>0</v>
      </c>
      <c r="AE57" s="239">
        <v>0</v>
      </c>
      <c r="AF57" s="238">
        <f t="shared" si="14"/>
        <v>0</v>
      </c>
      <c r="AG57" s="239">
        <v>0</v>
      </c>
      <c r="AH57" s="238">
        <f t="shared" si="15"/>
        <v>0</v>
      </c>
      <c r="AI57" s="239">
        <v>0</v>
      </c>
      <c r="AJ57" s="238">
        <f t="shared" si="16"/>
        <v>0</v>
      </c>
      <c r="AK57" s="239">
        <v>0</v>
      </c>
      <c r="AL57" s="238">
        <f t="shared" si="17"/>
        <v>0</v>
      </c>
      <c r="AM57" s="239">
        <v>0</v>
      </c>
      <c r="AN57" s="238">
        <f t="shared" si="18"/>
        <v>0</v>
      </c>
      <c r="AO57" s="239">
        <v>0</v>
      </c>
      <c r="AP57" s="238">
        <f t="shared" si="19"/>
        <v>0</v>
      </c>
      <c r="AQ57" s="239">
        <v>0</v>
      </c>
      <c r="AR57" s="238">
        <f t="shared" si="20"/>
        <v>0</v>
      </c>
      <c r="AS57" s="239">
        <v>0</v>
      </c>
      <c r="AT57" s="238">
        <f t="shared" si="21"/>
        <v>0</v>
      </c>
      <c r="AU57" s="239">
        <v>0</v>
      </c>
      <c r="AV57" s="238">
        <f t="shared" si="22"/>
        <v>0</v>
      </c>
      <c r="AW57" s="239">
        <v>0</v>
      </c>
      <c r="AX57" s="238">
        <f t="shared" si="23"/>
        <v>0</v>
      </c>
      <c r="AY57" s="239">
        <v>66593.970000000001</v>
      </c>
      <c r="AZ57" s="238">
        <f t="shared" si="24"/>
        <v>1032206.535</v>
      </c>
      <c r="BA57" s="239">
        <v>0</v>
      </c>
      <c r="BB57" s="238">
        <f t="shared" si="25"/>
        <v>0</v>
      </c>
      <c r="BC57" s="239">
        <v>0</v>
      </c>
      <c r="BD57" s="238">
        <f t="shared" si="26"/>
        <v>0</v>
      </c>
      <c r="BE57" s="239">
        <v>0</v>
      </c>
      <c r="BF57" s="238">
        <f t="shared" si="27"/>
        <v>0</v>
      </c>
      <c r="BG57" s="239">
        <v>21726.349999999999</v>
      </c>
      <c r="BH57" s="238">
        <f t="shared" si="28"/>
        <v>336758.42499999999</v>
      </c>
      <c r="BI57" s="239">
        <v>0</v>
      </c>
      <c r="BJ57" s="238">
        <f t="shared" si="29"/>
        <v>0</v>
      </c>
      <c r="BK57" s="239">
        <v>0</v>
      </c>
      <c r="BL57" s="238">
        <f t="shared" si="30"/>
        <v>0</v>
      </c>
      <c r="BM57" s="239">
        <v>0</v>
      </c>
      <c r="BN57" s="238">
        <f t="shared" si="31"/>
        <v>0</v>
      </c>
      <c r="BO57" s="239">
        <v>0</v>
      </c>
      <c r="BP57" s="238">
        <f t="shared" si="32"/>
        <v>0</v>
      </c>
      <c r="BQ57" s="239">
        <v>0</v>
      </c>
      <c r="BR57" s="238">
        <f t="shared" si="33"/>
        <v>0</v>
      </c>
      <c r="BS57" s="225"/>
      <c r="BT57" s="239">
        <f t="shared" si="38"/>
        <v>140063</v>
      </c>
      <c r="BU57" s="238">
        <f t="shared" si="39"/>
        <v>2170976.5</v>
      </c>
    </row>
    <row r="58" spans="1:73" ht="14.25">
      <c r="A58" s="241">
        <v>2007</v>
      </c>
      <c r="B58" s="240">
        <f t="shared" si="37"/>
        <v>14.5</v>
      </c>
      <c r="C58" s="239">
        <v>0</v>
      </c>
      <c r="D58" s="238">
        <f t="shared" si="0"/>
        <v>0</v>
      </c>
      <c r="E58" s="239">
        <v>0</v>
      </c>
      <c r="F58" s="238">
        <f t="shared" si="1"/>
        <v>0</v>
      </c>
      <c r="G58" s="239">
        <v>0</v>
      </c>
      <c r="H58" s="238">
        <f t="shared" si="2"/>
        <v>0</v>
      </c>
      <c r="I58" s="239">
        <v>0</v>
      </c>
      <c r="J58" s="238">
        <f t="shared" si="3"/>
        <v>0</v>
      </c>
      <c r="K58" s="239">
        <v>0</v>
      </c>
      <c r="L58" s="238">
        <f t="shared" si="4"/>
        <v>0</v>
      </c>
      <c r="M58" s="239">
        <v>0</v>
      </c>
      <c r="N58" s="238">
        <f t="shared" si="5"/>
        <v>0</v>
      </c>
      <c r="O58" s="239">
        <v>0</v>
      </c>
      <c r="P58" s="238">
        <f t="shared" si="6"/>
        <v>0</v>
      </c>
      <c r="Q58" s="239">
        <v>16348.25</v>
      </c>
      <c r="R58" s="238">
        <f t="shared" si="7"/>
        <v>237049.625</v>
      </c>
      <c r="S58" s="239">
        <v>0</v>
      </c>
      <c r="T58" s="238">
        <f t="shared" si="8"/>
        <v>0</v>
      </c>
      <c r="U58" s="239">
        <v>0</v>
      </c>
      <c r="V58" s="238">
        <f t="shared" si="9"/>
        <v>0</v>
      </c>
      <c r="W58" s="239">
        <v>4441.3099999999995</v>
      </c>
      <c r="X58" s="238">
        <f t="shared" si="10"/>
        <v>64398.994999999995</v>
      </c>
      <c r="Y58" s="239">
        <v>0</v>
      </c>
      <c r="Z58" s="238">
        <f t="shared" si="11"/>
        <v>0</v>
      </c>
      <c r="AA58" s="239">
        <v>0</v>
      </c>
      <c r="AB58" s="238">
        <f t="shared" si="12"/>
        <v>0</v>
      </c>
      <c r="AC58" s="239">
        <v>0</v>
      </c>
      <c r="AD58" s="238">
        <f t="shared" si="13"/>
        <v>0</v>
      </c>
      <c r="AE58" s="239">
        <v>0</v>
      </c>
      <c r="AF58" s="238">
        <f t="shared" si="14"/>
        <v>0</v>
      </c>
      <c r="AG58" s="239">
        <v>0</v>
      </c>
      <c r="AH58" s="238">
        <f t="shared" si="15"/>
        <v>0</v>
      </c>
      <c r="AI58" s="239">
        <v>0</v>
      </c>
      <c r="AJ58" s="238">
        <f t="shared" si="16"/>
        <v>0</v>
      </c>
      <c r="AK58" s="239">
        <v>0</v>
      </c>
      <c r="AL58" s="238">
        <f t="shared" si="17"/>
        <v>0</v>
      </c>
      <c r="AM58" s="239">
        <v>0</v>
      </c>
      <c r="AN58" s="238">
        <f t="shared" si="18"/>
        <v>0</v>
      </c>
      <c r="AO58" s="239">
        <v>29119.200000000001</v>
      </c>
      <c r="AP58" s="238">
        <f t="shared" si="19"/>
        <v>422228.40000000002</v>
      </c>
      <c r="AQ58" s="239">
        <v>0</v>
      </c>
      <c r="AR58" s="238">
        <f t="shared" si="20"/>
        <v>0</v>
      </c>
      <c r="AS58" s="239">
        <v>0</v>
      </c>
      <c r="AT58" s="238">
        <f t="shared" si="21"/>
        <v>0</v>
      </c>
      <c r="AU58" s="239">
        <v>0</v>
      </c>
      <c r="AV58" s="238">
        <f t="shared" si="22"/>
        <v>0</v>
      </c>
      <c r="AW58" s="239">
        <v>0</v>
      </c>
      <c r="AX58" s="238">
        <f t="shared" si="23"/>
        <v>0</v>
      </c>
      <c r="AY58" s="239">
        <v>22434.32</v>
      </c>
      <c r="AZ58" s="238">
        <f t="shared" si="24"/>
        <v>325297.64000000001</v>
      </c>
      <c r="BA58" s="239">
        <v>0</v>
      </c>
      <c r="BB58" s="238">
        <f t="shared" si="25"/>
        <v>0</v>
      </c>
      <c r="BC58" s="239">
        <v>0</v>
      </c>
      <c r="BD58" s="238">
        <f t="shared" si="26"/>
        <v>0</v>
      </c>
      <c r="BE58" s="239">
        <v>0</v>
      </c>
      <c r="BF58" s="238">
        <f t="shared" si="27"/>
        <v>0</v>
      </c>
      <c r="BG58" s="239">
        <v>0</v>
      </c>
      <c r="BH58" s="238">
        <f t="shared" si="28"/>
        <v>0</v>
      </c>
      <c r="BI58" s="239">
        <v>0</v>
      </c>
      <c r="BJ58" s="238">
        <f t="shared" si="29"/>
        <v>0</v>
      </c>
      <c r="BK58" s="239">
        <v>0</v>
      </c>
      <c r="BL58" s="238">
        <f t="shared" si="30"/>
        <v>0</v>
      </c>
      <c r="BM58" s="239">
        <v>0</v>
      </c>
      <c r="BN58" s="238">
        <f t="shared" si="31"/>
        <v>0</v>
      </c>
      <c r="BO58" s="239">
        <v>0</v>
      </c>
      <c r="BP58" s="238">
        <f t="shared" si="32"/>
        <v>0</v>
      </c>
      <c r="BQ58" s="239">
        <v>0</v>
      </c>
      <c r="BR58" s="238">
        <f t="shared" si="33"/>
        <v>0</v>
      </c>
      <c r="BS58" s="225"/>
      <c r="BT58" s="239">
        <f t="shared" si="38"/>
        <v>72343</v>
      </c>
      <c r="BU58" s="238">
        <f t="shared" si="39"/>
        <v>1048973.5</v>
      </c>
    </row>
    <row r="59" spans="1:73" ht="14.25">
      <c r="A59" s="241">
        <v>2008</v>
      </c>
      <c r="B59" s="240">
        <f t="shared" si="37"/>
        <v>13.5</v>
      </c>
      <c r="C59" s="239">
        <v>0</v>
      </c>
      <c r="D59" s="238">
        <f t="shared" si="0"/>
        <v>0</v>
      </c>
      <c r="E59" s="239">
        <v>0</v>
      </c>
      <c r="F59" s="238">
        <f t="shared" si="1"/>
        <v>0</v>
      </c>
      <c r="G59" s="239">
        <v>2151.9099999999999</v>
      </c>
      <c r="H59" s="238">
        <f t="shared" si="2"/>
        <v>29050.784999999996</v>
      </c>
      <c r="I59" s="239">
        <v>0</v>
      </c>
      <c r="J59" s="238">
        <f t="shared" si="3"/>
        <v>0</v>
      </c>
      <c r="K59" s="239">
        <v>0</v>
      </c>
      <c r="L59" s="238">
        <f t="shared" si="4"/>
        <v>0</v>
      </c>
      <c r="M59" s="239">
        <v>0</v>
      </c>
      <c r="N59" s="238">
        <f t="shared" si="5"/>
        <v>0</v>
      </c>
      <c r="O59" s="239">
        <v>0</v>
      </c>
      <c r="P59" s="238">
        <f t="shared" si="6"/>
        <v>0</v>
      </c>
      <c r="Q59" s="239">
        <v>12885.299999999999</v>
      </c>
      <c r="R59" s="238">
        <f t="shared" si="7"/>
        <v>173951.54999999999</v>
      </c>
      <c r="S59" s="239">
        <v>0</v>
      </c>
      <c r="T59" s="238">
        <f t="shared" si="8"/>
        <v>0</v>
      </c>
      <c r="U59" s="239">
        <v>0</v>
      </c>
      <c r="V59" s="238">
        <f t="shared" si="9"/>
        <v>0</v>
      </c>
      <c r="W59" s="239">
        <v>7453.2799999999997</v>
      </c>
      <c r="X59" s="238">
        <f t="shared" si="10"/>
        <v>100619.28</v>
      </c>
      <c r="Y59" s="239">
        <v>0</v>
      </c>
      <c r="Z59" s="238">
        <f t="shared" si="11"/>
        <v>0</v>
      </c>
      <c r="AA59" s="239">
        <v>0</v>
      </c>
      <c r="AB59" s="238">
        <f t="shared" si="12"/>
        <v>0</v>
      </c>
      <c r="AC59" s="239">
        <v>0</v>
      </c>
      <c r="AD59" s="238">
        <f t="shared" si="13"/>
        <v>0</v>
      </c>
      <c r="AE59" s="239">
        <v>0</v>
      </c>
      <c r="AF59" s="238">
        <f t="shared" si="14"/>
        <v>0</v>
      </c>
      <c r="AG59" s="239">
        <v>0</v>
      </c>
      <c r="AH59" s="238">
        <f t="shared" si="15"/>
        <v>0</v>
      </c>
      <c r="AI59" s="239">
        <v>0</v>
      </c>
      <c r="AJ59" s="238">
        <f t="shared" si="16"/>
        <v>0</v>
      </c>
      <c r="AK59" s="239">
        <v>0</v>
      </c>
      <c r="AL59" s="238">
        <f t="shared" si="17"/>
        <v>0</v>
      </c>
      <c r="AM59" s="239">
        <v>0</v>
      </c>
      <c r="AN59" s="238">
        <f t="shared" si="18"/>
        <v>0</v>
      </c>
      <c r="AO59" s="239">
        <v>0</v>
      </c>
      <c r="AP59" s="238">
        <f t="shared" si="19"/>
        <v>0</v>
      </c>
      <c r="AQ59" s="239">
        <v>0</v>
      </c>
      <c r="AR59" s="238">
        <f t="shared" si="20"/>
        <v>0</v>
      </c>
      <c r="AS59" s="239">
        <v>0</v>
      </c>
      <c r="AT59" s="238">
        <f t="shared" si="21"/>
        <v>0</v>
      </c>
      <c r="AU59" s="239">
        <v>0</v>
      </c>
      <c r="AV59" s="238">
        <f t="shared" si="22"/>
        <v>0</v>
      </c>
      <c r="AW59" s="239">
        <v>0</v>
      </c>
      <c r="AX59" s="238">
        <f t="shared" si="23"/>
        <v>0</v>
      </c>
      <c r="AY59" s="239">
        <v>27210.18</v>
      </c>
      <c r="AZ59" s="238">
        <f t="shared" si="24"/>
        <v>367337.42999999999</v>
      </c>
      <c r="BA59" s="239">
        <v>0</v>
      </c>
      <c r="BB59" s="238">
        <f t="shared" si="25"/>
        <v>0</v>
      </c>
      <c r="BC59" s="239">
        <v>0</v>
      </c>
      <c r="BD59" s="238">
        <f t="shared" si="26"/>
        <v>0</v>
      </c>
      <c r="BE59" s="239">
        <v>0</v>
      </c>
      <c r="BF59" s="238">
        <f t="shared" si="27"/>
        <v>0</v>
      </c>
      <c r="BG59" s="239">
        <v>0</v>
      </c>
      <c r="BH59" s="238">
        <f t="shared" si="28"/>
        <v>0</v>
      </c>
      <c r="BI59" s="239">
        <v>0</v>
      </c>
      <c r="BJ59" s="238">
        <f t="shared" si="29"/>
        <v>0</v>
      </c>
      <c r="BK59" s="239">
        <v>0</v>
      </c>
      <c r="BL59" s="238">
        <f t="shared" si="30"/>
        <v>0</v>
      </c>
      <c r="BM59" s="239">
        <v>90946.139999999999</v>
      </c>
      <c r="BN59" s="238">
        <f t="shared" si="31"/>
        <v>1227772.8899999999</v>
      </c>
      <c r="BO59" s="239">
        <v>0</v>
      </c>
      <c r="BP59" s="238">
        <f t="shared" si="32"/>
        <v>0</v>
      </c>
      <c r="BQ59" s="239">
        <v>0</v>
      </c>
      <c r="BR59" s="238">
        <f t="shared" si="33"/>
        <v>0</v>
      </c>
      <c r="BS59" s="225"/>
      <c r="BT59" s="239">
        <f t="shared" si="38"/>
        <v>140647</v>
      </c>
      <c r="BU59" s="238">
        <f t="shared" si="39"/>
        <v>1898734.5</v>
      </c>
    </row>
    <row r="60" spans="1:73" ht="14.25">
      <c r="A60" s="241">
        <v>2009</v>
      </c>
      <c r="B60" s="240">
        <f t="shared" si="37"/>
        <v>12.5</v>
      </c>
      <c r="C60" s="239">
        <v>0</v>
      </c>
      <c r="D60" s="238">
        <f t="shared" si="0"/>
        <v>0</v>
      </c>
      <c r="E60" s="239">
        <v>0</v>
      </c>
      <c r="F60" s="238">
        <f t="shared" si="1"/>
        <v>0</v>
      </c>
      <c r="G60" s="239">
        <v>0</v>
      </c>
      <c r="H60" s="238">
        <f t="shared" si="2"/>
        <v>0</v>
      </c>
      <c r="I60" s="239">
        <v>0</v>
      </c>
      <c r="J60" s="238">
        <f t="shared" si="3"/>
        <v>0</v>
      </c>
      <c r="K60" s="239">
        <v>0</v>
      </c>
      <c r="L60" s="238">
        <f t="shared" si="4"/>
        <v>0</v>
      </c>
      <c r="M60" s="239">
        <v>0</v>
      </c>
      <c r="N60" s="238">
        <f t="shared" si="5"/>
        <v>0</v>
      </c>
      <c r="O60" s="239">
        <v>0</v>
      </c>
      <c r="P60" s="238">
        <f t="shared" si="6"/>
        <v>0</v>
      </c>
      <c r="Q60" s="239">
        <v>7931.3299999999999</v>
      </c>
      <c r="R60" s="238">
        <f t="shared" si="7"/>
        <v>99141.625</v>
      </c>
      <c r="S60" s="239">
        <v>0</v>
      </c>
      <c r="T60" s="238">
        <f t="shared" si="8"/>
        <v>0</v>
      </c>
      <c r="U60" s="239">
        <v>0</v>
      </c>
      <c r="V60" s="238">
        <f t="shared" si="9"/>
        <v>0</v>
      </c>
      <c r="W60" s="239">
        <v>11051.98</v>
      </c>
      <c r="X60" s="238">
        <f t="shared" si="10"/>
        <v>138149.75</v>
      </c>
      <c r="Y60" s="239">
        <v>0</v>
      </c>
      <c r="Z60" s="238">
        <f t="shared" si="11"/>
        <v>0</v>
      </c>
      <c r="AA60" s="239">
        <v>0</v>
      </c>
      <c r="AB60" s="238">
        <f t="shared" si="12"/>
        <v>0</v>
      </c>
      <c r="AC60" s="239">
        <v>0</v>
      </c>
      <c r="AD60" s="238">
        <f t="shared" si="13"/>
        <v>0</v>
      </c>
      <c r="AE60" s="239">
        <v>0</v>
      </c>
      <c r="AF60" s="238">
        <f t="shared" si="14"/>
        <v>0</v>
      </c>
      <c r="AG60" s="239">
        <v>0</v>
      </c>
      <c r="AH60" s="238">
        <f t="shared" si="15"/>
        <v>0</v>
      </c>
      <c r="AI60" s="239">
        <v>0</v>
      </c>
      <c r="AJ60" s="238">
        <f t="shared" si="16"/>
        <v>0</v>
      </c>
      <c r="AK60" s="239">
        <v>0</v>
      </c>
      <c r="AL60" s="238">
        <f t="shared" si="17"/>
        <v>0</v>
      </c>
      <c r="AM60" s="239">
        <v>0</v>
      </c>
      <c r="AN60" s="238">
        <f t="shared" si="18"/>
        <v>0</v>
      </c>
      <c r="AO60" s="239">
        <v>0</v>
      </c>
      <c r="AP60" s="238">
        <f t="shared" si="19"/>
        <v>0</v>
      </c>
      <c r="AQ60" s="239">
        <v>0</v>
      </c>
      <c r="AR60" s="238">
        <f t="shared" si="20"/>
        <v>0</v>
      </c>
      <c r="AS60" s="239">
        <v>0</v>
      </c>
      <c r="AT60" s="238">
        <f t="shared" si="21"/>
        <v>0</v>
      </c>
      <c r="AU60" s="239">
        <v>0</v>
      </c>
      <c r="AV60" s="238">
        <f t="shared" si="22"/>
        <v>0</v>
      </c>
      <c r="AW60" s="239">
        <v>0</v>
      </c>
      <c r="AX60" s="238">
        <f t="shared" si="23"/>
        <v>0</v>
      </c>
      <c r="AY60" s="239">
        <v>0</v>
      </c>
      <c r="AZ60" s="238">
        <f t="shared" si="24"/>
        <v>0</v>
      </c>
      <c r="BA60" s="239">
        <v>0</v>
      </c>
      <c r="BB60" s="238">
        <f t="shared" si="25"/>
        <v>0</v>
      </c>
      <c r="BC60" s="239">
        <v>0</v>
      </c>
      <c r="BD60" s="238">
        <f t="shared" si="26"/>
        <v>0</v>
      </c>
      <c r="BE60" s="239">
        <v>0</v>
      </c>
      <c r="BF60" s="238">
        <f t="shared" si="27"/>
        <v>0</v>
      </c>
      <c r="BG60" s="239">
        <v>0</v>
      </c>
      <c r="BH60" s="238">
        <f t="shared" si="28"/>
        <v>0</v>
      </c>
      <c r="BI60" s="239">
        <v>0</v>
      </c>
      <c r="BJ60" s="238">
        <f t="shared" si="29"/>
        <v>0</v>
      </c>
      <c r="BK60" s="239">
        <v>60902.389999999999</v>
      </c>
      <c r="BL60" s="238">
        <f t="shared" si="30"/>
        <v>761279.875</v>
      </c>
      <c r="BM60" s="239">
        <v>0</v>
      </c>
      <c r="BN60" s="238">
        <f t="shared" si="31"/>
        <v>0</v>
      </c>
      <c r="BO60" s="239">
        <v>0</v>
      </c>
      <c r="BP60" s="238">
        <f t="shared" si="32"/>
        <v>0</v>
      </c>
      <c r="BQ60" s="239">
        <v>0</v>
      </c>
      <c r="BR60" s="238">
        <f t="shared" si="33"/>
        <v>0</v>
      </c>
      <c r="BS60" s="225"/>
      <c r="BT60" s="239">
        <f t="shared" si="38"/>
        <v>79886</v>
      </c>
      <c r="BU60" s="238">
        <f t="shared" si="39"/>
        <v>998575</v>
      </c>
    </row>
    <row r="61" spans="1:73" ht="14.25">
      <c r="A61" s="241">
        <v>2010</v>
      </c>
      <c r="B61" s="240">
        <f t="shared" si="37"/>
        <v>11.5</v>
      </c>
      <c r="C61" s="239">
        <v>0</v>
      </c>
      <c r="D61" s="238">
        <f t="shared" si="0"/>
        <v>0</v>
      </c>
      <c r="E61" s="239">
        <v>0</v>
      </c>
      <c r="F61" s="238">
        <f t="shared" si="1"/>
        <v>0</v>
      </c>
      <c r="G61" s="239">
        <v>0</v>
      </c>
      <c r="H61" s="238">
        <f t="shared" si="2"/>
        <v>0</v>
      </c>
      <c r="I61" s="239">
        <v>18127.200000000001</v>
      </c>
      <c r="J61" s="238">
        <f t="shared" si="3"/>
        <v>208462.80000000002</v>
      </c>
      <c r="K61" s="239">
        <v>0</v>
      </c>
      <c r="L61" s="238">
        <f t="shared" si="4"/>
        <v>0</v>
      </c>
      <c r="M61" s="239">
        <v>0</v>
      </c>
      <c r="N61" s="238">
        <f t="shared" si="5"/>
        <v>0</v>
      </c>
      <c r="O61" s="239">
        <v>0</v>
      </c>
      <c r="P61" s="238">
        <f t="shared" si="6"/>
        <v>0</v>
      </c>
      <c r="Q61" s="239">
        <v>29091.700000000001</v>
      </c>
      <c r="R61" s="238">
        <f t="shared" si="7"/>
        <v>334554.54999999999</v>
      </c>
      <c r="S61" s="239">
        <v>0</v>
      </c>
      <c r="T61" s="238">
        <f t="shared" si="8"/>
        <v>0</v>
      </c>
      <c r="U61" s="239">
        <v>0</v>
      </c>
      <c r="V61" s="238">
        <f t="shared" si="9"/>
        <v>0</v>
      </c>
      <c r="W61" s="239">
        <v>2247.3000000000002</v>
      </c>
      <c r="X61" s="238">
        <f t="shared" si="10"/>
        <v>25843.950000000001</v>
      </c>
      <c r="Y61" s="239">
        <v>0</v>
      </c>
      <c r="Z61" s="238">
        <f t="shared" si="11"/>
        <v>0</v>
      </c>
      <c r="AA61" s="239">
        <v>0</v>
      </c>
      <c r="AB61" s="238">
        <f t="shared" si="12"/>
        <v>0</v>
      </c>
      <c r="AC61" s="239">
        <v>0</v>
      </c>
      <c r="AD61" s="238">
        <f t="shared" si="13"/>
        <v>0</v>
      </c>
      <c r="AE61" s="239">
        <v>0</v>
      </c>
      <c r="AF61" s="238">
        <f t="shared" si="14"/>
        <v>0</v>
      </c>
      <c r="AG61" s="239">
        <v>0</v>
      </c>
      <c r="AH61" s="238">
        <f t="shared" si="15"/>
        <v>0</v>
      </c>
      <c r="AI61" s="239">
        <v>0</v>
      </c>
      <c r="AJ61" s="238">
        <f t="shared" si="16"/>
        <v>0</v>
      </c>
      <c r="AK61" s="239">
        <v>0</v>
      </c>
      <c r="AL61" s="238">
        <f t="shared" si="17"/>
        <v>0</v>
      </c>
      <c r="AM61" s="239">
        <v>0</v>
      </c>
      <c r="AN61" s="238">
        <f t="shared" si="18"/>
        <v>0</v>
      </c>
      <c r="AO61" s="239">
        <v>0</v>
      </c>
      <c r="AP61" s="238">
        <f t="shared" si="19"/>
        <v>0</v>
      </c>
      <c r="AQ61" s="239">
        <v>0</v>
      </c>
      <c r="AR61" s="238">
        <f t="shared" si="20"/>
        <v>0</v>
      </c>
      <c r="AS61" s="239">
        <v>0</v>
      </c>
      <c r="AT61" s="238">
        <f t="shared" si="21"/>
        <v>0</v>
      </c>
      <c r="AU61" s="239">
        <v>0</v>
      </c>
      <c r="AV61" s="238">
        <f t="shared" si="22"/>
        <v>0</v>
      </c>
      <c r="AW61" s="239">
        <v>0</v>
      </c>
      <c r="AX61" s="238">
        <f t="shared" si="23"/>
        <v>0</v>
      </c>
      <c r="AY61" s="239">
        <v>56478.809999999998</v>
      </c>
      <c r="AZ61" s="238">
        <f t="shared" si="24"/>
        <v>649506.31499999994</v>
      </c>
      <c r="BA61" s="239">
        <v>0</v>
      </c>
      <c r="BB61" s="238">
        <f t="shared" si="25"/>
        <v>0</v>
      </c>
      <c r="BC61" s="239">
        <v>0</v>
      </c>
      <c r="BD61" s="238">
        <f t="shared" si="26"/>
        <v>0</v>
      </c>
      <c r="BE61" s="239">
        <v>0</v>
      </c>
      <c r="BF61" s="238">
        <f t="shared" si="27"/>
        <v>0</v>
      </c>
      <c r="BG61" s="239">
        <v>0</v>
      </c>
      <c r="BH61" s="238">
        <f t="shared" si="28"/>
        <v>0</v>
      </c>
      <c r="BI61" s="239">
        <v>0</v>
      </c>
      <c r="BJ61" s="238">
        <f t="shared" si="29"/>
        <v>0</v>
      </c>
      <c r="BK61" s="239">
        <v>0</v>
      </c>
      <c r="BL61" s="238">
        <f t="shared" si="30"/>
        <v>0</v>
      </c>
      <c r="BM61" s="239">
        <v>0</v>
      </c>
      <c r="BN61" s="238">
        <f t="shared" si="31"/>
        <v>0</v>
      </c>
      <c r="BO61" s="239">
        <v>0</v>
      </c>
      <c r="BP61" s="238">
        <f t="shared" si="32"/>
        <v>0</v>
      </c>
      <c r="BQ61" s="239">
        <v>0</v>
      </c>
      <c r="BR61" s="238">
        <f t="shared" si="33"/>
        <v>0</v>
      </c>
      <c r="BS61" s="225"/>
      <c r="BT61" s="239">
        <f t="shared" si="38"/>
        <v>105945</v>
      </c>
      <c r="BU61" s="238">
        <f t="shared" si="39"/>
        <v>1218367.5</v>
      </c>
    </row>
    <row r="62" spans="1:73" ht="14.25">
      <c r="A62" s="241">
        <v>2011</v>
      </c>
      <c r="B62" s="240">
        <f t="shared" si="37"/>
        <v>10.5</v>
      </c>
      <c r="C62" s="239">
        <v>0</v>
      </c>
      <c r="D62" s="238">
        <f t="shared" si="0"/>
        <v>0</v>
      </c>
      <c r="E62" s="239">
        <v>0</v>
      </c>
      <c r="F62" s="238">
        <f t="shared" si="1"/>
        <v>0</v>
      </c>
      <c r="G62" s="239">
        <v>0</v>
      </c>
      <c r="H62" s="238">
        <f t="shared" si="2"/>
        <v>0</v>
      </c>
      <c r="I62" s="239">
        <v>0</v>
      </c>
      <c r="J62" s="238">
        <f t="shared" si="3"/>
        <v>0</v>
      </c>
      <c r="K62" s="239">
        <v>0</v>
      </c>
      <c r="L62" s="238">
        <f t="shared" si="4"/>
        <v>0</v>
      </c>
      <c r="M62" s="239">
        <v>0</v>
      </c>
      <c r="N62" s="238">
        <f t="shared" si="5"/>
        <v>0</v>
      </c>
      <c r="O62" s="239">
        <v>0</v>
      </c>
      <c r="P62" s="238">
        <f t="shared" si="6"/>
        <v>0</v>
      </c>
      <c r="Q62" s="239">
        <v>30208.43</v>
      </c>
      <c r="R62" s="238">
        <f t="shared" si="7"/>
        <v>317188.51500000001</v>
      </c>
      <c r="S62" s="239">
        <v>0</v>
      </c>
      <c r="T62" s="238">
        <f t="shared" si="8"/>
        <v>0</v>
      </c>
      <c r="U62" s="239">
        <v>0</v>
      </c>
      <c r="V62" s="238">
        <f t="shared" si="9"/>
        <v>0</v>
      </c>
      <c r="W62" s="239">
        <v>7167.0900000000001</v>
      </c>
      <c r="X62" s="238">
        <f t="shared" si="10"/>
        <v>75254.445000000007</v>
      </c>
      <c r="Y62" s="239">
        <v>0</v>
      </c>
      <c r="Z62" s="238">
        <f t="shared" si="11"/>
        <v>0</v>
      </c>
      <c r="AA62" s="239">
        <v>0</v>
      </c>
      <c r="AB62" s="238">
        <f t="shared" si="12"/>
        <v>0</v>
      </c>
      <c r="AC62" s="239">
        <v>0</v>
      </c>
      <c r="AD62" s="238">
        <f t="shared" si="13"/>
        <v>0</v>
      </c>
      <c r="AE62" s="239">
        <v>0</v>
      </c>
      <c r="AF62" s="238">
        <f t="shared" si="14"/>
        <v>0</v>
      </c>
      <c r="AG62" s="239">
        <v>0</v>
      </c>
      <c r="AH62" s="238">
        <f t="shared" si="15"/>
        <v>0</v>
      </c>
      <c r="AI62" s="239">
        <v>0</v>
      </c>
      <c r="AJ62" s="238">
        <f t="shared" si="16"/>
        <v>0</v>
      </c>
      <c r="AK62" s="239">
        <v>0</v>
      </c>
      <c r="AL62" s="238">
        <f t="shared" si="17"/>
        <v>0</v>
      </c>
      <c r="AM62" s="239">
        <v>0</v>
      </c>
      <c r="AN62" s="238">
        <f t="shared" si="18"/>
        <v>0</v>
      </c>
      <c r="AO62" s="239">
        <v>0</v>
      </c>
      <c r="AP62" s="238">
        <f t="shared" si="19"/>
        <v>0</v>
      </c>
      <c r="AQ62" s="239">
        <v>148350.79999999999</v>
      </c>
      <c r="AR62" s="238">
        <f t="shared" si="20"/>
        <v>1557683.3999999999</v>
      </c>
      <c r="AS62" s="239">
        <v>1749.8399999999999</v>
      </c>
      <c r="AT62" s="238">
        <f t="shared" si="21"/>
        <v>18373.32</v>
      </c>
      <c r="AU62" s="239">
        <v>28394.57</v>
      </c>
      <c r="AV62" s="238">
        <f t="shared" si="22"/>
        <v>298142.98499999999</v>
      </c>
      <c r="AW62" s="239">
        <v>0</v>
      </c>
      <c r="AX62" s="238">
        <f t="shared" si="23"/>
        <v>0</v>
      </c>
      <c r="AY62" s="239">
        <v>34329.529999999999</v>
      </c>
      <c r="AZ62" s="238">
        <f t="shared" si="24"/>
        <v>360460.065</v>
      </c>
      <c r="BA62" s="239">
        <v>0</v>
      </c>
      <c r="BB62" s="238">
        <f t="shared" si="25"/>
        <v>0</v>
      </c>
      <c r="BC62" s="239">
        <v>0</v>
      </c>
      <c r="BD62" s="238">
        <f t="shared" si="26"/>
        <v>0</v>
      </c>
      <c r="BE62" s="239">
        <v>0</v>
      </c>
      <c r="BF62" s="238">
        <f t="shared" si="27"/>
        <v>0</v>
      </c>
      <c r="BG62" s="239">
        <v>0</v>
      </c>
      <c r="BH62" s="238">
        <f t="shared" si="28"/>
        <v>0</v>
      </c>
      <c r="BI62" s="239">
        <v>0</v>
      </c>
      <c r="BJ62" s="238">
        <f t="shared" si="29"/>
        <v>0</v>
      </c>
      <c r="BK62" s="239">
        <v>0</v>
      </c>
      <c r="BL62" s="238">
        <f t="shared" si="30"/>
        <v>0</v>
      </c>
      <c r="BM62" s="239">
        <v>0</v>
      </c>
      <c r="BN62" s="238">
        <f t="shared" si="31"/>
        <v>0</v>
      </c>
      <c r="BO62" s="239">
        <v>0</v>
      </c>
      <c r="BP62" s="238">
        <f t="shared" si="32"/>
        <v>0</v>
      </c>
      <c r="BQ62" s="239">
        <v>0</v>
      </c>
      <c r="BR62" s="238">
        <f t="shared" si="33"/>
        <v>0</v>
      </c>
      <c r="BS62" s="225"/>
      <c r="BT62" s="239">
        <f t="shared" si="38"/>
        <v>250200</v>
      </c>
      <c r="BU62" s="238">
        <f t="shared" si="39"/>
        <v>2627100</v>
      </c>
    </row>
    <row r="63" spans="1:73" ht="14.25">
      <c r="A63" s="241">
        <v>2012</v>
      </c>
      <c r="B63" s="240">
        <f t="shared" si="37"/>
        <v>9.5</v>
      </c>
      <c r="C63" s="239">
        <v>0</v>
      </c>
      <c r="D63" s="238">
        <f t="shared" si="0"/>
        <v>0</v>
      </c>
      <c r="E63" s="239">
        <v>0</v>
      </c>
      <c r="F63" s="238">
        <f t="shared" si="1"/>
        <v>0</v>
      </c>
      <c r="G63" s="239">
        <v>0</v>
      </c>
      <c r="H63" s="238">
        <f t="shared" si="2"/>
        <v>0</v>
      </c>
      <c r="I63" s="239">
        <v>0</v>
      </c>
      <c r="J63" s="238">
        <f t="shared" si="3"/>
        <v>0</v>
      </c>
      <c r="K63" s="239">
        <v>0</v>
      </c>
      <c r="L63" s="238">
        <f t="shared" si="4"/>
        <v>0</v>
      </c>
      <c r="M63" s="239">
        <v>0</v>
      </c>
      <c r="N63" s="238">
        <f t="shared" si="5"/>
        <v>0</v>
      </c>
      <c r="O63" s="239">
        <v>0</v>
      </c>
      <c r="P63" s="238">
        <f t="shared" si="6"/>
        <v>0</v>
      </c>
      <c r="Q63" s="239">
        <v>20736.630000000001</v>
      </c>
      <c r="R63" s="238">
        <f t="shared" si="7"/>
        <v>196997.98500000002</v>
      </c>
      <c r="S63" s="239">
        <v>0</v>
      </c>
      <c r="T63" s="238">
        <f t="shared" si="8"/>
        <v>0</v>
      </c>
      <c r="U63" s="239">
        <v>0</v>
      </c>
      <c r="V63" s="238">
        <f t="shared" si="9"/>
        <v>0</v>
      </c>
      <c r="W63" s="239">
        <v>563.29999999999995</v>
      </c>
      <c r="X63" s="238">
        <f t="shared" si="10"/>
        <v>5351.3499999999995</v>
      </c>
      <c r="Y63" s="239">
        <v>0</v>
      </c>
      <c r="Z63" s="238">
        <f t="shared" si="11"/>
        <v>0</v>
      </c>
      <c r="AA63" s="239">
        <v>0</v>
      </c>
      <c r="AB63" s="238">
        <f t="shared" si="12"/>
        <v>0</v>
      </c>
      <c r="AC63" s="239">
        <v>0</v>
      </c>
      <c r="AD63" s="238">
        <f t="shared" si="13"/>
        <v>0</v>
      </c>
      <c r="AE63" s="239">
        <v>0</v>
      </c>
      <c r="AF63" s="238">
        <f t="shared" si="14"/>
        <v>0</v>
      </c>
      <c r="AG63" s="239">
        <v>0</v>
      </c>
      <c r="AH63" s="238">
        <f t="shared" si="15"/>
        <v>0</v>
      </c>
      <c r="AI63" s="239">
        <v>0</v>
      </c>
      <c r="AJ63" s="238">
        <f t="shared" si="16"/>
        <v>0</v>
      </c>
      <c r="AK63" s="239">
        <v>0</v>
      </c>
      <c r="AL63" s="238">
        <f t="shared" si="17"/>
        <v>0</v>
      </c>
      <c r="AM63" s="239">
        <v>0</v>
      </c>
      <c r="AN63" s="238">
        <f t="shared" si="18"/>
        <v>0</v>
      </c>
      <c r="AO63" s="239">
        <v>0</v>
      </c>
      <c r="AP63" s="238">
        <f t="shared" si="19"/>
        <v>0</v>
      </c>
      <c r="AQ63" s="239">
        <v>0</v>
      </c>
      <c r="AR63" s="238">
        <f t="shared" si="20"/>
        <v>0</v>
      </c>
      <c r="AS63" s="239">
        <v>0</v>
      </c>
      <c r="AT63" s="238">
        <f t="shared" si="21"/>
        <v>0</v>
      </c>
      <c r="AU63" s="239">
        <v>0</v>
      </c>
      <c r="AV63" s="238">
        <f t="shared" si="22"/>
        <v>0</v>
      </c>
      <c r="AW63" s="239">
        <v>0</v>
      </c>
      <c r="AX63" s="238">
        <f t="shared" si="23"/>
        <v>0</v>
      </c>
      <c r="AY63" s="239">
        <v>35525.559999999998</v>
      </c>
      <c r="AZ63" s="238">
        <f t="shared" si="24"/>
        <v>337492.81999999995</v>
      </c>
      <c r="BA63" s="239">
        <v>0</v>
      </c>
      <c r="BB63" s="238">
        <f t="shared" si="25"/>
        <v>0</v>
      </c>
      <c r="BC63" s="239">
        <v>0</v>
      </c>
      <c r="BD63" s="238">
        <f t="shared" si="26"/>
        <v>0</v>
      </c>
      <c r="BE63" s="239">
        <v>0</v>
      </c>
      <c r="BF63" s="238">
        <f t="shared" si="27"/>
        <v>0</v>
      </c>
      <c r="BG63" s="239">
        <v>0</v>
      </c>
      <c r="BH63" s="238">
        <f t="shared" si="28"/>
        <v>0</v>
      </c>
      <c r="BI63" s="239">
        <v>0</v>
      </c>
      <c r="BJ63" s="238">
        <f t="shared" si="29"/>
        <v>0</v>
      </c>
      <c r="BK63" s="239">
        <v>0</v>
      </c>
      <c r="BL63" s="238">
        <f t="shared" si="30"/>
        <v>0</v>
      </c>
      <c r="BM63" s="239">
        <v>0</v>
      </c>
      <c r="BN63" s="238">
        <f t="shared" si="31"/>
        <v>0</v>
      </c>
      <c r="BO63" s="239">
        <v>0</v>
      </c>
      <c r="BP63" s="238">
        <f t="shared" si="32"/>
        <v>0</v>
      </c>
      <c r="BQ63" s="239">
        <v>0</v>
      </c>
      <c r="BR63" s="238">
        <f t="shared" si="33"/>
        <v>0</v>
      </c>
      <c r="BS63" s="225"/>
      <c r="BT63" s="239">
        <f t="shared" si="38"/>
        <v>56825</v>
      </c>
      <c r="BU63" s="238">
        <f t="shared" si="39"/>
        <v>539837.5</v>
      </c>
    </row>
    <row r="64" spans="1:73" ht="14.25">
      <c r="A64" s="241">
        <v>2013</v>
      </c>
      <c r="B64" s="240">
        <f t="shared" si="37"/>
        <v>8.5</v>
      </c>
      <c r="C64" s="239">
        <v>0</v>
      </c>
      <c r="D64" s="238">
        <f t="shared" si="0"/>
        <v>0</v>
      </c>
      <c r="E64" s="239">
        <v>0</v>
      </c>
      <c r="F64" s="238">
        <f t="shared" si="1"/>
        <v>0</v>
      </c>
      <c r="G64" s="239">
        <v>0</v>
      </c>
      <c r="H64" s="238">
        <f t="shared" si="2"/>
        <v>0</v>
      </c>
      <c r="I64" s="239">
        <v>0</v>
      </c>
      <c r="J64" s="238">
        <f t="shared" si="3"/>
        <v>0</v>
      </c>
      <c r="K64" s="239">
        <v>0</v>
      </c>
      <c r="L64" s="238">
        <f t="shared" si="4"/>
        <v>0</v>
      </c>
      <c r="M64" s="239">
        <v>0</v>
      </c>
      <c r="N64" s="238">
        <f t="shared" si="5"/>
        <v>0</v>
      </c>
      <c r="O64" s="239">
        <v>0</v>
      </c>
      <c r="P64" s="238">
        <f t="shared" si="6"/>
        <v>0</v>
      </c>
      <c r="Q64" s="239">
        <v>44272.480000000003</v>
      </c>
      <c r="R64" s="238">
        <f t="shared" si="7"/>
        <v>376316.08000000002</v>
      </c>
      <c r="S64" s="239">
        <v>0</v>
      </c>
      <c r="T64" s="238">
        <f t="shared" si="8"/>
        <v>0</v>
      </c>
      <c r="U64" s="239">
        <v>0</v>
      </c>
      <c r="V64" s="238">
        <f t="shared" si="9"/>
        <v>0</v>
      </c>
      <c r="W64" s="239">
        <v>10604.32</v>
      </c>
      <c r="X64" s="238">
        <f t="shared" si="10"/>
        <v>90136.720000000001</v>
      </c>
      <c r="Y64" s="239">
        <v>0</v>
      </c>
      <c r="Z64" s="238">
        <f t="shared" si="11"/>
        <v>0</v>
      </c>
      <c r="AA64" s="239">
        <v>0</v>
      </c>
      <c r="AB64" s="238">
        <f t="shared" si="12"/>
        <v>0</v>
      </c>
      <c r="AC64" s="239">
        <v>0</v>
      </c>
      <c r="AD64" s="238">
        <f t="shared" si="13"/>
        <v>0</v>
      </c>
      <c r="AE64" s="239">
        <v>0</v>
      </c>
      <c r="AF64" s="238">
        <f t="shared" si="14"/>
        <v>0</v>
      </c>
      <c r="AG64" s="239">
        <v>0</v>
      </c>
      <c r="AH64" s="238">
        <f t="shared" si="15"/>
        <v>0</v>
      </c>
      <c r="AI64" s="239">
        <v>0</v>
      </c>
      <c r="AJ64" s="238">
        <f t="shared" si="16"/>
        <v>0</v>
      </c>
      <c r="AK64" s="239">
        <v>0</v>
      </c>
      <c r="AL64" s="238">
        <f t="shared" si="17"/>
        <v>0</v>
      </c>
      <c r="AM64" s="239">
        <v>0</v>
      </c>
      <c r="AN64" s="238">
        <f t="shared" si="18"/>
        <v>0</v>
      </c>
      <c r="AO64" s="239">
        <v>0</v>
      </c>
      <c r="AP64" s="238">
        <f t="shared" si="19"/>
        <v>0</v>
      </c>
      <c r="AQ64" s="239">
        <v>0</v>
      </c>
      <c r="AR64" s="238">
        <f t="shared" si="20"/>
        <v>0</v>
      </c>
      <c r="AS64" s="239">
        <v>0</v>
      </c>
      <c r="AT64" s="238">
        <f t="shared" si="21"/>
        <v>0</v>
      </c>
      <c r="AU64" s="239">
        <v>0</v>
      </c>
      <c r="AV64" s="238">
        <f t="shared" si="22"/>
        <v>0</v>
      </c>
      <c r="AW64" s="239">
        <v>0</v>
      </c>
      <c r="AX64" s="238">
        <f t="shared" si="23"/>
        <v>0</v>
      </c>
      <c r="AY64" s="239">
        <v>76310.220000000001</v>
      </c>
      <c r="AZ64" s="238">
        <f t="shared" si="24"/>
        <v>648636.87</v>
      </c>
      <c r="BA64" s="239">
        <v>0</v>
      </c>
      <c r="BB64" s="238">
        <f t="shared" si="25"/>
        <v>0</v>
      </c>
      <c r="BC64" s="239">
        <v>0</v>
      </c>
      <c r="BD64" s="238">
        <f t="shared" si="26"/>
        <v>0</v>
      </c>
      <c r="BE64" s="239">
        <v>0</v>
      </c>
      <c r="BF64" s="238">
        <f t="shared" si="27"/>
        <v>0</v>
      </c>
      <c r="BG64" s="239">
        <v>0</v>
      </c>
      <c r="BH64" s="238">
        <f t="shared" si="28"/>
        <v>0</v>
      </c>
      <c r="BI64" s="239">
        <v>0</v>
      </c>
      <c r="BJ64" s="238">
        <f t="shared" si="29"/>
        <v>0</v>
      </c>
      <c r="BK64" s="239">
        <v>0</v>
      </c>
      <c r="BL64" s="238">
        <f t="shared" si="30"/>
        <v>0</v>
      </c>
      <c r="BM64" s="239">
        <v>0</v>
      </c>
      <c r="BN64" s="238">
        <f t="shared" si="31"/>
        <v>0</v>
      </c>
      <c r="BO64" s="239">
        <v>0</v>
      </c>
      <c r="BP64" s="238">
        <f t="shared" si="32"/>
        <v>0</v>
      </c>
      <c r="BQ64" s="239">
        <v>0</v>
      </c>
      <c r="BR64" s="238">
        <f t="shared" si="33"/>
        <v>0</v>
      </c>
      <c r="BS64" s="225"/>
      <c r="BT64" s="239">
        <f t="shared" si="38"/>
        <v>131187</v>
      </c>
      <c r="BU64" s="238">
        <f t="shared" si="39"/>
        <v>1115089.5</v>
      </c>
    </row>
    <row r="65" spans="1:73" ht="14.25">
      <c r="A65" s="241">
        <v>2014</v>
      </c>
      <c r="B65" s="240">
        <f t="shared" si="37"/>
        <v>7.5</v>
      </c>
      <c r="C65" s="239">
        <v>0</v>
      </c>
      <c r="D65" s="238">
        <f t="shared" si="0"/>
        <v>0</v>
      </c>
      <c r="E65" s="239">
        <v>0</v>
      </c>
      <c r="F65" s="238">
        <f t="shared" si="1"/>
        <v>0</v>
      </c>
      <c r="G65" s="239">
        <v>0</v>
      </c>
      <c r="H65" s="238">
        <f t="shared" si="2"/>
        <v>0</v>
      </c>
      <c r="I65" s="239">
        <v>0</v>
      </c>
      <c r="J65" s="238">
        <f t="shared" si="3"/>
        <v>0</v>
      </c>
      <c r="K65" s="239">
        <v>0</v>
      </c>
      <c r="L65" s="238">
        <f t="shared" si="4"/>
        <v>0</v>
      </c>
      <c r="M65" s="239">
        <v>0</v>
      </c>
      <c r="N65" s="238">
        <f t="shared" si="5"/>
        <v>0</v>
      </c>
      <c r="O65" s="239">
        <v>0</v>
      </c>
      <c r="P65" s="238">
        <f t="shared" si="6"/>
        <v>0</v>
      </c>
      <c r="Q65" s="239">
        <v>23589.490000000002</v>
      </c>
      <c r="R65" s="238">
        <f t="shared" si="7"/>
        <v>176921.17500000002</v>
      </c>
      <c r="S65" s="239">
        <v>0</v>
      </c>
      <c r="T65" s="238">
        <f t="shared" si="8"/>
        <v>0</v>
      </c>
      <c r="U65" s="239">
        <v>0</v>
      </c>
      <c r="V65" s="238">
        <f t="shared" si="9"/>
        <v>0</v>
      </c>
      <c r="W65" s="239">
        <v>2464.5700000000002</v>
      </c>
      <c r="X65" s="238">
        <f t="shared" si="10"/>
        <v>18484.275000000001</v>
      </c>
      <c r="Y65" s="239">
        <v>0</v>
      </c>
      <c r="Z65" s="238">
        <f t="shared" si="11"/>
        <v>0</v>
      </c>
      <c r="AA65" s="239">
        <v>0</v>
      </c>
      <c r="AB65" s="238">
        <f t="shared" si="12"/>
        <v>0</v>
      </c>
      <c r="AC65" s="239">
        <v>0</v>
      </c>
      <c r="AD65" s="238">
        <f t="shared" si="13"/>
        <v>0</v>
      </c>
      <c r="AE65" s="239">
        <v>0</v>
      </c>
      <c r="AF65" s="238">
        <f t="shared" si="14"/>
        <v>0</v>
      </c>
      <c r="AG65" s="239">
        <v>0</v>
      </c>
      <c r="AH65" s="238">
        <f t="shared" si="15"/>
        <v>0</v>
      </c>
      <c r="AI65" s="239">
        <v>0</v>
      </c>
      <c r="AJ65" s="238">
        <f t="shared" si="16"/>
        <v>0</v>
      </c>
      <c r="AK65" s="239">
        <v>0</v>
      </c>
      <c r="AL65" s="238">
        <f t="shared" si="17"/>
        <v>0</v>
      </c>
      <c r="AM65" s="239">
        <v>0</v>
      </c>
      <c r="AN65" s="238">
        <f t="shared" si="18"/>
        <v>0</v>
      </c>
      <c r="AO65" s="239">
        <v>0</v>
      </c>
      <c r="AP65" s="238">
        <f t="shared" si="19"/>
        <v>0</v>
      </c>
      <c r="AQ65" s="239">
        <v>0</v>
      </c>
      <c r="AR65" s="238">
        <f t="shared" si="20"/>
        <v>0</v>
      </c>
      <c r="AS65" s="239">
        <v>0</v>
      </c>
      <c r="AT65" s="238">
        <f t="shared" si="21"/>
        <v>0</v>
      </c>
      <c r="AU65" s="239">
        <v>0</v>
      </c>
      <c r="AV65" s="238">
        <f t="shared" si="22"/>
        <v>0</v>
      </c>
      <c r="AW65" s="239">
        <v>0</v>
      </c>
      <c r="AX65" s="238">
        <f t="shared" si="23"/>
        <v>0</v>
      </c>
      <c r="AY65" s="239">
        <v>26228.84</v>
      </c>
      <c r="AZ65" s="238">
        <f t="shared" si="24"/>
        <v>196716.29999999999</v>
      </c>
      <c r="BA65" s="239">
        <v>0</v>
      </c>
      <c r="BB65" s="238">
        <f t="shared" si="25"/>
        <v>0</v>
      </c>
      <c r="BC65" s="239">
        <v>0</v>
      </c>
      <c r="BD65" s="238">
        <f t="shared" si="26"/>
        <v>0</v>
      </c>
      <c r="BE65" s="239">
        <v>0</v>
      </c>
      <c r="BF65" s="238">
        <f t="shared" si="27"/>
        <v>0</v>
      </c>
      <c r="BG65" s="239">
        <v>0</v>
      </c>
      <c r="BH65" s="238">
        <f t="shared" si="28"/>
        <v>0</v>
      </c>
      <c r="BI65" s="239">
        <v>0</v>
      </c>
      <c r="BJ65" s="238">
        <f t="shared" si="29"/>
        <v>0</v>
      </c>
      <c r="BK65" s="239">
        <v>0</v>
      </c>
      <c r="BL65" s="238">
        <f t="shared" si="30"/>
        <v>0</v>
      </c>
      <c r="BM65" s="239">
        <v>0</v>
      </c>
      <c r="BN65" s="238">
        <f t="shared" si="31"/>
        <v>0</v>
      </c>
      <c r="BO65" s="239">
        <v>0</v>
      </c>
      <c r="BP65" s="238">
        <f t="shared" si="32"/>
        <v>0</v>
      </c>
      <c r="BQ65" s="239">
        <v>0</v>
      </c>
      <c r="BR65" s="238">
        <f t="shared" si="33"/>
        <v>0</v>
      </c>
      <c r="BS65" s="225"/>
      <c r="BT65" s="239">
        <f t="shared" si="38"/>
        <v>52283</v>
      </c>
      <c r="BU65" s="238">
        <f t="shared" si="39"/>
        <v>392122.5</v>
      </c>
    </row>
    <row r="66" spans="1:73" ht="14.25">
      <c r="A66" s="241">
        <v>2015</v>
      </c>
      <c r="B66" s="240">
        <f t="shared" si="37"/>
        <v>6.5</v>
      </c>
      <c r="C66" s="239">
        <v>0</v>
      </c>
      <c r="D66" s="238">
        <f t="shared" si="0"/>
        <v>0</v>
      </c>
      <c r="E66" s="239">
        <v>0</v>
      </c>
      <c r="F66" s="238">
        <f t="shared" si="1"/>
        <v>0</v>
      </c>
      <c r="G66" s="239">
        <v>0</v>
      </c>
      <c r="H66" s="238">
        <f t="shared" si="2"/>
        <v>0</v>
      </c>
      <c r="I66" s="239">
        <v>0</v>
      </c>
      <c r="J66" s="238">
        <f t="shared" si="3"/>
        <v>0</v>
      </c>
      <c r="K66" s="239">
        <v>0</v>
      </c>
      <c r="L66" s="238">
        <f t="shared" si="4"/>
        <v>0</v>
      </c>
      <c r="M66" s="239">
        <v>0</v>
      </c>
      <c r="N66" s="238">
        <f t="shared" si="5"/>
        <v>0</v>
      </c>
      <c r="O66" s="239">
        <v>0</v>
      </c>
      <c r="P66" s="238">
        <f t="shared" si="6"/>
        <v>0</v>
      </c>
      <c r="Q66" s="239">
        <v>20310.169999999998</v>
      </c>
      <c r="R66" s="238">
        <f t="shared" si="7"/>
        <v>132016.10499999998</v>
      </c>
      <c r="S66" s="239">
        <v>0</v>
      </c>
      <c r="T66" s="238">
        <f t="shared" si="8"/>
        <v>0</v>
      </c>
      <c r="U66" s="239">
        <v>0</v>
      </c>
      <c r="V66" s="238">
        <f t="shared" si="9"/>
        <v>0</v>
      </c>
      <c r="W66" s="239">
        <v>5550.8100000000004</v>
      </c>
      <c r="X66" s="238">
        <f t="shared" si="10"/>
        <v>36080.264999999999</v>
      </c>
      <c r="Y66" s="239">
        <v>0</v>
      </c>
      <c r="Z66" s="238">
        <f t="shared" si="11"/>
        <v>0</v>
      </c>
      <c r="AA66" s="239">
        <v>0</v>
      </c>
      <c r="AB66" s="238">
        <f t="shared" si="12"/>
        <v>0</v>
      </c>
      <c r="AC66" s="239">
        <v>0</v>
      </c>
      <c r="AD66" s="238">
        <f t="shared" si="13"/>
        <v>0</v>
      </c>
      <c r="AE66" s="239">
        <v>0</v>
      </c>
      <c r="AF66" s="238">
        <f t="shared" si="14"/>
        <v>0</v>
      </c>
      <c r="AG66" s="239">
        <v>0</v>
      </c>
      <c r="AH66" s="238">
        <f t="shared" si="15"/>
        <v>0</v>
      </c>
      <c r="AI66" s="239">
        <v>0</v>
      </c>
      <c r="AJ66" s="238">
        <f t="shared" si="16"/>
        <v>0</v>
      </c>
      <c r="AK66" s="239">
        <v>0</v>
      </c>
      <c r="AL66" s="238">
        <f t="shared" si="17"/>
        <v>0</v>
      </c>
      <c r="AM66" s="239">
        <v>0</v>
      </c>
      <c r="AN66" s="238">
        <f t="shared" si="18"/>
        <v>0</v>
      </c>
      <c r="AO66" s="239">
        <v>0</v>
      </c>
      <c r="AP66" s="238">
        <f t="shared" si="19"/>
        <v>0</v>
      </c>
      <c r="AQ66" s="239">
        <v>0</v>
      </c>
      <c r="AR66" s="238">
        <f t="shared" si="20"/>
        <v>0</v>
      </c>
      <c r="AS66" s="239">
        <v>0</v>
      </c>
      <c r="AT66" s="238">
        <f t="shared" si="21"/>
        <v>0</v>
      </c>
      <c r="AU66" s="239">
        <v>0</v>
      </c>
      <c r="AV66" s="238">
        <f t="shared" si="22"/>
        <v>0</v>
      </c>
      <c r="AW66" s="239">
        <v>0</v>
      </c>
      <c r="AX66" s="238">
        <f t="shared" si="23"/>
        <v>0</v>
      </c>
      <c r="AY66" s="239">
        <v>38900.519999999997</v>
      </c>
      <c r="AZ66" s="238">
        <f t="shared" si="24"/>
        <v>252853.37999999998</v>
      </c>
      <c r="BA66" s="239">
        <v>0</v>
      </c>
      <c r="BB66" s="238">
        <f t="shared" si="25"/>
        <v>0</v>
      </c>
      <c r="BC66" s="239">
        <v>0</v>
      </c>
      <c r="BD66" s="238">
        <f t="shared" si="26"/>
        <v>0</v>
      </c>
      <c r="BE66" s="239">
        <v>0</v>
      </c>
      <c r="BF66" s="238">
        <f t="shared" si="27"/>
        <v>0</v>
      </c>
      <c r="BG66" s="239">
        <v>0</v>
      </c>
      <c r="BH66" s="238">
        <f t="shared" si="28"/>
        <v>0</v>
      </c>
      <c r="BI66" s="239">
        <v>0</v>
      </c>
      <c r="BJ66" s="238">
        <f t="shared" si="29"/>
        <v>0</v>
      </c>
      <c r="BK66" s="239">
        <v>0</v>
      </c>
      <c r="BL66" s="238">
        <f t="shared" si="30"/>
        <v>0</v>
      </c>
      <c r="BM66" s="239">
        <v>0</v>
      </c>
      <c r="BN66" s="238">
        <f t="shared" si="31"/>
        <v>0</v>
      </c>
      <c r="BO66" s="239">
        <v>0</v>
      </c>
      <c r="BP66" s="238">
        <f t="shared" si="32"/>
        <v>0</v>
      </c>
      <c r="BQ66" s="239">
        <v>0</v>
      </c>
      <c r="BR66" s="238">
        <f t="shared" si="33"/>
        <v>0</v>
      </c>
      <c r="BS66" s="225"/>
      <c r="BT66" s="239">
        <f t="shared" si="38"/>
        <v>64762</v>
      </c>
      <c r="BU66" s="238">
        <f t="shared" si="39"/>
        <v>420953</v>
      </c>
    </row>
    <row r="67" spans="1:73" ht="14.25">
      <c r="A67" s="241">
        <v>2016</v>
      </c>
      <c r="B67" s="240">
        <f t="shared" si="37"/>
        <v>5.5</v>
      </c>
      <c r="C67" s="239">
        <v>0</v>
      </c>
      <c r="D67" s="238">
        <f t="shared" si="0"/>
        <v>0</v>
      </c>
      <c r="E67" s="239">
        <v>0</v>
      </c>
      <c r="F67" s="238">
        <f t="shared" si="1"/>
        <v>0</v>
      </c>
      <c r="G67" s="239">
        <v>0</v>
      </c>
      <c r="H67" s="238">
        <f t="shared" si="2"/>
        <v>0</v>
      </c>
      <c r="I67" s="239">
        <v>0</v>
      </c>
      <c r="J67" s="238">
        <f t="shared" si="3"/>
        <v>0</v>
      </c>
      <c r="K67" s="239">
        <v>0</v>
      </c>
      <c r="L67" s="238">
        <f t="shared" si="4"/>
        <v>0</v>
      </c>
      <c r="M67" s="239">
        <v>0</v>
      </c>
      <c r="N67" s="238">
        <f t="shared" si="5"/>
        <v>0</v>
      </c>
      <c r="O67" s="239">
        <v>0</v>
      </c>
      <c r="P67" s="238">
        <f t="shared" si="6"/>
        <v>0</v>
      </c>
      <c r="Q67" s="239">
        <v>6092.3699999999999</v>
      </c>
      <c r="R67" s="238">
        <f t="shared" si="7"/>
        <v>33508.034999999996</v>
      </c>
      <c r="S67" s="239">
        <v>0</v>
      </c>
      <c r="T67" s="238">
        <f t="shared" si="8"/>
        <v>0</v>
      </c>
      <c r="U67" s="239">
        <v>0</v>
      </c>
      <c r="V67" s="238">
        <f t="shared" si="9"/>
        <v>0</v>
      </c>
      <c r="W67" s="239">
        <v>5101.29</v>
      </c>
      <c r="X67" s="238">
        <f t="shared" si="10"/>
        <v>28057.095000000001</v>
      </c>
      <c r="Y67" s="239">
        <v>0</v>
      </c>
      <c r="Z67" s="238">
        <f t="shared" si="11"/>
        <v>0</v>
      </c>
      <c r="AA67" s="239">
        <v>0</v>
      </c>
      <c r="AB67" s="238">
        <f t="shared" si="12"/>
        <v>0</v>
      </c>
      <c r="AC67" s="239">
        <v>0</v>
      </c>
      <c r="AD67" s="238">
        <f t="shared" si="13"/>
        <v>0</v>
      </c>
      <c r="AE67" s="239">
        <v>0</v>
      </c>
      <c r="AF67" s="238">
        <f t="shared" si="14"/>
        <v>0</v>
      </c>
      <c r="AG67" s="239">
        <v>0</v>
      </c>
      <c r="AH67" s="238">
        <f t="shared" si="15"/>
        <v>0</v>
      </c>
      <c r="AI67" s="239">
        <v>0</v>
      </c>
      <c r="AJ67" s="238">
        <f t="shared" si="16"/>
        <v>0</v>
      </c>
      <c r="AK67" s="239">
        <v>0</v>
      </c>
      <c r="AL67" s="238">
        <f t="shared" si="17"/>
        <v>0</v>
      </c>
      <c r="AM67" s="239">
        <v>0</v>
      </c>
      <c r="AN67" s="238">
        <f t="shared" si="18"/>
        <v>0</v>
      </c>
      <c r="AO67" s="239">
        <v>0</v>
      </c>
      <c r="AP67" s="238">
        <f t="shared" si="19"/>
        <v>0</v>
      </c>
      <c r="AQ67" s="239">
        <v>0</v>
      </c>
      <c r="AR67" s="238">
        <f t="shared" si="20"/>
        <v>0</v>
      </c>
      <c r="AS67" s="239">
        <v>0</v>
      </c>
      <c r="AT67" s="238">
        <f t="shared" si="21"/>
        <v>0</v>
      </c>
      <c r="AU67" s="239">
        <v>0</v>
      </c>
      <c r="AV67" s="238">
        <f t="shared" si="22"/>
        <v>0</v>
      </c>
      <c r="AW67" s="239">
        <v>0</v>
      </c>
      <c r="AX67" s="238">
        <f t="shared" si="23"/>
        <v>0</v>
      </c>
      <c r="AY67" s="239">
        <v>0</v>
      </c>
      <c r="AZ67" s="238">
        <f t="shared" si="24"/>
        <v>0</v>
      </c>
      <c r="BA67" s="239">
        <v>0</v>
      </c>
      <c r="BB67" s="238">
        <f t="shared" si="25"/>
        <v>0</v>
      </c>
      <c r="BC67" s="239">
        <v>0</v>
      </c>
      <c r="BD67" s="238">
        <f t="shared" si="26"/>
        <v>0</v>
      </c>
      <c r="BE67" s="239">
        <v>0</v>
      </c>
      <c r="BF67" s="238">
        <f t="shared" si="27"/>
        <v>0</v>
      </c>
      <c r="BG67" s="239">
        <v>0</v>
      </c>
      <c r="BH67" s="238">
        <f t="shared" si="28"/>
        <v>0</v>
      </c>
      <c r="BI67" s="239">
        <v>0</v>
      </c>
      <c r="BJ67" s="238">
        <f t="shared" si="29"/>
        <v>0</v>
      </c>
      <c r="BK67" s="239">
        <v>0</v>
      </c>
      <c r="BL67" s="238">
        <f t="shared" si="30"/>
        <v>0</v>
      </c>
      <c r="BM67" s="239">
        <v>0</v>
      </c>
      <c r="BN67" s="238">
        <f t="shared" si="31"/>
        <v>0</v>
      </c>
      <c r="BO67" s="239">
        <v>0</v>
      </c>
      <c r="BP67" s="238">
        <f t="shared" si="32"/>
        <v>0</v>
      </c>
      <c r="BQ67" s="239">
        <v>0</v>
      </c>
      <c r="BR67" s="238">
        <f t="shared" si="33"/>
        <v>0</v>
      </c>
      <c r="BS67" s="225"/>
      <c r="BT67" s="239">
        <f t="shared" si="38"/>
        <v>11194</v>
      </c>
      <c r="BU67" s="238">
        <f t="shared" si="39"/>
        <v>61567</v>
      </c>
    </row>
    <row r="68" spans="1:73" ht="14.25">
      <c r="A68" s="241">
        <v>2017</v>
      </c>
      <c r="B68" s="240">
        <f t="shared" si="37"/>
        <v>4.5</v>
      </c>
      <c r="C68" s="239">
        <v>0</v>
      </c>
      <c r="D68" s="238">
        <f t="shared" si="0"/>
        <v>0</v>
      </c>
      <c r="E68" s="239">
        <v>0</v>
      </c>
      <c r="F68" s="238">
        <f t="shared" si="1"/>
        <v>0</v>
      </c>
      <c r="G68" s="239">
        <v>536</v>
      </c>
      <c r="H68" s="238">
        <f t="shared" si="2"/>
        <v>2412</v>
      </c>
      <c r="I68" s="239">
        <v>0</v>
      </c>
      <c r="J68" s="238">
        <f t="shared" si="3"/>
        <v>0</v>
      </c>
      <c r="K68" s="239">
        <v>0</v>
      </c>
      <c r="L68" s="238">
        <f t="shared" si="4"/>
        <v>0</v>
      </c>
      <c r="M68" s="239">
        <v>0</v>
      </c>
      <c r="N68" s="238">
        <f t="shared" si="5"/>
        <v>0</v>
      </c>
      <c r="O68" s="239">
        <v>0</v>
      </c>
      <c r="P68" s="238">
        <f t="shared" si="6"/>
        <v>0</v>
      </c>
      <c r="Q68" s="239">
        <v>13193.35</v>
      </c>
      <c r="R68" s="238">
        <f t="shared" si="7"/>
        <v>59370.075000000004</v>
      </c>
      <c r="S68" s="239">
        <v>0</v>
      </c>
      <c r="T68" s="238">
        <f t="shared" si="8"/>
        <v>0</v>
      </c>
      <c r="U68" s="239">
        <v>0</v>
      </c>
      <c r="V68" s="238">
        <f t="shared" si="9"/>
        <v>0</v>
      </c>
      <c r="W68" s="239">
        <v>5168.9899999999998</v>
      </c>
      <c r="X68" s="238">
        <f t="shared" si="10"/>
        <v>23260.454999999998</v>
      </c>
      <c r="Y68" s="239">
        <v>0</v>
      </c>
      <c r="Z68" s="238">
        <f t="shared" si="11"/>
        <v>0</v>
      </c>
      <c r="AA68" s="239">
        <v>0</v>
      </c>
      <c r="AB68" s="238">
        <f t="shared" si="12"/>
        <v>0</v>
      </c>
      <c r="AC68" s="239">
        <v>0</v>
      </c>
      <c r="AD68" s="238">
        <f t="shared" si="13"/>
        <v>0</v>
      </c>
      <c r="AE68" s="239">
        <v>0</v>
      </c>
      <c r="AF68" s="238">
        <f t="shared" si="14"/>
        <v>0</v>
      </c>
      <c r="AG68" s="239">
        <v>0</v>
      </c>
      <c r="AH68" s="238">
        <f t="shared" si="15"/>
        <v>0</v>
      </c>
      <c r="AI68" s="239">
        <v>0</v>
      </c>
      <c r="AJ68" s="238">
        <f t="shared" si="16"/>
        <v>0</v>
      </c>
      <c r="AK68" s="239">
        <v>0</v>
      </c>
      <c r="AL68" s="238">
        <f t="shared" si="17"/>
        <v>0</v>
      </c>
      <c r="AM68" s="239">
        <v>0</v>
      </c>
      <c r="AN68" s="238">
        <f t="shared" si="18"/>
        <v>0</v>
      </c>
      <c r="AO68" s="239">
        <v>0</v>
      </c>
      <c r="AP68" s="238">
        <f t="shared" si="19"/>
        <v>0</v>
      </c>
      <c r="AQ68" s="239">
        <v>0</v>
      </c>
      <c r="AR68" s="238">
        <f t="shared" si="20"/>
        <v>0</v>
      </c>
      <c r="AS68" s="239">
        <v>0</v>
      </c>
      <c r="AT68" s="238">
        <f t="shared" si="21"/>
        <v>0</v>
      </c>
      <c r="AU68" s="239">
        <v>0</v>
      </c>
      <c r="AV68" s="238">
        <f t="shared" si="22"/>
        <v>0</v>
      </c>
      <c r="AW68" s="239">
        <v>0</v>
      </c>
      <c r="AX68" s="238">
        <f t="shared" si="23"/>
        <v>0</v>
      </c>
      <c r="AY68" s="239">
        <v>0</v>
      </c>
      <c r="AZ68" s="238">
        <f t="shared" si="24"/>
        <v>0</v>
      </c>
      <c r="BA68" s="239">
        <v>0</v>
      </c>
      <c r="BB68" s="238">
        <f t="shared" si="25"/>
        <v>0</v>
      </c>
      <c r="BC68" s="239">
        <v>0</v>
      </c>
      <c r="BD68" s="238">
        <f t="shared" si="26"/>
        <v>0</v>
      </c>
      <c r="BE68" s="239">
        <v>0</v>
      </c>
      <c r="BF68" s="238">
        <f t="shared" si="27"/>
        <v>0</v>
      </c>
      <c r="BG68" s="239">
        <v>0</v>
      </c>
      <c r="BH68" s="238">
        <f t="shared" si="28"/>
        <v>0</v>
      </c>
      <c r="BI68" s="239">
        <v>0</v>
      </c>
      <c r="BJ68" s="238">
        <f t="shared" si="29"/>
        <v>0</v>
      </c>
      <c r="BK68" s="239">
        <v>0</v>
      </c>
      <c r="BL68" s="238">
        <f t="shared" si="30"/>
        <v>0</v>
      </c>
      <c r="BM68" s="239">
        <v>0</v>
      </c>
      <c r="BN68" s="238">
        <f t="shared" si="31"/>
        <v>0</v>
      </c>
      <c r="BO68" s="239">
        <v>0</v>
      </c>
      <c r="BP68" s="238">
        <f t="shared" si="32"/>
        <v>0</v>
      </c>
      <c r="BQ68" s="239">
        <v>0</v>
      </c>
      <c r="BR68" s="238">
        <f t="shared" si="33"/>
        <v>0</v>
      </c>
      <c r="BS68" s="225"/>
      <c r="BT68" s="239">
        <f t="shared" si="38"/>
        <v>18898</v>
      </c>
      <c r="BU68" s="238">
        <f t="shared" si="39"/>
        <v>85041</v>
      </c>
    </row>
    <row r="69" spans="1:73" ht="14.25">
      <c r="A69" s="241">
        <v>2018</v>
      </c>
      <c r="B69" s="240">
        <f t="shared" si="37"/>
        <v>3.5</v>
      </c>
      <c r="C69" s="239">
        <v>0</v>
      </c>
      <c r="D69" s="238">
        <f t="shared" si="0"/>
        <v>0</v>
      </c>
      <c r="E69" s="239">
        <v>0</v>
      </c>
      <c r="F69" s="238">
        <f t="shared" si="1"/>
        <v>0</v>
      </c>
      <c r="G69" s="239">
        <v>73928.270000000004</v>
      </c>
      <c r="H69" s="238">
        <f t="shared" si="2"/>
        <v>258748.94500000001</v>
      </c>
      <c r="I69" s="239">
        <v>0</v>
      </c>
      <c r="J69" s="238">
        <f t="shared" si="3"/>
        <v>0</v>
      </c>
      <c r="K69" s="239">
        <v>0</v>
      </c>
      <c r="L69" s="238">
        <f t="shared" si="4"/>
        <v>0</v>
      </c>
      <c r="M69" s="239">
        <v>0</v>
      </c>
      <c r="N69" s="238">
        <f t="shared" si="5"/>
        <v>0</v>
      </c>
      <c r="O69" s="239">
        <v>0</v>
      </c>
      <c r="P69" s="238">
        <f t="shared" si="6"/>
        <v>0</v>
      </c>
      <c r="Q69" s="239">
        <v>10747.9</v>
      </c>
      <c r="R69" s="238">
        <f t="shared" si="7"/>
        <v>37617.650000000001</v>
      </c>
      <c r="S69" s="239">
        <v>0</v>
      </c>
      <c r="T69" s="238">
        <f t="shared" si="8"/>
        <v>0</v>
      </c>
      <c r="U69" s="239">
        <v>0</v>
      </c>
      <c r="V69" s="238">
        <f t="shared" si="9"/>
        <v>0</v>
      </c>
      <c r="W69" s="239">
        <v>1576.6500000000001</v>
      </c>
      <c r="X69" s="238">
        <f t="shared" si="10"/>
        <v>5518.2750000000005</v>
      </c>
      <c r="Y69" s="239">
        <v>0</v>
      </c>
      <c r="Z69" s="238">
        <f t="shared" si="11"/>
        <v>0</v>
      </c>
      <c r="AA69" s="239">
        <v>0</v>
      </c>
      <c r="AB69" s="238">
        <f t="shared" si="12"/>
        <v>0</v>
      </c>
      <c r="AC69" s="239">
        <v>0</v>
      </c>
      <c r="AD69" s="238">
        <f t="shared" si="13"/>
        <v>0</v>
      </c>
      <c r="AE69" s="239">
        <v>0</v>
      </c>
      <c r="AF69" s="238">
        <f t="shared" si="14"/>
        <v>0</v>
      </c>
      <c r="AG69" s="239">
        <v>0</v>
      </c>
      <c r="AH69" s="238">
        <f t="shared" si="15"/>
        <v>0</v>
      </c>
      <c r="AI69" s="239">
        <v>0</v>
      </c>
      <c r="AJ69" s="238">
        <f t="shared" si="16"/>
        <v>0</v>
      </c>
      <c r="AK69" s="239">
        <v>0</v>
      </c>
      <c r="AL69" s="238">
        <f t="shared" si="17"/>
        <v>0</v>
      </c>
      <c r="AM69" s="239">
        <v>0</v>
      </c>
      <c r="AN69" s="238">
        <f t="shared" si="18"/>
        <v>0</v>
      </c>
      <c r="AO69" s="239">
        <v>0</v>
      </c>
      <c r="AP69" s="238">
        <f t="shared" si="19"/>
        <v>0</v>
      </c>
      <c r="AQ69" s="239">
        <v>0</v>
      </c>
      <c r="AR69" s="238">
        <f t="shared" si="20"/>
        <v>0</v>
      </c>
      <c r="AS69" s="239">
        <v>0</v>
      </c>
      <c r="AT69" s="238">
        <f t="shared" si="21"/>
        <v>0</v>
      </c>
      <c r="AU69" s="239">
        <v>0</v>
      </c>
      <c r="AV69" s="238">
        <f t="shared" si="22"/>
        <v>0</v>
      </c>
      <c r="AW69" s="239">
        <v>0</v>
      </c>
      <c r="AX69" s="238">
        <f t="shared" si="23"/>
        <v>0</v>
      </c>
      <c r="AY69" s="239">
        <v>0</v>
      </c>
      <c r="AZ69" s="238">
        <f t="shared" si="24"/>
        <v>0</v>
      </c>
      <c r="BA69" s="239">
        <v>0</v>
      </c>
      <c r="BB69" s="238">
        <f t="shared" si="25"/>
        <v>0</v>
      </c>
      <c r="BC69" s="239">
        <v>0</v>
      </c>
      <c r="BD69" s="238">
        <f t="shared" si="26"/>
        <v>0</v>
      </c>
      <c r="BE69" s="239">
        <v>0</v>
      </c>
      <c r="BF69" s="238">
        <f t="shared" si="27"/>
        <v>0</v>
      </c>
      <c r="BG69" s="239">
        <v>0</v>
      </c>
      <c r="BH69" s="238">
        <f t="shared" si="28"/>
        <v>0</v>
      </c>
      <c r="BI69" s="239">
        <v>0</v>
      </c>
      <c r="BJ69" s="238">
        <f t="shared" si="29"/>
        <v>0</v>
      </c>
      <c r="BK69" s="239">
        <v>0</v>
      </c>
      <c r="BL69" s="238">
        <f t="shared" si="30"/>
        <v>0</v>
      </c>
      <c r="BM69" s="239">
        <v>0</v>
      </c>
      <c r="BN69" s="238">
        <f t="shared" si="31"/>
        <v>0</v>
      </c>
      <c r="BO69" s="239">
        <v>0</v>
      </c>
      <c r="BP69" s="238">
        <f t="shared" si="32"/>
        <v>0</v>
      </c>
      <c r="BQ69" s="239">
        <v>0</v>
      </c>
      <c r="BR69" s="238">
        <f t="shared" si="33"/>
        <v>0</v>
      </c>
      <c r="BS69" s="225"/>
      <c r="BT69" s="239">
        <f t="shared" si="38"/>
        <v>86253</v>
      </c>
      <c r="BU69" s="238">
        <f t="shared" si="39"/>
        <v>301885.5</v>
      </c>
    </row>
    <row r="70" spans="1:73" ht="14.25">
      <c r="A70" s="241">
        <v>2019</v>
      </c>
      <c r="B70" s="240">
        <f t="shared" si="37"/>
        <v>2.5</v>
      </c>
      <c r="C70" s="239">
        <v>0</v>
      </c>
      <c r="D70" s="238">
        <f t="shared" si="0"/>
        <v>0</v>
      </c>
      <c r="E70" s="239">
        <v>0</v>
      </c>
      <c r="F70" s="238">
        <f t="shared" si="1"/>
        <v>0</v>
      </c>
      <c r="G70" s="239">
        <v>2822.23</v>
      </c>
      <c r="H70" s="238">
        <f t="shared" si="2"/>
        <v>7055.5749999999998</v>
      </c>
      <c r="I70" s="239">
        <v>24283.73</v>
      </c>
      <c r="J70" s="238">
        <f t="shared" si="3"/>
        <v>60709.324999999997</v>
      </c>
      <c r="K70" s="239">
        <v>0</v>
      </c>
      <c r="L70" s="238">
        <f t="shared" si="4"/>
        <v>0</v>
      </c>
      <c r="M70" s="239">
        <v>0</v>
      </c>
      <c r="N70" s="238">
        <f t="shared" si="5"/>
        <v>0</v>
      </c>
      <c r="O70" s="239">
        <v>0</v>
      </c>
      <c r="P70" s="238">
        <f t="shared" si="6"/>
        <v>0</v>
      </c>
      <c r="Q70" s="239">
        <v>26587.59</v>
      </c>
      <c r="R70" s="238">
        <f t="shared" si="7"/>
        <v>66468.975000000006</v>
      </c>
      <c r="S70" s="239">
        <v>0</v>
      </c>
      <c r="T70" s="238">
        <f t="shared" si="8"/>
        <v>0</v>
      </c>
      <c r="U70" s="239">
        <v>0</v>
      </c>
      <c r="V70" s="238">
        <f t="shared" si="9"/>
        <v>0</v>
      </c>
      <c r="W70" s="239">
        <v>1674.6100000000001</v>
      </c>
      <c r="X70" s="238">
        <f t="shared" si="10"/>
        <v>4186.5250000000005</v>
      </c>
      <c r="Y70" s="239">
        <v>0</v>
      </c>
      <c r="Z70" s="238">
        <f t="shared" si="11"/>
        <v>0</v>
      </c>
      <c r="AA70" s="239">
        <v>0</v>
      </c>
      <c r="AB70" s="238">
        <f t="shared" si="12"/>
        <v>0</v>
      </c>
      <c r="AC70" s="239">
        <v>0</v>
      </c>
      <c r="AD70" s="238">
        <f t="shared" si="13"/>
        <v>0</v>
      </c>
      <c r="AE70" s="239">
        <v>0</v>
      </c>
      <c r="AF70" s="238">
        <f t="shared" si="14"/>
        <v>0</v>
      </c>
      <c r="AG70" s="239">
        <v>0</v>
      </c>
      <c r="AH70" s="238">
        <f t="shared" si="15"/>
        <v>0</v>
      </c>
      <c r="AI70" s="239">
        <v>0</v>
      </c>
      <c r="AJ70" s="238">
        <f t="shared" si="16"/>
        <v>0</v>
      </c>
      <c r="AK70" s="239">
        <v>0</v>
      </c>
      <c r="AL70" s="238">
        <f t="shared" si="17"/>
        <v>0</v>
      </c>
      <c r="AM70" s="239">
        <v>0</v>
      </c>
      <c r="AN70" s="238">
        <f t="shared" si="18"/>
        <v>0</v>
      </c>
      <c r="AO70" s="239">
        <v>0</v>
      </c>
      <c r="AP70" s="238">
        <f t="shared" si="19"/>
        <v>0</v>
      </c>
      <c r="AQ70" s="239">
        <v>0</v>
      </c>
      <c r="AR70" s="238">
        <f t="shared" si="20"/>
        <v>0</v>
      </c>
      <c r="AS70" s="239">
        <v>0</v>
      </c>
      <c r="AT70" s="238">
        <f t="shared" si="21"/>
        <v>0</v>
      </c>
      <c r="AU70" s="239">
        <v>0</v>
      </c>
      <c r="AV70" s="238">
        <f t="shared" si="22"/>
        <v>0</v>
      </c>
      <c r="AW70" s="239">
        <v>0</v>
      </c>
      <c r="AX70" s="238">
        <f t="shared" si="23"/>
        <v>0</v>
      </c>
      <c r="AY70" s="239">
        <v>2953.4000000000001</v>
      </c>
      <c r="AZ70" s="238">
        <f t="shared" si="24"/>
        <v>7383.5</v>
      </c>
      <c r="BA70" s="239">
        <v>0</v>
      </c>
      <c r="BB70" s="238">
        <f t="shared" si="25"/>
        <v>0</v>
      </c>
      <c r="BC70" s="239">
        <v>0</v>
      </c>
      <c r="BD70" s="238">
        <f t="shared" si="26"/>
        <v>0</v>
      </c>
      <c r="BE70" s="239">
        <v>0</v>
      </c>
      <c r="BF70" s="238">
        <f t="shared" si="27"/>
        <v>0</v>
      </c>
      <c r="BG70" s="239">
        <v>0</v>
      </c>
      <c r="BH70" s="238">
        <f t="shared" si="28"/>
        <v>0</v>
      </c>
      <c r="BI70" s="239">
        <v>0</v>
      </c>
      <c r="BJ70" s="238">
        <f t="shared" si="29"/>
        <v>0</v>
      </c>
      <c r="BK70" s="239">
        <v>0</v>
      </c>
      <c r="BL70" s="238">
        <f t="shared" si="30"/>
        <v>0</v>
      </c>
      <c r="BM70" s="239">
        <v>0</v>
      </c>
      <c r="BN70" s="238">
        <f t="shared" si="31"/>
        <v>0</v>
      </c>
      <c r="BO70" s="239">
        <v>0</v>
      </c>
      <c r="BP70" s="238">
        <f t="shared" si="32"/>
        <v>0</v>
      </c>
      <c r="BQ70" s="239">
        <v>0</v>
      </c>
      <c r="BR70" s="238">
        <f t="shared" si="33"/>
        <v>0</v>
      </c>
      <c r="BS70" s="225"/>
      <c r="BT70" s="239">
        <f t="shared" si="38"/>
        <v>58322</v>
      </c>
      <c r="BU70" s="238">
        <f t="shared" si="39"/>
        <v>145805</v>
      </c>
    </row>
    <row r="71" spans="1:73" ht="14.25">
      <c r="A71" s="241">
        <v>2020</v>
      </c>
      <c r="B71" s="240">
        <f t="shared" si="37"/>
        <v>1.5</v>
      </c>
      <c r="C71" s="239">
        <v>0</v>
      </c>
      <c r="D71" s="238">
        <f>+C71*$B71</f>
        <v>0</v>
      </c>
      <c r="E71" s="239">
        <v>0</v>
      </c>
      <c r="F71" s="238">
        <f>+E71*$B71</f>
        <v>0</v>
      </c>
      <c r="G71" s="239">
        <v>0</v>
      </c>
      <c r="H71" s="238">
        <f>+G71*$B71</f>
        <v>0</v>
      </c>
      <c r="I71" s="239">
        <v>0</v>
      </c>
      <c r="J71" s="238">
        <f>+I71*$B71</f>
        <v>0</v>
      </c>
      <c r="K71" s="239">
        <v>0</v>
      </c>
      <c r="L71" s="238">
        <f>+K71*$B71</f>
        <v>0</v>
      </c>
      <c r="M71" s="239">
        <v>0</v>
      </c>
      <c r="N71" s="238">
        <f>+M71*$B71</f>
        <v>0</v>
      </c>
      <c r="O71" s="239">
        <v>0</v>
      </c>
      <c r="P71" s="238">
        <f>+O71*$B71</f>
        <v>0</v>
      </c>
      <c r="Q71" s="239">
        <v>8943.6100000000006</v>
      </c>
      <c r="R71" s="238">
        <f>+Q71*$B71</f>
        <v>13415.415000000001</v>
      </c>
      <c r="S71" s="239">
        <v>0</v>
      </c>
      <c r="T71" s="238">
        <f>+S71*$B71</f>
        <v>0</v>
      </c>
      <c r="U71" s="239">
        <v>0</v>
      </c>
      <c r="V71" s="238">
        <f>+U71*$B71</f>
        <v>0</v>
      </c>
      <c r="W71" s="239">
        <v>801.40999999999997</v>
      </c>
      <c r="X71" s="238">
        <f>+W71*$B71</f>
        <v>1202.115</v>
      </c>
      <c r="Y71" s="239">
        <v>0</v>
      </c>
      <c r="Z71" s="238">
        <f>+Y71*$B71</f>
        <v>0</v>
      </c>
      <c r="AA71" s="239">
        <v>0</v>
      </c>
      <c r="AB71" s="238">
        <f>+AA71*$B71</f>
        <v>0</v>
      </c>
      <c r="AC71" s="239">
        <v>0</v>
      </c>
      <c r="AD71" s="238">
        <f>+AC71*$B71</f>
        <v>0</v>
      </c>
      <c r="AE71" s="239">
        <v>0</v>
      </c>
      <c r="AF71" s="238">
        <f>+AE71*$B71</f>
        <v>0</v>
      </c>
      <c r="AG71" s="239">
        <v>0</v>
      </c>
      <c r="AH71" s="238">
        <f>+AG71*$B71</f>
        <v>0</v>
      </c>
      <c r="AI71" s="239">
        <v>0</v>
      </c>
      <c r="AJ71" s="238">
        <f>+AI71*$B71</f>
        <v>0</v>
      </c>
      <c r="AK71" s="239">
        <v>0</v>
      </c>
      <c r="AL71" s="238">
        <f>+AK71*$B71</f>
        <v>0</v>
      </c>
      <c r="AM71" s="239">
        <v>0</v>
      </c>
      <c r="AN71" s="238">
        <f>+AM71*$B71</f>
        <v>0</v>
      </c>
      <c r="AO71" s="239">
        <v>0</v>
      </c>
      <c r="AP71" s="238">
        <f>+AO71*$B71</f>
        <v>0</v>
      </c>
      <c r="AQ71" s="239">
        <v>0</v>
      </c>
      <c r="AR71" s="238">
        <f>+AQ71*$B71</f>
        <v>0</v>
      </c>
      <c r="AS71" s="239">
        <v>0</v>
      </c>
      <c r="AT71" s="238">
        <f>+AS71*$B71</f>
        <v>0</v>
      </c>
      <c r="AU71" s="239">
        <v>0</v>
      </c>
      <c r="AV71" s="238">
        <f>+AU71*$B71</f>
        <v>0</v>
      </c>
      <c r="AW71" s="239">
        <v>0</v>
      </c>
      <c r="AX71" s="238">
        <f>+AW71*$B71</f>
        <v>0</v>
      </c>
      <c r="AY71" s="239">
        <v>0</v>
      </c>
      <c r="AZ71" s="238">
        <f>+AY71*$B71</f>
        <v>0</v>
      </c>
      <c r="BA71" s="239">
        <v>0</v>
      </c>
      <c r="BB71" s="238">
        <f>+BA71*$B71</f>
        <v>0</v>
      </c>
      <c r="BC71" s="239">
        <v>0</v>
      </c>
      <c r="BD71" s="238">
        <f>+BC71*$B71</f>
        <v>0</v>
      </c>
      <c r="BE71" s="239">
        <v>0</v>
      </c>
      <c r="BF71" s="238">
        <f>+BE71*$B71</f>
        <v>0</v>
      </c>
      <c r="BG71" s="239">
        <v>0</v>
      </c>
      <c r="BH71" s="238">
        <f>+BG71*$B71</f>
        <v>0</v>
      </c>
      <c r="BI71" s="239">
        <v>0</v>
      </c>
      <c r="BJ71" s="238">
        <f>+BI71*$B71</f>
        <v>0</v>
      </c>
      <c r="BK71" s="239">
        <v>0</v>
      </c>
      <c r="BL71" s="238">
        <f>+BK71*$B71</f>
        <v>0</v>
      </c>
      <c r="BM71" s="239">
        <v>0</v>
      </c>
      <c r="BN71" s="238">
        <f>+BM71*$B71</f>
        <v>0</v>
      </c>
      <c r="BO71" s="239">
        <v>0</v>
      </c>
      <c r="BP71" s="238">
        <f>+BO71*$B71</f>
        <v>0</v>
      </c>
      <c r="BQ71" s="239">
        <v>0</v>
      </c>
      <c r="BR71" s="238">
        <f>+BQ71*$B71</f>
        <v>0</v>
      </c>
      <c r="BS71" s="225"/>
      <c r="BT71" s="239">
        <f t="shared" si="38"/>
        <v>9745</v>
      </c>
      <c r="BU71" s="238">
        <f t="shared" si="39"/>
        <v>14617.5</v>
      </c>
    </row>
    <row r="72" spans="1:73" ht="14.25">
      <c r="A72" s="241">
        <v>2021</v>
      </c>
      <c r="B72" s="240">
        <v>0.5</v>
      </c>
      <c r="C72" s="239">
        <v>0</v>
      </c>
      <c r="D72" s="238">
        <f>+C72*$B72</f>
        <v>0</v>
      </c>
      <c r="E72" s="239">
        <v>0</v>
      </c>
      <c r="F72" s="238">
        <f>+E72*$B72</f>
        <v>0</v>
      </c>
      <c r="G72" s="239">
        <v>0</v>
      </c>
      <c r="H72" s="238">
        <f>+G72*$B72</f>
        <v>0</v>
      </c>
      <c r="I72" s="239">
        <v>0</v>
      </c>
      <c r="J72" s="238">
        <f>+I72*$B72</f>
        <v>0</v>
      </c>
      <c r="K72" s="239">
        <v>0</v>
      </c>
      <c r="L72" s="238">
        <f>+K72*$B72</f>
        <v>0</v>
      </c>
      <c r="M72" s="239">
        <v>0</v>
      </c>
      <c r="N72" s="238">
        <f>+M72*$B72</f>
        <v>0</v>
      </c>
      <c r="O72" s="239">
        <v>0</v>
      </c>
      <c r="P72" s="238">
        <f>+O72*$B72</f>
        <v>0</v>
      </c>
      <c r="Q72" s="239">
        <v>446.54000000000002</v>
      </c>
      <c r="R72" s="238">
        <f>+Q72*$B72</f>
        <v>223.27000000000001</v>
      </c>
      <c r="S72" s="239">
        <v>0</v>
      </c>
      <c r="T72" s="238">
        <f>+S72*$B72</f>
        <v>0</v>
      </c>
      <c r="U72" s="239">
        <v>0</v>
      </c>
      <c r="V72" s="238">
        <f>+U72*$B72</f>
        <v>0</v>
      </c>
      <c r="W72" s="239">
        <v>225</v>
      </c>
      <c r="X72" s="238">
        <f>+W72*$B72</f>
        <v>112.5</v>
      </c>
      <c r="Y72" s="239">
        <v>0</v>
      </c>
      <c r="Z72" s="238">
        <f>+Y72*$B72</f>
        <v>0</v>
      </c>
      <c r="AA72" s="239">
        <v>0</v>
      </c>
      <c r="AB72" s="238">
        <f>+AA72*$B72</f>
        <v>0</v>
      </c>
      <c r="AC72" s="239">
        <v>0</v>
      </c>
      <c r="AD72" s="238">
        <f>+AC72*$B72</f>
        <v>0</v>
      </c>
      <c r="AE72" s="239">
        <v>0</v>
      </c>
      <c r="AF72" s="238">
        <f>+AE72*$B72</f>
        <v>0</v>
      </c>
      <c r="AG72" s="239">
        <v>0</v>
      </c>
      <c r="AH72" s="238">
        <f>+AG72*$B72</f>
        <v>0</v>
      </c>
      <c r="AI72" s="239">
        <v>0</v>
      </c>
      <c r="AJ72" s="238">
        <f>+AI72*$B72</f>
        <v>0</v>
      </c>
      <c r="AK72" s="239">
        <v>0</v>
      </c>
      <c r="AL72" s="238">
        <f>+AK72*$B72</f>
        <v>0</v>
      </c>
      <c r="AM72" s="239">
        <v>0</v>
      </c>
      <c r="AN72" s="238">
        <f>+AM72*$B72</f>
        <v>0</v>
      </c>
      <c r="AO72" s="239">
        <v>0</v>
      </c>
      <c r="AP72" s="238">
        <f>+AO72*$B72</f>
        <v>0</v>
      </c>
      <c r="AQ72" s="239">
        <v>0</v>
      </c>
      <c r="AR72" s="238">
        <f>+AQ72*$B72</f>
        <v>0</v>
      </c>
      <c r="AS72" s="239">
        <v>0</v>
      </c>
      <c r="AT72" s="238">
        <f>+AS72*$B72</f>
        <v>0</v>
      </c>
      <c r="AU72" s="239">
        <v>0</v>
      </c>
      <c r="AV72" s="238">
        <f>+AU72*$B72</f>
        <v>0</v>
      </c>
      <c r="AW72" s="239">
        <v>0</v>
      </c>
      <c r="AX72" s="238">
        <f>+AW72*$B72</f>
        <v>0</v>
      </c>
      <c r="AY72" s="239">
        <v>0</v>
      </c>
      <c r="AZ72" s="238">
        <f>+AY72*$B72</f>
        <v>0</v>
      </c>
      <c r="BA72" s="239">
        <v>0</v>
      </c>
      <c r="BB72" s="238">
        <f>+BA72*$B72</f>
        <v>0</v>
      </c>
      <c r="BC72" s="239">
        <v>0</v>
      </c>
      <c r="BD72" s="238">
        <f>+BC72*$B72</f>
        <v>0</v>
      </c>
      <c r="BE72" s="239">
        <v>0</v>
      </c>
      <c r="BF72" s="238">
        <f>+BE72*$B72</f>
        <v>0</v>
      </c>
      <c r="BG72" s="239">
        <v>0</v>
      </c>
      <c r="BH72" s="238">
        <f>+BG72*$B72</f>
        <v>0</v>
      </c>
      <c r="BI72" s="239">
        <v>0</v>
      </c>
      <c r="BJ72" s="238">
        <f>+BI72*$B72</f>
        <v>0</v>
      </c>
      <c r="BK72" s="239">
        <v>0</v>
      </c>
      <c r="BL72" s="238">
        <f>+BK72*$B72</f>
        <v>0</v>
      </c>
      <c r="BM72" s="239">
        <v>0</v>
      </c>
      <c r="BN72" s="238">
        <f>+BM72*$B72</f>
        <v>0</v>
      </c>
      <c r="BO72" s="239">
        <v>0</v>
      </c>
      <c r="BP72" s="238">
        <f>+BO72*$B72</f>
        <v>0</v>
      </c>
      <c r="BQ72" s="239">
        <v>0</v>
      </c>
      <c r="BR72" s="238">
        <f>+BQ72*$B72</f>
        <v>0</v>
      </c>
      <c r="BS72" s="225"/>
      <c r="BT72" s="239">
        <f t="shared" si="38"/>
        <v>672</v>
      </c>
      <c r="BU72" s="238">
        <f t="shared" si="39"/>
        <v>336</v>
      </c>
    </row>
    <row r="73" spans="1:73" ht="14.25">
      <c r="A73" s="237"/>
      <c r="B73" s="236"/>
      <c r="C73" s="235">
        <f>SUM(C6:C72)</f>
        <v>0</v>
      </c>
      <c r="D73" s="234"/>
      <c r="E73" s="235">
        <f>SUM(E6:E72)</f>
        <v>0</v>
      </c>
      <c r="F73" s="234"/>
      <c r="G73" s="235">
        <f>SUM(G6:G72)</f>
        <v>116344.78</v>
      </c>
      <c r="H73" s="234"/>
      <c r="I73" s="235">
        <f>SUM(I6:I72)</f>
        <v>114295.11</v>
      </c>
      <c r="J73" s="234"/>
      <c r="K73" s="235">
        <f>SUM(K6:K72)</f>
        <v>0</v>
      </c>
      <c r="L73" s="234"/>
      <c r="M73" s="235">
        <f>SUM(M6:M72)</f>
        <v>0</v>
      </c>
      <c r="N73" s="234"/>
      <c r="O73" s="235">
        <f>SUM(O6:O72)</f>
        <v>0</v>
      </c>
      <c r="P73" s="234"/>
      <c r="Q73" s="235">
        <f>SUM(Q6:Q72)</f>
        <v>638220.85000000009</v>
      </c>
      <c r="R73" s="234"/>
      <c r="S73" s="235">
        <f>SUM(S6:S72)</f>
        <v>13954.889999999999</v>
      </c>
      <c r="T73" s="234"/>
      <c r="U73" s="235">
        <f>SUM(U6:U72)</f>
        <v>0</v>
      </c>
      <c r="V73" s="234"/>
      <c r="W73" s="235">
        <f>SUM(W6:W72)</f>
        <v>163483.97999999998</v>
      </c>
      <c r="X73" s="234"/>
      <c r="Y73" s="235">
        <f>SUM(Y6:Y72)</f>
        <v>0</v>
      </c>
      <c r="Z73" s="234"/>
      <c r="AA73" s="235">
        <f>SUM(AA6:AA72)</f>
        <v>0</v>
      </c>
      <c r="AB73" s="234"/>
      <c r="AC73" s="235">
        <f>SUM(AC6:AC72)</f>
        <v>0</v>
      </c>
      <c r="AD73" s="234"/>
      <c r="AE73" s="235">
        <f>SUM(AE6:AE72)</f>
        <v>9035.1700000000019</v>
      </c>
      <c r="AF73" s="234"/>
      <c r="AG73" s="235">
        <f>SUM(AG6:AG72)</f>
        <v>0</v>
      </c>
      <c r="AH73" s="234"/>
      <c r="AI73" s="235">
        <f>SUM(AI6:AI72)</f>
        <v>0</v>
      </c>
      <c r="AJ73" s="234"/>
      <c r="AK73" s="235">
        <f>SUM(AK6:AK72)</f>
        <v>0</v>
      </c>
      <c r="AL73" s="234"/>
      <c r="AM73" s="235">
        <f>SUM(AM6:AM72)</f>
        <v>0</v>
      </c>
      <c r="AN73" s="234"/>
      <c r="AO73" s="235">
        <f>SUM(AO6:AO72)</f>
        <v>29119.200000000001</v>
      </c>
      <c r="AP73" s="234"/>
      <c r="AQ73" s="235">
        <f>SUM(AQ6:AQ72)</f>
        <v>148350.79999999999</v>
      </c>
      <c r="AR73" s="234"/>
      <c r="AS73" s="235">
        <f>SUM(AS6:AS72)</f>
        <v>1749.8399999999999</v>
      </c>
      <c r="AT73" s="234"/>
      <c r="AU73" s="235">
        <f>SUM(AU6:AU72)</f>
        <v>28394.57</v>
      </c>
      <c r="AV73" s="234"/>
      <c r="AW73" s="235">
        <f>SUM(AW6:AW72)</f>
        <v>0</v>
      </c>
      <c r="AX73" s="234"/>
      <c r="AY73" s="235">
        <f>SUM(AY6:AY72)</f>
        <v>415435.84000000003</v>
      </c>
      <c r="AZ73" s="234"/>
      <c r="BA73" s="235">
        <f>SUM(BA6:BA72)</f>
        <v>0</v>
      </c>
      <c r="BB73" s="234"/>
      <c r="BC73" s="235">
        <f>SUM(BC6:BC72)</f>
        <v>0</v>
      </c>
      <c r="BD73" s="234"/>
      <c r="BE73" s="235">
        <f>SUM(BE6:BE72)</f>
        <v>0</v>
      </c>
      <c r="BF73" s="234"/>
      <c r="BG73" s="235">
        <f>SUM(BG6:BG72)</f>
        <v>21726.349999999999</v>
      </c>
      <c r="BH73" s="234"/>
      <c r="BI73" s="235">
        <f>SUM(BI6:BI72)</f>
        <v>0</v>
      </c>
      <c r="BJ73" s="234"/>
      <c r="BK73" s="235">
        <f>SUM(BK6:BK72)</f>
        <v>60902.389999999999</v>
      </c>
      <c r="BL73" s="234"/>
      <c r="BM73" s="235">
        <f>SUM(BM6:BM72)</f>
        <v>90946.139999999999</v>
      </c>
      <c r="BN73" s="234"/>
      <c r="BO73" s="235">
        <f>SUM(BO6:BO72)</f>
        <v>0</v>
      </c>
      <c r="BP73" s="234"/>
      <c r="BQ73" s="235">
        <f>SUM(BQ6:BQ72)</f>
        <v>0</v>
      </c>
      <c r="BR73" s="234"/>
      <c r="BS73" s="225"/>
      <c r="BT73" s="235">
        <f>SUM(BT10:BT72)</f>
        <v>1851128</v>
      </c>
      <c r="BU73" s="234"/>
    </row>
    <row r="74" spans="1:73" ht="15" thickBot="1">
      <c r="A74" s="233"/>
      <c r="B74" s="232"/>
      <c r="C74" s="231"/>
      <c r="D74" s="230">
        <f>SUM(D6:D72)</f>
        <v>0</v>
      </c>
      <c r="E74" s="231"/>
      <c r="F74" s="230">
        <f>SUM(F6:F72)</f>
        <v>0</v>
      </c>
      <c r="G74" s="231"/>
      <c r="H74" s="230">
        <f>SUM(H6:H72)</f>
        <v>986092.34999999986</v>
      </c>
      <c r="I74" s="231"/>
      <c r="J74" s="230">
        <f>SUM(J6:J72)</f>
        <v>2581542.6249999995</v>
      </c>
      <c r="K74" s="231"/>
      <c r="L74" s="230">
        <f>SUM(L6:L72)</f>
        <v>0</v>
      </c>
      <c r="M74" s="231"/>
      <c r="N74" s="230">
        <f>SUM(N6:N72)</f>
        <v>0</v>
      </c>
      <c r="O74" s="231"/>
      <c r="P74" s="230">
        <f>SUM(P6:P72)</f>
        <v>0</v>
      </c>
      <c r="Q74" s="231"/>
      <c r="R74" s="230">
        <f>SUM(R6:R72)</f>
        <v>11624279.684999999</v>
      </c>
      <c r="S74" s="231"/>
      <c r="T74" s="230">
        <f>SUM(T6:T72)</f>
        <v>527557.55499999993</v>
      </c>
      <c r="U74" s="231"/>
      <c r="V74" s="230">
        <f>SUM(V6:V72)</f>
        <v>0</v>
      </c>
      <c r="W74" s="231"/>
      <c r="X74" s="230">
        <f>SUM(X6:X72)</f>
        <v>3034816.9810000011</v>
      </c>
      <c r="Y74" s="231"/>
      <c r="Z74" s="230">
        <f>SUM(Z6:Z72)</f>
        <v>0</v>
      </c>
      <c r="AA74" s="231"/>
      <c r="AB74" s="230">
        <f>SUM(AB6:AB72)</f>
        <v>0</v>
      </c>
      <c r="AC74" s="231"/>
      <c r="AD74" s="230">
        <f>SUM(AD6:AD72)</f>
        <v>0</v>
      </c>
      <c r="AE74" s="231"/>
      <c r="AF74" s="230">
        <f>SUM(AF6:AF72)</f>
        <v>266413.34499999997</v>
      </c>
      <c r="AG74" s="231"/>
      <c r="AH74" s="230">
        <f>SUM(AH6:AH72)</f>
        <v>0</v>
      </c>
      <c r="AI74" s="231"/>
      <c r="AJ74" s="230">
        <f>SUM(AJ6:AJ72)</f>
        <v>0</v>
      </c>
      <c r="AK74" s="231"/>
      <c r="AL74" s="230">
        <f>SUM(AL6:AL72)</f>
        <v>0</v>
      </c>
      <c r="AM74" s="231"/>
      <c r="AN74" s="230">
        <f>SUM(AN6:AN72)</f>
        <v>0</v>
      </c>
      <c r="AO74" s="231"/>
      <c r="AP74" s="230">
        <f>SUM(AP6:AP72)</f>
        <v>422228.40000000002</v>
      </c>
      <c r="AQ74" s="231"/>
      <c r="AR74" s="230">
        <f>SUM(AR6:AR72)</f>
        <v>1557683.3999999999</v>
      </c>
      <c r="AS74" s="231"/>
      <c r="AT74" s="230">
        <f>SUM(AT6:AT72)</f>
        <v>18373.32</v>
      </c>
      <c r="AU74" s="231"/>
      <c r="AV74" s="230">
        <f>SUM(AV6:AV72)</f>
        <v>298142.98499999999</v>
      </c>
      <c r="AW74" s="231"/>
      <c r="AX74" s="230">
        <f>SUM(AX6:AX72)</f>
        <v>0</v>
      </c>
      <c r="AY74" s="231"/>
      <c r="AZ74" s="230">
        <f>SUM(AZ6:AZ72)</f>
        <v>4647653.9400000004</v>
      </c>
      <c r="BA74" s="231"/>
      <c r="BB74" s="230">
        <f>SUM(BB6:BB72)</f>
        <v>0</v>
      </c>
      <c r="BC74" s="231"/>
      <c r="BD74" s="230">
        <f>SUM(BD6:BD72)</f>
        <v>0</v>
      </c>
      <c r="BE74" s="231"/>
      <c r="BF74" s="230">
        <f>SUM(BF6:BF72)</f>
        <v>0</v>
      </c>
      <c r="BG74" s="231"/>
      <c r="BH74" s="230">
        <f>SUM(BH6:BH72)</f>
        <v>336758.42499999999</v>
      </c>
      <c r="BI74" s="231"/>
      <c r="BJ74" s="230">
        <f>SUM(BJ6:BJ72)</f>
        <v>0</v>
      </c>
      <c r="BK74" s="231"/>
      <c r="BL74" s="230">
        <f>SUM(BL6:BL72)</f>
        <v>761279.875</v>
      </c>
      <c r="BM74" s="231"/>
      <c r="BN74" s="230">
        <f>SUM(BN6:BN72)</f>
        <v>1227772.8899999999</v>
      </c>
      <c r="BO74" s="231"/>
      <c r="BP74" s="230">
        <f>SUM(BP6:BP72)</f>
        <v>0</v>
      </c>
      <c r="BQ74" s="231"/>
      <c r="BR74" s="230">
        <f>SUM(BR6:BR72)</f>
        <v>0</v>
      </c>
      <c r="BS74" s="225"/>
      <c r="BT74" s="231"/>
      <c r="BU74" s="230">
        <f>SUM(BU10:BU72)</f>
        <v>28229023</v>
      </c>
    </row>
    <row r="75" spans="1:73" ht="14.25">
      <c r="A75" s="229"/>
      <c r="B75" s="228"/>
      <c r="C75" s="224">
        <f>IFERROR(ROUND(D74/C73,2),0)</f>
        <v>0</v>
      </c>
      <c r="D75" s="223"/>
      <c r="E75" s="224">
        <f>IFERROR(ROUND(F74/E73,2),0)</f>
        <v>0</v>
      </c>
      <c r="F75" s="223"/>
      <c r="G75" s="224">
        <f>IFERROR(ROUND(H74/G73,2),0)</f>
        <v>8.4800000000000004</v>
      </c>
      <c r="H75" s="223"/>
      <c r="I75" s="224">
        <f>IFERROR(ROUND(J74/I73,2),0)</f>
        <v>22.59</v>
      </c>
      <c r="J75" s="223"/>
      <c r="K75" s="224">
        <f>IFERROR(ROUND(L74/K73,2),0)</f>
        <v>0</v>
      </c>
      <c r="L75" s="223"/>
      <c r="M75" s="224">
        <f>IFERROR(ROUND(N74/M73,2),0)</f>
        <v>0</v>
      </c>
      <c r="N75" s="223"/>
      <c r="O75" s="224">
        <f>IFERROR(ROUND(P74/O73,2),0)</f>
        <v>0</v>
      </c>
      <c r="P75" s="223"/>
      <c r="Q75" s="224">
        <f>IFERROR(ROUND(R74/Q73,2),0)</f>
        <v>18.210000000000001</v>
      </c>
      <c r="R75" s="223"/>
      <c r="S75" s="224">
        <f>IFERROR(ROUND(T74/S73,2),0)</f>
        <v>37.799999999999997</v>
      </c>
      <c r="T75" s="223"/>
      <c r="U75" s="224">
        <f>IFERROR(ROUND(V74/U73,2),0)</f>
        <v>0</v>
      </c>
      <c r="V75" s="223"/>
      <c r="W75" s="227">
        <f>IFERROR(ROUND(X74/W73,2),0)</f>
        <v>18.559999999999999</v>
      </c>
      <c r="X75" s="223"/>
      <c r="Y75" s="226">
        <f>IFERROR(ROUND(Z74/Y73,2),0)</f>
        <v>0</v>
      </c>
      <c r="Z75" s="226"/>
      <c r="AA75" s="224">
        <f>IFERROR(ROUND(AB74/AA73,2),0)</f>
        <v>0</v>
      </c>
      <c r="AB75" s="223"/>
      <c r="AC75" s="226">
        <f>IFERROR(ROUND(AD74/AC73,2),0)</f>
        <v>0</v>
      </c>
      <c r="AD75" s="226"/>
      <c r="AE75" s="224">
        <f>IFERROR(ROUND(AF74/AE73,2),0)</f>
        <v>29.489999999999998</v>
      </c>
      <c r="AF75" s="223"/>
      <c r="AG75" s="224">
        <f>IFERROR(ROUND(AH74/AG73,2),0)</f>
        <v>0</v>
      </c>
      <c r="AH75" s="223"/>
      <c r="AI75" s="224">
        <f>IFERROR(ROUND(AJ74/AI73,2),0)</f>
        <v>0</v>
      </c>
      <c r="AJ75" s="223"/>
      <c r="AK75" s="224">
        <f>IFERROR(ROUND(AL74/AK73,2),0)</f>
        <v>0</v>
      </c>
      <c r="AL75" s="223"/>
      <c r="AM75" s="224">
        <f>IFERROR(ROUND(AN74/AM73,2),0)</f>
        <v>0</v>
      </c>
      <c r="AN75" s="223"/>
      <c r="AO75" s="224">
        <f>IFERROR(ROUND(AP74/AO73,2),0)</f>
        <v>14.5</v>
      </c>
      <c r="AP75" s="223"/>
      <c r="AQ75" s="224">
        <f>IFERROR(ROUND(AR74/AQ73,2),0)</f>
        <v>10.5</v>
      </c>
      <c r="AR75" s="223"/>
      <c r="AS75" s="224">
        <f>IFERROR(ROUND(AT74/AS73,2),0)</f>
        <v>10.5</v>
      </c>
      <c r="AT75" s="223"/>
      <c r="AU75" s="224">
        <f>IFERROR(ROUND(AV74/AU73,2),0)</f>
        <v>10.5</v>
      </c>
      <c r="AV75" s="223"/>
      <c r="AW75" s="224">
        <f>IFERROR(ROUND(AX74/AW73,2),0)</f>
        <v>0</v>
      </c>
      <c r="AX75" s="223"/>
      <c r="AY75" s="224">
        <f>IFERROR(ROUND(AZ74/AY73,2),0)</f>
        <v>11.19</v>
      </c>
      <c r="AZ75" s="223"/>
      <c r="BA75" s="224">
        <f>IFERROR(ROUND(BB74/BA73,2),0)</f>
        <v>0</v>
      </c>
      <c r="BB75" s="223"/>
      <c r="BC75" s="224">
        <f>IFERROR(ROUND(BD74/BC73,2),0)</f>
        <v>0</v>
      </c>
      <c r="BD75" s="223"/>
      <c r="BE75" s="224">
        <f>IFERROR(ROUND(BF74/BE73,2),0)</f>
        <v>0</v>
      </c>
      <c r="BF75" s="223"/>
      <c r="BG75" s="224">
        <f>IFERROR(ROUND(BH74/BG73,2),0)</f>
        <v>15.5</v>
      </c>
      <c r="BH75" s="223"/>
      <c r="BI75" s="224">
        <f>IFERROR(ROUND(BJ74/BI73,2),0)</f>
        <v>0</v>
      </c>
      <c r="BJ75" s="223"/>
      <c r="BK75" s="224">
        <f>IFERROR(ROUND(BL74/BK73,2),0)</f>
        <v>12.5</v>
      </c>
      <c r="BL75" s="223"/>
      <c r="BM75" s="224">
        <f>IFERROR(ROUND(BN74/BM73,2),0)</f>
        <v>13.5</v>
      </c>
      <c r="BN75" s="223"/>
      <c r="BO75" s="224">
        <f>IFERROR(ROUND(BP74/BO73,2),0)</f>
        <v>0</v>
      </c>
      <c r="BP75" s="223"/>
      <c r="BQ75" s="224">
        <f>IFERROR(ROUND(BR74/BQ73,2),0)</f>
        <v>0</v>
      </c>
      <c r="BR75" s="223"/>
      <c r="BS75" s="225"/>
      <c r="BT75" s="224">
        <f>IFERROR(ROUND(BU74/BT73,2),0)</f>
        <v>15.25</v>
      </c>
      <c r="BU75" s="223"/>
    </row>
    <row r="76" spans="75:77" ht="14.25">
      <c r="BW76" s="7" t="s">
        <v>176</v>
      </c>
      <c r="BX76" s="7">
        <v>3545163</v>
      </c>
      <c r="BY76" s="332">
        <f>BT73+BX76</f>
        <v>5396291</v>
      </c>
    </row>
  </sheetData>
  <mergeCells count="6">
    <mergeCell ref="G1:AF1"/>
    <mergeCell ref="G2:AF2"/>
    <mergeCell ref="G3:AF3"/>
    <mergeCell ref="AO1:BH1"/>
    <mergeCell ref="AO2:BH2"/>
    <mergeCell ref="AO3:BH3"/>
  </mergeCells>
  <printOptions horizontalCentered="1"/>
  <pageMargins left="0.5" right="0.5" top="0.98" bottom="0.5" header="0.5" footer="0.2"/>
  <pageSetup fitToWidth="0" orientation="portrait" scale="69"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colBreaks count="2" manualBreakCount="2">
    <brk id="40" max="74" man="1"/>
    <brk id="60" max="74"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U92"/>
  <sheetViews>
    <sheetView workbookViewId="0" topLeftCell="A1">
      <pane xSplit="2" ySplit="5" topLeftCell="W60" activePane="bottomRight" state="frozen"/>
      <selection pane="topLeft" activeCell="AP10" sqref="AP10"/>
      <selection pane="bottomLeft" activeCell="AP10" sqref="AP10"/>
      <selection pane="topRight" activeCell="AP10" sqref="AP10"/>
      <selection pane="bottomRight" activeCell="A1" sqref="A1:XFD1048576"/>
    </sheetView>
  </sheetViews>
  <sheetFormatPr defaultColWidth="8.71428571428571" defaultRowHeight="14.25"/>
  <cols>
    <col min="1" max="2" width="8" style="7" customWidth="1"/>
    <col min="3" max="3" width="5.71428571428571" style="7" hidden="1" customWidth="1"/>
    <col min="4" max="4" width="9.85714285714286" style="7" hidden="1" customWidth="1"/>
    <col min="5" max="5" width="4.57142857142857" style="7" hidden="1" customWidth="1"/>
    <col min="6" max="6" width="9.85714285714286" style="7" hidden="1" customWidth="1"/>
    <col min="7" max="7" width="10.5714285714286" style="7" bestFit="1" customWidth="1"/>
    <col min="8" max="8" width="11.5714285714286" style="7" bestFit="1" customWidth="1"/>
    <col min="9" max="9" width="9" style="7" bestFit="1" customWidth="1"/>
    <col min="10" max="10" width="11.5714285714286" style="7" bestFit="1" customWidth="1"/>
    <col min="11" max="11" width="6.28571428571429" style="7" hidden="1" customWidth="1"/>
    <col min="12" max="12" width="9.85714285714286" style="7" hidden="1" customWidth="1"/>
    <col min="13" max="13" width="4.57142857142857" style="7" hidden="1" customWidth="1"/>
    <col min="14" max="14" width="9.85714285714286" style="7" hidden="1" customWidth="1"/>
    <col min="15" max="15" width="4.57142857142857" style="7" hidden="1" customWidth="1"/>
    <col min="16" max="16" width="9.85714285714286" style="7" hidden="1" customWidth="1"/>
    <col min="17" max="17" width="9" style="7" bestFit="1" customWidth="1"/>
    <col min="18" max="18" width="11.5714285714286" style="7" bestFit="1" customWidth="1"/>
    <col min="19" max="19" width="9" style="7" bestFit="1" customWidth="1"/>
    <col min="20" max="20" width="11.5714285714286" style="7" bestFit="1" customWidth="1"/>
    <col min="21" max="21" width="6.28571428571429" style="7" hidden="1" customWidth="1"/>
    <col min="22" max="22" width="9.85714285714286" style="7" hidden="1" customWidth="1"/>
    <col min="23" max="23" width="8" style="7" bestFit="1" customWidth="1"/>
    <col min="24" max="24" width="10.5714285714286" style="7" bestFit="1" customWidth="1"/>
    <col min="25" max="25" width="5.71428571428571" style="7" hidden="1" customWidth="1"/>
    <col min="26" max="26" width="9.85714285714286" style="7" hidden="1" customWidth="1"/>
    <col min="27" max="27" width="4.57142857142857" style="7" hidden="1" customWidth="1"/>
    <col min="28" max="28" width="9.85714285714286" style="7" hidden="1" customWidth="1"/>
    <col min="29" max="29" width="5.71428571428571" style="7" hidden="1" customWidth="1"/>
    <col min="30" max="30" width="9.85714285714286" style="7" hidden="1" customWidth="1"/>
    <col min="31" max="31" width="7" style="7" bestFit="1" customWidth="1"/>
    <col min="32" max="32" width="9.85714285714286" style="7" bestFit="1" customWidth="1"/>
    <col min="33" max="33" width="4.57142857142857" style="7" hidden="1" customWidth="1"/>
    <col min="34" max="34" width="9.85714285714286" style="7" hidden="1" customWidth="1"/>
    <col min="35" max="35" width="8" style="7" bestFit="1" customWidth="1"/>
    <col min="36" max="36" width="10.5714285714286" style="7" bestFit="1" customWidth="1"/>
    <col min="37" max="37" width="4.57142857142857" style="7" hidden="1" customWidth="1"/>
    <col min="38" max="38" width="9.85714285714286" style="7" hidden="1" customWidth="1"/>
    <col min="39" max="39" width="8" style="7" bestFit="1" customWidth="1"/>
    <col min="40" max="40" width="9.85714285714286" style="7" bestFit="1" customWidth="1"/>
    <col min="41" max="41" width="9" style="7" bestFit="1" customWidth="1"/>
    <col min="42" max="42" width="10.5714285714286" style="7" bestFit="1" customWidth="1"/>
    <col min="43" max="43" width="7" style="7" bestFit="1" customWidth="1"/>
    <col min="44" max="44" width="9.85714285714286" style="7" bestFit="1" customWidth="1"/>
    <col min="45" max="45" width="9" style="7" bestFit="1" customWidth="1"/>
    <col min="46" max="46" width="10.5714285714286" style="7" bestFit="1" customWidth="1"/>
    <col min="47" max="47" width="5.71428571428571" style="7" hidden="1" customWidth="1"/>
    <col min="48" max="48" width="9.85714285714286" style="7" hidden="1" customWidth="1"/>
    <col min="49" max="49" width="8" style="7" bestFit="1" customWidth="1"/>
    <col min="50" max="50" width="9.85714285714286" style="7" bestFit="1" customWidth="1"/>
    <col min="51" max="51" width="9" style="7" bestFit="1" customWidth="1"/>
    <col min="52" max="52" width="10.5714285714286" style="7" bestFit="1" customWidth="1"/>
    <col min="53" max="53" width="5.71428571428571" style="7" hidden="1" customWidth="1"/>
    <col min="54" max="54" width="9.85714285714286" style="7" hidden="1" customWidth="1"/>
    <col min="55" max="55" width="5.71428571428571" style="7" hidden="1" customWidth="1"/>
    <col min="56" max="56" width="9.85714285714286" style="7" hidden="1" customWidth="1"/>
    <col min="57" max="57" width="5.71428571428571" style="7" bestFit="1" customWidth="1"/>
    <col min="58" max="58" width="9.85714285714286" style="7" bestFit="1" customWidth="1"/>
    <col min="59" max="59" width="8" style="7" bestFit="1" customWidth="1"/>
    <col min="60" max="60" width="9.85714285714286" style="7" bestFit="1" customWidth="1"/>
    <col min="61" max="61" width="5.71428571428571" style="7" hidden="1" customWidth="1"/>
    <col min="62" max="62" width="9.85714285714286" style="7" hidden="1" customWidth="1"/>
    <col min="63" max="63" width="5.71428571428571" style="7" hidden="1" customWidth="1"/>
    <col min="64" max="64" width="9.85714285714286" style="7" hidden="1" customWidth="1"/>
    <col min="65" max="65" width="9" style="7" bestFit="1" customWidth="1"/>
    <col min="66" max="66" width="10.5714285714286" style="7" bestFit="1" customWidth="1"/>
    <col min="67" max="67" width="8" style="7" bestFit="1" customWidth="1"/>
    <col min="68" max="68" width="9.85714285714286" style="7" bestFit="1" customWidth="1"/>
    <col min="69" max="69" width="4.57142857142857" style="7" hidden="1" customWidth="1"/>
    <col min="70" max="70" width="9.85714285714286" style="7" hidden="1" customWidth="1"/>
    <col min="71" max="71" width="2.42857142857143" style="7" customWidth="1"/>
    <col min="72" max="72" width="10.5714285714286" style="7" bestFit="1" customWidth="1"/>
    <col min="73" max="73" width="12.5714285714286" style="7" bestFit="1" customWidth="1"/>
    <col min="74" max="16384" width="8.71428571428571" style="7"/>
  </cols>
  <sheetData>
    <row r="1" spans="1:73" s="531" customFormat="1" ht="18">
      <c r="A1" s="541"/>
      <c r="B1" s="541"/>
      <c r="C1" s="541"/>
      <c r="D1" s="541"/>
      <c r="E1" s="541"/>
      <c r="F1" s="541"/>
      <c r="G1" s="914" t="s">
        <v>56</v>
      </c>
      <c r="H1" s="914"/>
      <c r="I1" s="914"/>
      <c r="J1" s="914"/>
      <c r="K1" s="914"/>
      <c r="L1" s="914"/>
      <c r="M1" s="914"/>
      <c r="N1" s="914"/>
      <c r="O1" s="914"/>
      <c r="P1" s="914"/>
      <c r="Q1" s="914"/>
      <c r="R1" s="914"/>
      <c r="S1" s="914"/>
      <c r="T1" s="914"/>
      <c r="U1" s="914"/>
      <c r="V1" s="914"/>
      <c r="W1" s="914"/>
      <c r="X1" s="914"/>
      <c r="Y1" s="914"/>
      <c r="Z1" s="914"/>
      <c r="AA1" s="914"/>
      <c r="AB1" s="914"/>
      <c r="AC1" s="914"/>
      <c r="AD1" s="914"/>
      <c r="AE1" s="914"/>
      <c r="AF1" s="914"/>
      <c r="AG1" s="541"/>
      <c r="AH1" s="541"/>
      <c r="AI1" s="914" t="str">
        <f>G1</f>
        <v>FLORIDA PUBLIC UTILITIES - CONSOLIDATED NATURAL GAS</v>
      </c>
      <c r="AJ1" s="914"/>
      <c r="AK1" s="914"/>
      <c r="AL1" s="914"/>
      <c r="AM1" s="914"/>
      <c r="AN1" s="914"/>
      <c r="AO1" s="914"/>
      <c r="AP1" s="914"/>
      <c r="AQ1" s="914"/>
      <c r="AR1" s="914"/>
      <c r="AS1" s="914"/>
      <c r="AT1" s="914"/>
      <c r="AU1" s="914"/>
      <c r="AV1" s="914"/>
      <c r="AW1" s="914"/>
      <c r="AX1" s="914"/>
      <c r="AY1" s="914" t="str">
        <f>AI1</f>
        <v>FLORIDA PUBLIC UTILITIES - CONSOLIDATED NATURAL GAS</v>
      </c>
      <c r="AZ1" s="914"/>
      <c r="BA1" s="914"/>
      <c r="BB1" s="914"/>
      <c r="BC1" s="914"/>
      <c r="BD1" s="914"/>
      <c r="BE1" s="914"/>
      <c r="BF1" s="914"/>
      <c r="BG1" s="914"/>
      <c r="BH1" s="914"/>
      <c r="BI1" s="914"/>
      <c r="BJ1" s="914"/>
      <c r="BK1" s="914"/>
      <c r="BL1" s="914"/>
      <c r="BM1" s="914"/>
      <c r="BN1" s="914"/>
      <c r="BO1" s="914"/>
      <c r="BP1" s="914"/>
      <c r="BQ1" s="914"/>
      <c r="BR1" s="914"/>
      <c r="BS1" s="914"/>
      <c r="BT1" s="914"/>
      <c r="BU1" s="914"/>
    </row>
    <row r="2" spans="7:73" s="532" customFormat="1" ht="12.75">
      <c r="G2" s="915" t="s">
        <v>649</v>
      </c>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539"/>
      <c r="AH2" s="539"/>
      <c r="AI2" s="915" t="str">
        <f>G2</f>
        <v xml:space="preserve">FPUC, FPUC - Common, FPUC - Indiantown, Florida Division of Chesapeake Utilities Corporation, FPUC - Ft Meade      </v>
      </c>
      <c r="AJ2" s="915"/>
      <c r="AK2" s="915"/>
      <c r="AL2" s="915"/>
      <c r="AM2" s="915"/>
      <c r="AN2" s="915"/>
      <c r="AO2" s="915"/>
      <c r="AP2" s="915"/>
      <c r="AQ2" s="915"/>
      <c r="AR2" s="915"/>
      <c r="AS2" s="915"/>
      <c r="AT2" s="915"/>
      <c r="AU2" s="915"/>
      <c r="AV2" s="915"/>
      <c r="AW2" s="915"/>
      <c r="AX2" s="915"/>
      <c r="AY2" s="915" t="str">
        <f>AI2</f>
        <v xml:space="preserve">FPUC, FPUC - Common, FPUC - Indiantown, Florida Division of Chesapeake Utilities Corporation, FPUC - Ft Meade      </v>
      </c>
      <c r="AZ2" s="915"/>
      <c r="BA2" s="915"/>
      <c r="BB2" s="915"/>
      <c r="BC2" s="915"/>
      <c r="BD2" s="915"/>
      <c r="BE2" s="915"/>
      <c r="BF2" s="915"/>
      <c r="BG2" s="915"/>
      <c r="BH2" s="915"/>
      <c r="BI2" s="915"/>
      <c r="BJ2" s="915"/>
      <c r="BK2" s="915"/>
      <c r="BL2" s="915"/>
      <c r="BM2" s="915"/>
      <c r="BN2" s="915"/>
      <c r="BO2" s="915"/>
      <c r="BP2" s="915"/>
      <c r="BQ2" s="915"/>
      <c r="BR2" s="915"/>
      <c r="BS2" s="915"/>
      <c r="BT2" s="915"/>
      <c r="BU2" s="915"/>
    </row>
    <row r="3" spans="7:73" s="533" customFormat="1" ht="15.75">
      <c r="G3" s="916" t="s">
        <v>654</v>
      </c>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G3" s="540"/>
      <c r="AH3" s="540"/>
      <c r="AI3" s="916" t="str">
        <f>G3</f>
        <v>PROJECTED 2022 RETIREMENTS</v>
      </c>
      <c r="AJ3" s="916"/>
      <c r="AK3" s="916"/>
      <c r="AL3" s="916"/>
      <c r="AM3" s="916"/>
      <c r="AN3" s="916"/>
      <c r="AO3" s="916"/>
      <c r="AP3" s="916"/>
      <c r="AQ3" s="916"/>
      <c r="AR3" s="916"/>
      <c r="AS3" s="916"/>
      <c r="AT3" s="916"/>
      <c r="AU3" s="916"/>
      <c r="AV3" s="916"/>
      <c r="AW3" s="916"/>
      <c r="AX3" s="916"/>
      <c r="AY3" s="916" t="str">
        <f>AI3</f>
        <v>PROJECTED 2022 RETIREMENTS</v>
      </c>
      <c r="AZ3" s="916"/>
      <c r="BA3" s="916"/>
      <c r="BB3" s="916"/>
      <c r="BC3" s="916"/>
      <c r="BD3" s="916"/>
      <c r="BE3" s="916"/>
      <c r="BF3" s="916"/>
      <c r="BG3" s="916"/>
      <c r="BH3" s="916"/>
      <c r="BI3" s="916"/>
      <c r="BJ3" s="916"/>
      <c r="BK3" s="916"/>
      <c r="BL3" s="916"/>
      <c r="BM3" s="916"/>
      <c r="BN3" s="916"/>
      <c r="BO3" s="916"/>
      <c r="BP3" s="916"/>
      <c r="BQ3" s="916"/>
      <c r="BR3" s="916"/>
      <c r="BS3" s="916"/>
      <c r="BT3" s="916"/>
      <c r="BU3" s="916"/>
    </row>
    <row r="5" spans="1:73" ht="15.75">
      <c r="A5" s="247" t="s">
        <v>169</v>
      </c>
      <c r="B5" s="246" t="s">
        <v>72</v>
      </c>
      <c r="C5" s="243">
        <v>3741</v>
      </c>
      <c r="D5" s="242" t="s">
        <v>170</v>
      </c>
      <c r="E5" s="243">
        <v>375</v>
      </c>
      <c r="F5" s="242" t="s">
        <v>170</v>
      </c>
      <c r="G5" s="243">
        <v>3761</v>
      </c>
      <c r="H5" s="242" t="s">
        <v>170</v>
      </c>
      <c r="I5" s="243">
        <v>3762</v>
      </c>
      <c r="J5" s="242" t="s">
        <v>170</v>
      </c>
      <c r="K5" s="243" t="s">
        <v>87</v>
      </c>
      <c r="L5" s="242" t="s">
        <v>170</v>
      </c>
      <c r="M5" s="243">
        <v>378</v>
      </c>
      <c r="N5" s="242" t="s">
        <v>170</v>
      </c>
      <c r="O5" s="243">
        <v>379</v>
      </c>
      <c r="P5" s="242" t="s">
        <v>170</v>
      </c>
      <c r="Q5" s="243">
        <v>3801</v>
      </c>
      <c r="R5" s="242" t="s">
        <v>170</v>
      </c>
      <c r="S5" s="243">
        <v>3802</v>
      </c>
      <c r="T5" s="242" t="s">
        <v>170</v>
      </c>
      <c r="U5" s="243" t="s">
        <v>95</v>
      </c>
      <c r="V5" s="242" t="s">
        <v>170</v>
      </c>
      <c r="W5" s="245">
        <v>381</v>
      </c>
      <c r="X5" s="242" t="s">
        <v>170</v>
      </c>
      <c r="Y5" s="245">
        <v>3811</v>
      </c>
      <c r="Z5" s="242" t="s">
        <v>170</v>
      </c>
      <c r="AA5" s="243">
        <v>382</v>
      </c>
      <c r="AB5" s="242" t="s">
        <v>170</v>
      </c>
      <c r="AC5" s="243">
        <v>3821</v>
      </c>
      <c r="AD5" s="242" t="s">
        <v>170</v>
      </c>
      <c r="AE5" s="243">
        <v>383</v>
      </c>
      <c r="AF5" s="242" t="s">
        <v>170</v>
      </c>
      <c r="AG5" s="243">
        <v>384</v>
      </c>
      <c r="AH5" s="242" t="s">
        <v>170</v>
      </c>
      <c r="AI5" s="243">
        <v>385</v>
      </c>
      <c r="AJ5" s="242" t="s">
        <v>170</v>
      </c>
      <c r="AK5" s="243">
        <v>387</v>
      </c>
      <c r="AL5" s="242" t="s">
        <v>170</v>
      </c>
      <c r="AM5" s="243">
        <v>390</v>
      </c>
      <c r="AN5" s="242" t="s">
        <v>170</v>
      </c>
      <c r="AO5" s="243">
        <v>3910</v>
      </c>
      <c r="AP5" s="242" t="s">
        <v>170</v>
      </c>
      <c r="AQ5" s="243">
        <v>3912</v>
      </c>
      <c r="AR5" s="242" t="s">
        <v>170</v>
      </c>
      <c r="AS5" s="243">
        <v>3913</v>
      </c>
      <c r="AT5" s="242" t="s">
        <v>170</v>
      </c>
      <c r="AU5" s="243">
        <v>3914</v>
      </c>
      <c r="AV5" s="242" t="s">
        <v>170</v>
      </c>
      <c r="AW5" s="243">
        <v>3921</v>
      </c>
      <c r="AX5" s="242" t="s">
        <v>170</v>
      </c>
      <c r="AY5" s="243">
        <v>3922</v>
      </c>
      <c r="AZ5" s="242" t="s">
        <v>170</v>
      </c>
      <c r="BA5" s="243">
        <v>3923</v>
      </c>
      <c r="BB5" s="242" t="s">
        <v>170</v>
      </c>
      <c r="BC5" s="243">
        <v>3924</v>
      </c>
      <c r="BD5" s="242" t="s">
        <v>170</v>
      </c>
      <c r="BE5" s="243">
        <v>3930</v>
      </c>
      <c r="BF5" s="242" t="s">
        <v>170</v>
      </c>
      <c r="BG5" s="243">
        <v>3940</v>
      </c>
      <c r="BH5" s="242" t="s">
        <v>170</v>
      </c>
      <c r="BI5" s="243">
        <v>3950</v>
      </c>
      <c r="BJ5" s="242" t="s">
        <v>170</v>
      </c>
      <c r="BK5" s="243">
        <v>3960</v>
      </c>
      <c r="BL5" s="242" t="s">
        <v>170</v>
      </c>
      <c r="BM5" s="243">
        <v>3970</v>
      </c>
      <c r="BN5" s="242" t="s">
        <v>170</v>
      </c>
      <c r="BO5" s="243">
        <v>398</v>
      </c>
      <c r="BP5" s="242" t="s">
        <v>170</v>
      </c>
      <c r="BQ5" s="243">
        <v>399</v>
      </c>
      <c r="BR5" s="242" t="s">
        <v>170</v>
      </c>
      <c r="BS5" s="244"/>
      <c r="BT5" s="243" t="s">
        <v>171</v>
      </c>
      <c r="BU5" s="242" t="s">
        <v>170</v>
      </c>
    </row>
    <row r="6" spans="1:73" ht="14.25">
      <c r="A6" s="241">
        <v>1929</v>
      </c>
      <c r="B6" s="240">
        <f t="shared" si="0" ref="B6:B14">$A$89-A6+0.5</f>
        <v>93.5</v>
      </c>
      <c r="C6" s="239">
        <v>0</v>
      </c>
      <c r="D6" s="238">
        <v>0</v>
      </c>
      <c r="E6" s="239">
        <v>0</v>
      </c>
      <c r="F6" s="238">
        <v>0</v>
      </c>
      <c r="G6" s="239">
        <v>0</v>
      </c>
      <c r="H6" s="238">
        <v>0</v>
      </c>
      <c r="I6" s="239">
        <v>1683.21</v>
      </c>
      <c r="J6" s="238">
        <v>157380.13500000001</v>
      </c>
      <c r="K6" s="239">
        <v>0</v>
      </c>
      <c r="L6" s="238">
        <v>0</v>
      </c>
      <c r="M6" s="239">
        <v>0</v>
      </c>
      <c r="N6" s="238">
        <v>0</v>
      </c>
      <c r="O6" s="239">
        <v>0</v>
      </c>
      <c r="P6" s="238">
        <v>0</v>
      </c>
      <c r="Q6" s="239">
        <v>0</v>
      </c>
      <c r="R6" s="238">
        <v>0</v>
      </c>
      <c r="S6" s="239">
        <v>0</v>
      </c>
      <c r="T6" s="238">
        <v>0</v>
      </c>
      <c r="U6" s="239">
        <v>0</v>
      </c>
      <c r="V6" s="238">
        <v>0</v>
      </c>
      <c r="W6" s="239">
        <v>0</v>
      </c>
      <c r="X6" s="238">
        <v>0</v>
      </c>
      <c r="Y6" s="239">
        <v>0</v>
      </c>
      <c r="Z6" s="238">
        <v>0</v>
      </c>
      <c r="AA6" s="239">
        <v>0</v>
      </c>
      <c r="AB6" s="238">
        <v>0</v>
      </c>
      <c r="AC6" s="239">
        <v>0</v>
      </c>
      <c r="AD6" s="238">
        <v>0</v>
      </c>
      <c r="AE6" s="239">
        <v>0</v>
      </c>
      <c r="AF6" s="238">
        <v>0</v>
      </c>
      <c r="AG6" s="239">
        <v>0</v>
      </c>
      <c r="AH6" s="238">
        <v>0</v>
      </c>
      <c r="AI6" s="239">
        <v>0</v>
      </c>
      <c r="AJ6" s="238">
        <v>0</v>
      </c>
      <c r="AK6" s="239">
        <v>0</v>
      </c>
      <c r="AL6" s="238">
        <v>0</v>
      </c>
      <c r="AM6" s="239">
        <v>0</v>
      </c>
      <c r="AN6" s="238">
        <v>0</v>
      </c>
      <c r="AO6" s="239">
        <v>0</v>
      </c>
      <c r="AP6" s="238">
        <v>0</v>
      </c>
      <c r="AQ6" s="239">
        <v>0</v>
      </c>
      <c r="AR6" s="238">
        <v>0</v>
      </c>
      <c r="AS6" s="239">
        <v>0</v>
      </c>
      <c r="AT6" s="238">
        <v>0</v>
      </c>
      <c r="AU6" s="239">
        <v>0</v>
      </c>
      <c r="AV6" s="238">
        <v>0</v>
      </c>
      <c r="AW6" s="239">
        <v>0</v>
      </c>
      <c r="AX6" s="238">
        <v>0</v>
      </c>
      <c r="AY6" s="239">
        <v>0</v>
      </c>
      <c r="AZ6" s="238">
        <v>0</v>
      </c>
      <c r="BA6" s="239">
        <v>0</v>
      </c>
      <c r="BB6" s="238">
        <v>0</v>
      </c>
      <c r="BC6" s="239">
        <v>0</v>
      </c>
      <c r="BD6" s="238">
        <v>0</v>
      </c>
      <c r="BE6" s="239">
        <v>0</v>
      </c>
      <c r="BF6" s="238">
        <v>0</v>
      </c>
      <c r="BG6" s="239">
        <v>0</v>
      </c>
      <c r="BH6" s="238">
        <v>0</v>
      </c>
      <c r="BI6" s="239">
        <v>0</v>
      </c>
      <c r="BJ6" s="238">
        <v>0</v>
      </c>
      <c r="BK6" s="239">
        <v>0</v>
      </c>
      <c r="BL6" s="238">
        <v>0</v>
      </c>
      <c r="BM6" s="239">
        <v>0</v>
      </c>
      <c r="BN6" s="238">
        <v>0</v>
      </c>
      <c r="BO6" s="239">
        <v>0</v>
      </c>
      <c r="BP6" s="238">
        <v>0</v>
      </c>
      <c r="BQ6" s="239">
        <v>0</v>
      </c>
      <c r="BR6" s="238">
        <v>0</v>
      </c>
      <c r="BS6" s="225"/>
      <c r="BT6" s="239">
        <f>ROUND(+BO6+BM6+BK6+BG6+BE6+BC6+AY6+AW6+AS6+AQ6+AO6+AM6+AK6+AI6+AG6+AE6+AA6+C6+E6+G6+I6+M6+O6+Q6+S6+W6+BQ6+AC6+Y6+BI6+BA6+K6+U6+AU6,0)</f>
        <v>1683</v>
      </c>
      <c r="BU6" s="238">
        <f>+BT6*$B6</f>
        <v>157360.5</v>
      </c>
    </row>
    <row r="7" spans="1:73" ht="14.25">
      <c r="A7" s="241">
        <v>1940</v>
      </c>
      <c r="B7" s="240">
        <f t="shared" si="0"/>
        <v>82.5</v>
      </c>
      <c r="C7" s="239">
        <v>0</v>
      </c>
      <c r="D7" s="238">
        <v>0</v>
      </c>
      <c r="E7" s="239">
        <v>0</v>
      </c>
      <c r="F7" s="238">
        <v>0</v>
      </c>
      <c r="G7" s="239">
        <v>0</v>
      </c>
      <c r="H7" s="238">
        <v>0</v>
      </c>
      <c r="I7" s="239">
        <v>214715.95999999999</v>
      </c>
      <c r="J7" s="238">
        <v>17714066.699999999</v>
      </c>
      <c r="K7" s="239">
        <v>0</v>
      </c>
      <c r="L7" s="238">
        <v>0</v>
      </c>
      <c r="M7" s="239">
        <v>0</v>
      </c>
      <c r="N7" s="238">
        <v>0</v>
      </c>
      <c r="O7" s="239">
        <v>0</v>
      </c>
      <c r="P7" s="238">
        <v>0</v>
      </c>
      <c r="Q7" s="239">
        <v>0</v>
      </c>
      <c r="R7" s="238">
        <v>0</v>
      </c>
      <c r="S7" s="239">
        <v>0</v>
      </c>
      <c r="T7" s="238">
        <v>0</v>
      </c>
      <c r="U7" s="239">
        <v>0</v>
      </c>
      <c r="V7" s="238">
        <v>0</v>
      </c>
      <c r="W7" s="239">
        <v>0</v>
      </c>
      <c r="X7" s="238">
        <v>0</v>
      </c>
      <c r="Y7" s="239">
        <v>0</v>
      </c>
      <c r="Z7" s="238">
        <v>0</v>
      </c>
      <c r="AA7" s="239">
        <v>0</v>
      </c>
      <c r="AB7" s="238">
        <v>0</v>
      </c>
      <c r="AC7" s="239">
        <v>0</v>
      </c>
      <c r="AD7" s="238">
        <v>0</v>
      </c>
      <c r="AE7" s="239">
        <v>0</v>
      </c>
      <c r="AF7" s="238">
        <v>0</v>
      </c>
      <c r="AG7" s="239">
        <v>0</v>
      </c>
      <c r="AH7" s="238">
        <v>0</v>
      </c>
      <c r="AI7" s="239">
        <v>0</v>
      </c>
      <c r="AJ7" s="238">
        <v>0</v>
      </c>
      <c r="AK7" s="239">
        <v>0</v>
      </c>
      <c r="AL7" s="238">
        <v>0</v>
      </c>
      <c r="AM7" s="239">
        <v>0</v>
      </c>
      <c r="AN7" s="238">
        <v>0</v>
      </c>
      <c r="AO7" s="239">
        <v>0</v>
      </c>
      <c r="AP7" s="238">
        <v>0</v>
      </c>
      <c r="AQ7" s="239">
        <v>0</v>
      </c>
      <c r="AR7" s="238">
        <v>0</v>
      </c>
      <c r="AS7" s="239">
        <v>0</v>
      </c>
      <c r="AT7" s="238">
        <v>0</v>
      </c>
      <c r="AU7" s="239">
        <v>0</v>
      </c>
      <c r="AV7" s="238">
        <v>0</v>
      </c>
      <c r="AW7" s="239">
        <v>0</v>
      </c>
      <c r="AX7" s="238">
        <v>0</v>
      </c>
      <c r="AY7" s="239">
        <v>0</v>
      </c>
      <c r="AZ7" s="238">
        <v>0</v>
      </c>
      <c r="BA7" s="239">
        <v>0</v>
      </c>
      <c r="BB7" s="238">
        <v>0</v>
      </c>
      <c r="BC7" s="239">
        <v>0</v>
      </c>
      <c r="BD7" s="238">
        <v>0</v>
      </c>
      <c r="BE7" s="239">
        <v>0</v>
      </c>
      <c r="BF7" s="238">
        <v>0</v>
      </c>
      <c r="BG7" s="239">
        <v>0</v>
      </c>
      <c r="BH7" s="238">
        <v>0</v>
      </c>
      <c r="BI7" s="239">
        <v>0</v>
      </c>
      <c r="BJ7" s="238">
        <v>0</v>
      </c>
      <c r="BK7" s="239">
        <v>0</v>
      </c>
      <c r="BL7" s="238">
        <v>0</v>
      </c>
      <c r="BM7" s="239">
        <v>0</v>
      </c>
      <c r="BN7" s="238">
        <v>0</v>
      </c>
      <c r="BO7" s="239">
        <v>0</v>
      </c>
      <c r="BP7" s="238">
        <v>0</v>
      </c>
      <c r="BQ7" s="239">
        <v>0</v>
      </c>
      <c r="BR7" s="238">
        <v>0</v>
      </c>
      <c r="BS7" s="225"/>
      <c r="BT7" s="239">
        <f>ROUND(+BO7+BM7+BK7+BG7+BE7+BC7+AY7+AW7+AS7+AQ7+AO7+AM7+AK7+AI7+AG7+AE7+AA7+C7+E7+G7+I7+M7+O7+Q7+S7+W7+BQ7+AC7+Y7+BI7+BA7+K7+U7+AU7,0)</f>
        <v>214716</v>
      </c>
      <c r="BU7" s="238">
        <f>+BT7*$B7</f>
        <v>17714070</v>
      </c>
    </row>
    <row r="8" spans="1:73" ht="14.25">
      <c r="A8" s="241">
        <v>1941</v>
      </c>
      <c r="B8" s="240">
        <f t="shared" si="0"/>
        <v>81.5</v>
      </c>
      <c r="C8" s="239">
        <v>0</v>
      </c>
      <c r="D8" s="238">
        <v>0</v>
      </c>
      <c r="E8" s="239">
        <v>0</v>
      </c>
      <c r="F8" s="238">
        <v>0</v>
      </c>
      <c r="G8" s="239">
        <v>0</v>
      </c>
      <c r="H8" s="238">
        <v>0</v>
      </c>
      <c r="I8" s="239">
        <v>2837.0699999999997</v>
      </c>
      <c r="J8" s="238">
        <v>231221.20499999999</v>
      </c>
      <c r="K8" s="239">
        <v>0</v>
      </c>
      <c r="L8" s="238">
        <v>0</v>
      </c>
      <c r="M8" s="239">
        <v>0</v>
      </c>
      <c r="N8" s="238">
        <v>0</v>
      </c>
      <c r="O8" s="239">
        <v>0</v>
      </c>
      <c r="P8" s="238">
        <v>0</v>
      </c>
      <c r="Q8" s="239">
        <v>0</v>
      </c>
      <c r="R8" s="238">
        <v>0</v>
      </c>
      <c r="S8" s="239">
        <v>0</v>
      </c>
      <c r="T8" s="238">
        <v>0</v>
      </c>
      <c r="U8" s="239">
        <v>0</v>
      </c>
      <c r="V8" s="238">
        <v>0</v>
      </c>
      <c r="W8" s="239">
        <v>0</v>
      </c>
      <c r="X8" s="238">
        <v>0</v>
      </c>
      <c r="Y8" s="239">
        <v>0</v>
      </c>
      <c r="Z8" s="238">
        <v>0</v>
      </c>
      <c r="AA8" s="239">
        <v>0</v>
      </c>
      <c r="AB8" s="238">
        <v>0</v>
      </c>
      <c r="AC8" s="239">
        <v>0</v>
      </c>
      <c r="AD8" s="238">
        <v>0</v>
      </c>
      <c r="AE8" s="239">
        <v>0</v>
      </c>
      <c r="AF8" s="238">
        <v>0</v>
      </c>
      <c r="AG8" s="239">
        <v>0</v>
      </c>
      <c r="AH8" s="238">
        <v>0</v>
      </c>
      <c r="AI8" s="239">
        <v>0</v>
      </c>
      <c r="AJ8" s="238">
        <v>0</v>
      </c>
      <c r="AK8" s="239">
        <v>0</v>
      </c>
      <c r="AL8" s="238">
        <v>0</v>
      </c>
      <c r="AM8" s="239">
        <v>0</v>
      </c>
      <c r="AN8" s="238">
        <v>0</v>
      </c>
      <c r="AO8" s="239">
        <v>0</v>
      </c>
      <c r="AP8" s="238">
        <v>0</v>
      </c>
      <c r="AQ8" s="239">
        <v>0</v>
      </c>
      <c r="AR8" s="238">
        <v>0</v>
      </c>
      <c r="AS8" s="239">
        <v>0</v>
      </c>
      <c r="AT8" s="238">
        <v>0</v>
      </c>
      <c r="AU8" s="239">
        <v>0</v>
      </c>
      <c r="AV8" s="238">
        <v>0</v>
      </c>
      <c r="AW8" s="239">
        <v>0</v>
      </c>
      <c r="AX8" s="238">
        <v>0</v>
      </c>
      <c r="AY8" s="239">
        <v>0</v>
      </c>
      <c r="AZ8" s="238">
        <v>0</v>
      </c>
      <c r="BA8" s="239">
        <v>0</v>
      </c>
      <c r="BB8" s="238">
        <v>0</v>
      </c>
      <c r="BC8" s="239">
        <v>0</v>
      </c>
      <c r="BD8" s="238">
        <v>0</v>
      </c>
      <c r="BE8" s="239">
        <v>0</v>
      </c>
      <c r="BF8" s="238">
        <v>0</v>
      </c>
      <c r="BG8" s="239">
        <v>0</v>
      </c>
      <c r="BH8" s="238">
        <v>0</v>
      </c>
      <c r="BI8" s="239">
        <v>0</v>
      </c>
      <c r="BJ8" s="238">
        <v>0</v>
      </c>
      <c r="BK8" s="239">
        <v>0</v>
      </c>
      <c r="BL8" s="238">
        <v>0</v>
      </c>
      <c r="BM8" s="239">
        <v>0</v>
      </c>
      <c r="BN8" s="238">
        <v>0</v>
      </c>
      <c r="BO8" s="239">
        <v>0</v>
      </c>
      <c r="BP8" s="238">
        <v>0</v>
      </c>
      <c r="BQ8" s="239">
        <v>0</v>
      </c>
      <c r="BR8" s="238">
        <v>0</v>
      </c>
      <c r="BS8" s="225"/>
      <c r="BT8" s="239">
        <f>ROUND(+BO8+BM8+BK8+BG8+BE8+BC8+AY8+AW8+AS8+AQ8+AO8+AM8+AK8+AI8+AG8+AE8+AA8+C8+E8+G8+I8+M8+O8+Q8+S8+W8+BQ8+AC8+Y8+BI8+BA8+K8+U8+AU8,0)</f>
        <v>2837</v>
      </c>
      <c r="BU8" s="238">
        <f>+BT8*$B8</f>
        <v>231215.5</v>
      </c>
    </row>
    <row r="9" spans="1:73" ht="14.25">
      <c r="A9" s="241">
        <v>1942</v>
      </c>
      <c r="B9" s="240">
        <f t="shared" si="0"/>
        <v>80.5</v>
      </c>
      <c r="C9" s="239">
        <v>0</v>
      </c>
      <c r="D9" s="238">
        <v>0</v>
      </c>
      <c r="E9" s="239">
        <v>0</v>
      </c>
      <c r="F9" s="238">
        <v>0</v>
      </c>
      <c r="G9" s="239">
        <v>0</v>
      </c>
      <c r="H9" s="238">
        <v>0</v>
      </c>
      <c r="I9" s="239">
        <v>1471.6500000000001</v>
      </c>
      <c r="J9" s="238">
        <v>118467.82500000001</v>
      </c>
      <c r="K9" s="239">
        <v>0</v>
      </c>
      <c r="L9" s="238">
        <v>0</v>
      </c>
      <c r="M9" s="239">
        <v>0</v>
      </c>
      <c r="N9" s="238">
        <v>0</v>
      </c>
      <c r="O9" s="239">
        <v>0</v>
      </c>
      <c r="P9" s="238">
        <v>0</v>
      </c>
      <c r="Q9" s="239">
        <v>0</v>
      </c>
      <c r="R9" s="238">
        <v>0</v>
      </c>
      <c r="S9" s="239">
        <v>0</v>
      </c>
      <c r="T9" s="238">
        <v>0</v>
      </c>
      <c r="U9" s="239">
        <v>0</v>
      </c>
      <c r="V9" s="238">
        <v>0</v>
      </c>
      <c r="W9" s="239">
        <v>0</v>
      </c>
      <c r="X9" s="238">
        <v>0</v>
      </c>
      <c r="Y9" s="239">
        <v>0</v>
      </c>
      <c r="Z9" s="238">
        <v>0</v>
      </c>
      <c r="AA9" s="239">
        <v>0</v>
      </c>
      <c r="AB9" s="238">
        <v>0</v>
      </c>
      <c r="AC9" s="239">
        <v>0</v>
      </c>
      <c r="AD9" s="238">
        <v>0</v>
      </c>
      <c r="AE9" s="239">
        <v>0</v>
      </c>
      <c r="AF9" s="238">
        <v>0</v>
      </c>
      <c r="AG9" s="239">
        <v>0</v>
      </c>
      <c r="AH9" s="238">
        <v>0</v>
      </c>
      <c r="AI9" s="239">
        <v>0</v>
      </c>
      <c r="AJ9" s="238">
        <v>0</v>
      </c>
      <c r="AK9" s="239">
        <v>0</v>
      </c>
      <c r="AL9" s="238">
        <v>0</v>
      </c>
      <c r="AM9" s="239">
        <v>0</v>
      </c>
      <c r="AN9" s="238">
        <v>0</v>
      </c>
      <c r="AO9" s="239">
        <v>0</v>
      </c>
      <c r="AP9" s="238">
        <v>0</v>
      </c>
      <c r="AQ9" s="239">
        <v>0</v>
      </c>
      <c r="AR9" s="238">
        <v>0</v>
      </c>
      <c r="AS9" s="239">
        <v>0</v>
      </c>
      <c r="AT9" s="238">
        <v>0</v>
      </c>
      <c r="AU9" s="239">
        <v>0</v>
      </c>
      <c r="AV9" s="238">
        <v>0</v>
      </c>
      <c r="AW9" s="239">
        <v>0</v>
      </c>
      <c r="AX9" s="238">
        <v>0</v>
      </c>
      <c r="AY9" s="239">
        <v>0</v>
      </c>
      <c r="AZ9" s="238">
        <v>0</v>
      </c>
      <c r="BA9" s="239">
        <v>0</v>
      </c>
      <c r="BB9" s="238">
        <v>0</v>
      </c>
      <c r="BC9" s="239">
        <v>0</v>
      </c>
      <c r="BD9" s="238">
        <v>0</v>
      </c>
      <c r="BE9" s="239">
        <v>0</v>
      </c>
      <c r="BF9" s="238">
        <v>0</v>
      </c>
      <c r="BG9" s="239">
        <v>0</v>
      </c>
      <c r="BH9" s="238">
        <v>0</v>
      </c>
      <c r="BI9" s="239">
        <v>0</v>
      </c>
      <c r="BJ9" s="238">
        <v>0</v>
      </c>
      <c r="BK9" s="239">
        <v>0</v>
      </c>
      <c r="BL9" s="238">
        <v>0</v>
      </c>
      <c r="BM9" s="239">
        <v>0</v>
      </c>
      <c r="BN9" s="238">
        <v>0</v>
      </c>
      <c r="BO9" s="239">
        <v>0</v>
      </c>
      <c r="BP9" s="238">
        <v>0</v>
      </c>
      <c r="BQ9" s="239">
        <v>0</v>
      </c>
      <c r="BR9" s="238">
        <v>0</v>
      </c>
      <c r="BS9" s="225"/>
      <c r="BT9" s="239">
        <f>ROUND(+BO9+BM9+BK9+BG9+BE9+BC9+AY9+AW9+AS9+AQ9+AO9+AM9+AK9+AI9+AG9+AE9+AA9+C9+E9+G9+I9+M9+O9+Q9+S9+W9+BQ9+AC9+Y9+BI9+BA9+K9+U9+AU9,0)</f>
        <v>1472</v>
      </c>
      <c r="BU9" s="238">
        <f>+BT9*$B9</f>
        <v>118496</v>
      </c>
    </row>
    <row r="10" spans="1:73" ht="14.25">
      <c r="A10" s="241">
        <v>1943</v>
      </c>
      <c r="B10" s="240">
        <f t="shared" si="0"/>
        <v>79.5</v>
      </c>
      <c r="C10" s="239">
        <v>0</v>
      </c>
      <c r="D10" s="238">
        <v>0</v>
      </c>
      <c r="E10" s="239">
        <v>0</v>
      </c>
      <c r="F10" s="238">
        <v>0</v>
      </c>
      <c r="G10" s="239">
        <v>0</v>
      </c>
      <c r="H10" s="238">
        <v>0</v>
      </c>
      <c r="I10" s="239">
        <v>7390.4300000000003</v>
      </c>
      <c r="J10" s="238">
        <v>587539.18500000006</v>
      </c>
      <c r="K10" s="239">
        <v>0</v>
      </c>
      <c r="L10" s="238">
        <v>0</v>
      </c>
      <c r="M10" s="239">
        <v>0</v>
      </c>
      <c r="N10" s="238">
        <v>0</v>
      </c>
      <c r="O10" s="239">
        <v>0</v>
      </c>
      <c r="P10" s="238">
        <v>0</v>
      </c>
      <c r="Q10" s="239">
        <v>0</v>
      </c>
      <c r="R10" s="238">
        <v>0</v>
      </c>
      <c r="S10" s="239">
        <v>0</v>
      </c>
      <c r="T10" s="238">
        <v>0</v>
      </c>
      <c r="U10" s="239">
        <v>0</v>
      </c>
      <c r="V10" s="238">
        <v>0</v>
      </c>
      <c r="W10" s="239">
        <v>0</v>
      </c>
      <c r="X10" s="238">
        <v>0</v>
      </c>
      <c r="Y10" s="239">
        <v>0</v>
      </c>
      <c r="Z10" s="238">
        <v>0</v>
      </c>
      <c r="AA10" s="239">
        <v>0</v>
      </c>
      <c r="AB10" s="238">
        <v>0</v>
      </c>
      <c r="AC10" s="239">
        <v>0</v>
      </c>
      <c r="AD10" s="238">
        <v>0</v>
      </c>
      <c r="AE10" s="239">
        <v>0</v>
      </c>
      <c r="AF10" s="238">
        <v>0</v>
      </c>
      <c r="AG10" s="239">
        <v>0</v>
      </c>
      <c r="AH10" s="238">
        <v>0</v>
      </c>
      <c r="AI10" s="239">
        <v>0</v>
      </c>
      <c r="AJ10" s="238">
        <v>0</v>
      </c>
      <c r="AK10" s="239">
        <v>0</v>
      </c>
      <c r="AL10" s="238">
        <v>0</v>
      </c>
      <c r="AM10" s="239">
        <v>0</v>
      </c>
      <c r="AN10" s="238">
        <v>0</v>
      </c>
      <c r="AO10" s="239">
        <v>0</v>
      </c>
      <c r="AP10" s="238">
        <v>0</v>
      </c>
      <c r="AQ10" s="239">
        <v>0</v>
      </c>
      <c r="AR10" s="238">
        <v>0</v>
      </c>
      <c r="AS10" s="239">
        <v>0</v>
      </c>
      <c r="AT10" s="238">
        <v>0</v>
      </c>
      <c r="AU10" s="239">
        <v>0</v>
      </c>
      <c r="AV10" s="238">
        <v>0</v>
      </c>
      <c r="AW10" s="239">
        <v>0</v>
      </c>
      <c r="AX10" s="238">
        <v>0</v>
      </c>
      <c r="AY10" s="239">
        <v>0</v>
      </c>
      <c r="AZ10" s="238">
        <v>0</v>
      </c>
      <c r="BA10" s="239">
        <v>0</v>
      </c>
      <c r="BB10" s="238">
        <v>0</v>
      </c>
      <c r="BC10" s="239">
        <v>0</v>
      </c>
      <c r="BD10" s="238">
        <v>0</v>
      </c>
      <c r="BE10" s="239">
        <v>0</v>
      </c>
      <c r="BF10" s="238">
        <v>0</v>
      </c>
      <c r="BG10" s="239">
        <v>0</v>
      </c>
      <c r="BH10" s="238">
        <v>0</v>
      </c>
      <c r="BI10" s="239">
        <v>0</v>
      </c>
      <c r="BJ10" s="238">
        <v>0</v>
      </c>
      <c r="BK10" s="239">
        <v>0</v>
      </c>
      <c r="BL10" s="238">
        <v>0</v>
      </c>
      <c r="BM10" s="239">
        <v>0</v>
      </c>
      <c r="BN10" s="238">
        <v>0</v>
      </c>
      <c r="BO10" s="239">
        <v>0</v>
      </c>
      <c r="BP10" s="238">
        <v>0</v>
      </c>
      <c r="BQ10" s="239">
        <v>0</v>
      </c>
      <c r="BR10" s="238">
        <v>0</v>
      </c>
      <c r="BS10" s="225"/>
      <c r="BT10" s="239">
        <f t="shared" si="1" ref="BT10:BT26">ROUND(+BO10+BM10+BK10+BG10+BE10+BC10+AY10+AW10+AS10+AQ10+AO10+AM10+AK10+AI10+AG10+AE10+AA10+C10+E10+G10+I10+M10+O10+Q10+S10+W10+BQ10+AC10+Y10+BI10+BA10+K10+U10+AU10,0)</f>
        <v>7390</v>
      </c>
      <c r="BU10" s="238">
        <f t="shared" si="2" ref="BU10:BU26">+BT10*$B10</f>
        <v>587505</v>
      </c>
    </row>
    <row r="11" spans="1:73" ht="14.25">
      <c r="A11" s="241">
        <v>1944</v>
      </c>
      <c r="B11" s="240">
        <f t="shared" si="0"/>
        <v>78.5</v>
      </c>
      <c r="C11" s="239">
        <v>0</v>
      </c>
      <c r="D11" s="238">
        <v>0</v>
      </c>
      <c r="E11" s="239">
        <v>0</v>
      </c>
      <c r="F11" s="238">
        <v>0</v>
      </c>
      <c r="G11" s="239">
        <v>0</v>
      </c>
      <c r="H11" s="238">
        <v>0</v>
      </c>
      <c r="I11" s="239">
        <v>355.81</v>
      </c>
      <c r="J11" s="238">
        <v>27931.084999999999</v>
      </c>
      <c r="K11" s="239">
        <v>0</v>
      </c>
      <c r="L11" s="238">
        <v>0</v>
      </c>
      <c r="M11" s="239">
        <v>0</v>
      </c>
      <c r="N11" s="238">
        <v>0</v>
      </c>
      <c r="O11" s="239">
        <v>0</v>
      </c>
      <c r="P11" s="238">
        <v>0</v>
      </c>
      <c r="Q11" s="239">
        <v>0</v>
      </c>
      <c r="R11" s="238">
        <v>0</v>
      </c>
      <c r="S11" s="239">
        <v>0</v>
      </c>
      <c r="T11" s="238">
        <v>0</v>
      </c>
      <c r="U11" s="239">
        <v>0</v>
      </c>
      <c r="V11" s="238">
        <v>0</v>
      </c>
      <c r="W11" s="239">
        <v>0</v>
      </c>
      <c r="X11" s="238">
        <v>0</v>
      </c>
      <c r="Y11" s="239">
        <v>0</v>
      </c>
      <c r="Z11" s="238">
        <v>0</v>
      </c>
      <c r="AA11" s="239">
        <v>0</v>
      </c>
      <c r="AB11" s="238">
        <v>0</v>
      </c>
      <c r="AC11" s="239">
        <v>0</v>
      </c>
      <c r="AD11" s="238">
        <v>0</v>
      </c>
      <c r="AE11" s="239">
        <v>0</v>
      </c>
      <c r="AF11" s="238">
        <v>0</v>
      </c>
      <c r="AG11" s="239">
        <v>0</v>
      </c>
      <c r="AH11" s="238">
        <v>0</v>
      </c>
      <c r="AI11" s="239">
        <v>0</v>
      </c>
      <c r="AJ11" s="238">
        <v>0</v>
      </c>
      <c r="AK11" s="239">
        <v>0</v>
      </c>
      <c r="AL11" s="238">
        <v>0</v>
      </c>
      <c r="AM11" s="239">
        <v>0</v>
      </c>
      <c r="AN11" s="238">
        <v>0</v>
      </c>
      <c r="AO11" s="239">
        <v>0</v>
      </c>
      <c r="AP11" s="238">
        <v>0</v>
      </c>
      <c r="AQ11" s="239">
        <v>0</v>
      </c>
      <c r="AR11" s="238">
        <v>0</v>
      </c>
      <c r="AS11" s="239">
        <v>0</v>
      </c>
      <c r="AT11" s="238">
        <v>0</v>
      </c>
      <c r="AU11" s="239">
        <v>0</v>
      </c>
      <c r="AV11" s="238">
        <v>0</v>
      </c>
      <c r="AW11" s="239">
        <v>0</v>
      </c>
      <c r="AX11" s="238">
        <v>0</v>
      </c>
      <c r="AY11" s="239">
        <v>0</v>
      </c>
      <c r="AZ11" s="238">
        <v>0</v>
      </c>
      <c r="BA11" s="239">
        <v>0</v>
      </c>
      <c r="BB11" s="238">
        <v>0</v>
      </c>
      <c r="BC11" s="239">
        <v>0</v>
      </c>
      <c r="BD11" s="238">
        <v>0</v>
      </c>
      <c r="BE11" s="239">
        <v>0</v>
      </c>
      <c r="BF11" s="238">
        <v>0</v>
      </c>
      <c r="BG11" s="239">
        <v>0</v>
      </c>
      <c r="BH11" s="238">
        <v>0</v>
      </c>
      <c r="BI11" s="239">
        <v>0</v>
      </c>
      <c r="BJ11" s="238">
        <v>0</v>
      </c>
      <c r="BK11" s="239">
        <v>0</v>
      </c>
      <c r="BL11" s="238">
        <v>0</v>
      </c>
      <c r="BM11" s="239">
        <v>0</v>
      </c>
      <c r="BN11" s="238">
        <v>0</v>
      </c>
      <c r="BO11" s="239">
        <v>0</v>
      </c>
      <c r="BP11" s="238">
        <v>0</v>
      </c>
      <c r="BQ11" s="239">
        <v>0</v>
      </c>
      <c r="BR11" s="238">
        <v>0</v>
      </c>
      <c r="BS11" s="225"/>
      <c r="BT11" s="239">
        <f t="shared" si="1"/>
        <v>356</v>
      </c>
      <c r="BU11" s="238">
        <f t="shared" si="2"/>
        <v>27946</v>
      </c>
    </row>
    <row r="12" spans="1:73" ht="14.25">
      <c r="A12" s="241">
        <v>1945</v>
      </c>
      <c r="B12" s="240">
        <f t="shared" si="0"/>
        <v>77.5</v>
      </c>
      <c r="C12" s="239">
        <v>0</v>
      </c>
      <c r="D12" s="238">
        <v>0</v>
      </c>
      <c r="E12" s="239">
        <v>0</v>
      </c>
      <c r="F12" s="238">
        <v>0</v>
      </c>
      <c r="G12" s="239">
        <v>0</v>
      </c>
      <c r="H12" s="238">
        <v>0</v>
      </c>
      <c r="I12" s="239">
        <v>315.07999999999998</v>
      </c>
      <c r="J12" s="238">
        <v>24418.699999999997</v>
      </c>
      <c r="K12" s="239">
        <v>0</v>
      </c>
      <c r="L12" s="238">
        <v>0</v>
      </c>
      <c r="M12" s="239">
        <v>0</v>
      </c>
      <c r="N12" s="238">
        <v>0</v>
      </c>
      <c r="O12" s="239">
        <v>0</v>
      </c>
      <c r="P12" s="238">
        <v>0</v>
      </c>
      <c r="Q12" s="239">
        <v>0</v>
      </c>
      <c r="R12" s="238">
        <v>0</v>
      </c>
      <c r="S12" s="239">
        <v>0</v>
      </c>
      <c r="T12" s="238">
        <v>0</v>
      </c>
      <c r="U12" s="239">
        <v>0</v>
      </c>
      <c r="V12" s="238">
        <v>0</v>
      </c>
      <c r="W12" s="239">
        <v>0</v>
      </c>
      <c r="X12" s="238">
        <v>0</v>
      </c>
      <c r="Y12" s="239">
        <v>0</v>
      </c>
      <c r="Z12" s="238">
        <v>0</v>
      </c>
      <c r="AA12" s="239">
        <v>0</v>
      </c>
      <c r="AB12" s="238">
        <v>0</v>
      </c>
      <c r="AC12" s="239">
        <v>0</v>
      </c>
      <c r="AD12" s="238">
        <v>0</v>
      </c>
      <c r="AE12" s="239">
        <v>0</v>
      </c>
      <c r="AF12" s="238">
        <v>0</v>
      </c>
      <c r="AG12" s="239">
        <v>0</v>
      </c>
      <c r="AH12" s="238">
        <v>0</v>
      </c>
      <c r="AI12" s="239">
        <v>0</v>
      </c>
      <c r="AJ12" s="238">
        <v>0</v>
      </c>
      <c r="AK12" s="239">
        <v>0</v>
      </c>
      <c r="AL12" s="238">
        <v>0</v>
      </c>
      <c r="AM12" s="239">
        <v>0</v>
      </c>
      <c r="AN12" s="238">
        <v>0</v>
      </c>
      <c r="AO12" s="239">
        <v>0</v>
      </c>
      <c r="AP12" s="238">
        <v>0</v>
      </c>
      <c r="AQ12" s="239">
        <v>0</v>
      </c>
      <c r="AR12" s="238">
        <v>0</v>
      </c>
      <c r="AS12" s="239">
        <v>0</v>
      </c>
      <c r="AT12" s="238">
        <v>0</v>
      </c>
      <c r="AU12" s="239">
        <v>0</v>
      </c>
      <c r="AV12" s="238">
        <v>0</v>
      </c>
      <c r="AW12" s="239">
        <v>0</v>
      </c>
      <c r="AX12" s="238">
        <v>0</v>
      </c>
      <c r="AY12" s="239">
        <v>0</v>
      </c>
      <c r="AZ12" s="238">
        <v>0</v>
      </c>
      <c r="BA12" s="239">
        <v>0</v>
      </c>
      <c r="BB12" s="238">
        <v>0</v>
      </c>
      <c r="BC12" s="239">
        <v>0</v>
      </c>
      <c r="BD12" s="238">
        <v>0</v>
      </c>
      <c r="BE12" s="239">
        <v>0</v>
      </c>
      <c r="BF12" s="238">
        <v>0</v>
      </c>
      <c r="BG12" s="239">
        <v>0</v>
      </c>
      <c r="BH12" s="238">
        <v>0</v>
      </c>
      <c r="BI12" s="239">
        <v>0</v>
      </c>
      <c r="BJ12" s="238">
        <v>0</v>
      </c>
      <c r="BK12" s="239">
        <v>0</v>
      </c>
      <c r="BL12" s="238">
        <v>0</v>
      </c>
      <c r="BM12" s="239">
        <v>0</v>
      </c>
      <c r="BN12" s="238">
        <v>0</v>
      </c>
      <c r="BO12" s="239">
        <v>0</v>
      </c>
      <c r="BP12" s="238">
        <v>0</v>
      </c>
      <c r="BQ12" s="239">
        <v>0</v>
      </c>
      <c r="BR12" s="238">
        <v>0</v>
      </c>
      <c r="BS12" s="225"/>
      <c r="BT12" s="239">
        <f t="shared" si="1"/>
        <v>315</v>
      </c>
      <c r="BU12" s="238">
        <f t="shared" si="2"/>
        <v>24412.5</v>
      </c>
    </row>
    <row r="13" spans="1:73" ht="14.25">
      <c r="A13" s="241">
        <v>1946</v>
      </c>
      <c r="B13" s="240">
        <f t="shared" si="0"/>
        <v>76.5</v>
      </c>
      <c r="C13" s="239">
        <v>0</v>
      </c>
      <c r="D13" s="238">
        <v>0</v>
      </c>
      <c r="E13" s="239">
        <v>0</v>
      </c>
      <c r="F13" s="238">
        <v>0</v>
      </c>
      <c r="G13" s="239">
        <v>0</v>
      </c>
      <c r="H13" s="238">
        <v>0</v>
      </c>
      <c r="I13" s="239">
        <v>10491.639999999999</v>
      </c>
      <c r="J13" s="238">
        <v>802610.45999999996</v>
      </c>
      <c r="K13" s="239">
        <v>0</v>
      </c>
      <c r="L13" s="238">
        <v>0</v>
      </c>
      <c r="M13" s="239">
        <v>0</v>
      </c>
      <c r="N13" s="238">
        <v>0</v>
      </c>
      <c r="O13" s="239">
        <v>0</v>
      </c>
      <c r="P13" s="238">
        <v>0</v>
      </c>
      <c r="Q13" s="239">
        <v>0</v>
      </c>
      <c r="R13" s="238">
        <v>0</v>
      </c>
      <c r="S13" s="239">
        <v>0</v>
      </c>
      <c r="T13" s="238">
        <v>0</v>
      </c>
      <c r="U13" s="239">
        <v>0</v>
      </c>
      <c r="V13" s="238">
        <v>0</v>
      </c>
      <c r="W13" s="239">
        <v>0</v>
      </c>
      <c r="X13" s="238">
        <v>0</v>
      </c>
      <c r="Y13" s="239">
        <v>0</v>
      </c>
      <c r="Z13" s="238">
        <v>0</v>
      </c>
      <c r="AA13" s="239">
        <v>0</v>
      </c>
      <c r="AB13" s="238">
        <v>0</v>
      </c>
      <c r="AC13" s="239">
        <v>0</v>
      </c>
      <c r="AD13" s="238">
        <v>0</v>
      </c>
      <c r="AE13" s="239">
        <v>0</v>
      </c>
      <c r="AF13" s="238">
        <v>0</v>
      </c>
      <c r="AG13" s="239">
        <v>0</v>
      </c>
      <c r="AH13" s="238">
        <v>0</v>
      </c>
      <c r="AI13" s="239">
        <v>0</v>
      </c>
      <c r="AJ13" s="238">
        <v>0</v>
      </c>
      <c r="AK13" s="239">
        <v>0</v>
      </c>
      <c r="AL13" s="238">
        <v>0</v>
      </c>
      <c r="AM13" s="239">
        <v>0</v>
      </c>
      <c r="AN13" s="238">
        <v>0</v>
      </c>
      <c r="AO13" s="239">
        <v>0</v>
      </c>
      <c r="AP13" s="238">
        <v>0</v>
      </c>
      <c r="AQ13" s="239">
        <v>0</v>
      </c>
      <c r="AR13" s="238">
        <v>0</v>
      </c>
      <c r="AS13" s="239">
        <v>0</v>
      </c>
      <c r="AT13" s="238">
        <v>0</v>
      </c>
      <c r="AU13" s="239">
        <v>0</v>
      </c>
      <c r="AV13" s="238">
        <v>0</v>
      </c>
      <c r="AW13" s="239">
        <v>0</v>
      </c>
      <c r="AX13" s="238">
        <v>0</v>
      </c>
      <c r="AY13" s="239">
        <v>0</v>
      </c>
      <c r="AZ13" s="238">
        <v>0</v>
      </c>
      <c r="BA13" s="239">
        <v>0</v>
      </c>
      <c r="BB13" s="238">
        <v>0</v>
      </c>
      <c r="BC13" s="239">
        <v>0</v>
      </c>
      <c r="BD13" s="238">
        <v>0</v>
      </c>
      <c r="BE13" s="239">
        <v>0</v>
      </c>
      <c r="BF13" s="238">
        <v>0</v>
      </c>
      <c r="BG13" s="239">
        <v>0</v>
      </c>
      <c r="BH13" s="238">
        <v>0</v>
      </c>
      <c r="BI13" s="239">
        <v>0</v>
      </c>
      <c r="BJ13" s="238">
        <v>0</v>
      </c>
      <c r="BK13" s="239">
        <v>0</v>
      </c>
      <c r="BL13" s="238">
        <v>0</v>
      </c>
      <c r="BM13" s="239">
        <v>0</v>
      </c>
      <c r="BN13" s="238">
        <v>0</v>
      </c>
      <c r="BO13" s="239">
        <v>0</v>
      </c>
      <c r="BP13" s="238">
        <v>0</v>
      </c>
      <c r="BQ13" s="239">
        <v>0</v>
      </c>
      <c r="BR13" s="238">
        <v>0</v>
      </c>
      <c r="BS13" s="225"/>
      <c r="BT13" s="239">
        <f t="shared" si="1"/>
        <v>10492</v>
      </c>
      <c r="BU13" s="238">
        <f t="shared" si="2"/>
        <v>802638</v>
      </c>
    </row>
    <row r="14" spans="1:73" ht="14.25">
      <c r="A14" s="241">
        <v>1947</v>
      </c>
      <c r="B14" s="240">
        <f t="shared" si="0"/>
        <v>75.5</v>
      </c>
      <c r="C14" s="239">
        <v>0</v>
      </c>
      <c r="D14" s="238">
        <v>0</v>
      </c>
      <c r="E14" s="239">
        <v>0</v>
      </c>
      <c r="F14" s="238">
        <v>0</v>
      </c>
      <c r="G14" s="239">
        <v>0</v>
      </c>
      <c r="H14" s="238">
        <v>0</v>
      </c>
      <c r="I14" s="239">
        <v>2629.8699999999999</v>
      </c>
      <c r="J14" s="238">
        <v>198555.185</v>
      </c>
      <c r="K14" s="239">
        <v>0</v>
      </c>
      <c r="L14" s="238">
        <v>0</v>
      </c>
      <c r="M14" s="239">
        <v>0</v>
      </c>
      <c r="N14" s="238">
        <v>0</v>
      </c>
      <c r="O14" s="239">
        <v>0</v>
      </c>
      <c r="P14" s="238">
        <v>0</v>
      </c>
      <c r="Q14" s="239">
        <v>0</v>
      </c>
      <c r="R14" s="238">
        <v>0</v>
      </c>
      <c r="S14" s="239">
        <v>0</v>
      </c>
      <c r="T14" s="238">
        <v>0</v>
      </c>
      <c r="U14" s="239">
        <v>0</v>
      </c>
      <c r="V14" s="238">
        <v>0</v>
      </c>
      <c r="W14" s="239">
        <v>0</v>
      </c>
      <c r="X14" s="238">
        <v>0</v>
      </c>
      <c r="Y14" s="239">
        <v>0</v>
      </c>
      <c r="Z14" s="238">
        <v>0</v>
      </c>
      <c r="AA14" s="239">
        <v>0</v>
      </c>
      <c r="AB14" s="238">
        <v>0</v>
      </c>
      <c r="AC14" s="239">
        <v>0</v>
      </c>
      <c r="AD14" s="238">
        <v>0</v>
      </c>
      <c r="AE14" s="239">
        <v>0</v>
      </c>
      <c r="AF14" s="238">
        <v>0</v>
      </c>
      <c r="AG14" s="239">
        <v>0</v>
      </c>
      <c r="AH14" s="238">
        <v>0</v>
      </c>
      <c r="AI14" s="239">
        <v>0</v>
      </c>
      <c r="AJ14" s="238">
        <v>0</v>
      </c>
      <c r="AK14" s="239">
        <v>0</v>
      </c>
      <c r="AL14" s="238">
        <v>0</v>
      </c>
      <c r="AM14" s="239">
        <v>0</v>
      </c>
      <c r="AN14" s="238">
        <v>0</v>
      </c>
      <c r="AO14" s="239">
        <v>0</v>
      </c>
      <c r="AP14" s="238">
        <v>0</v>
      </c>
      <c r="AQ14" s="239">
        <v>0</v>
      </c>
      <c r="AR14" s="238">
        <v>0</v>
      </c>
      <c r="AS14" s="239">
        <v>0</v>
      </c>
      <c r="AT14" s="238">
        <v>0</v>
      </c>
      <c r="AU14" s="239">
        <v>0</v>
      </c>
      <c r="AV14" s="238">
        <v>0</v>
      </c>
      <c r="AW14" s="239">
        <v>0</v>
      </c>
      <c r="AX14" s="238">
        <v>0</v>
      </c>
      <c r="AY14" s="239">
        <v>0</v>
      </c>
      <c r="AZ14" s="238">
        <v>0</v>
      </c>
      <c r="BA14" s="239">
        <v>0</v>
      </c>
      <c r="BB14" s="238">
        <v>0</v>
      </c>
      <c r="BC14" s="239">
        <v>0</v>
      </c>
      <c r="BD14" s="238">
        <v>0</v>
      </c>
      <c r="BE14" s="239">
        <v>0</v>
      </c>
      <c r="BF14" s="238">
        <v>0</v>
      </c>
      <c r="BG14" s="239">
        <v>0</v>
      </c>
      <c r="BH14" s="238">
        <v>0</v>
      </c>
      <c r="BI14" s="239">
        <v>0</v>
      </c>
      <c r="BJ14" s="238">
        <v>0</v>
      </c>
      <c r="BK14" s="239">
        <v>0</v>
      </c>
      <c r="BL14" s="238">
        <v>0</v>
      </c>
      <c r="BM14" s="239">
        <v>0</v>
      </c>
      <c r="BN14" s="238">
        <v>0</v>
      </c>
      <c r="BO14" s="239">
        <v>0</v>
      </c>
      <c r="BP14" s="238">
        <v>0</v>
      </c>
      <c r="BQ14" s="239">
        <v>0</v>
      </c>
      <c r="BR14" s="238">
        <v>0</v>
      </c>
      <c r="BS14" s="225"/>
      <c r="BT14" s="239">
        <f t="shared" si="1"/>
        <v>2630</v>
      </c>
      <c r="BU14" s="238">
        <f t="shared" si="2"/>
        <v>198565</v>
      </c>
    </row>
    <row r="15" spans="1:73" ht="14.25">
      <c r="A15" s="241">
        <v>1948</v>
      </c>
      <c r="B15" s="240">
        <f t="shared" si="3" ref="B15:B78">$A$89-A15+0.5</f>
        <v>74.5</v>
      </c>
      <c r="C15" s="239">
        <v>0</v>
      </c>
      <c r="D15" s="238">
        <v>0</v>
      </c>
      <c r="E15" s="239">
        <v>0</v>
      </c>
      <c r="F15" s="238">
        <v>0</v>
      </c>
      <c r="G15" s="239">
        <v>0</v>
      </c>
      <c r="H15" s="238">
        <v>0</v>
      </c>
      <c r="I15" s="239">
        <v>16191.049999999999</v>
      </c>
      <c r="J15" s="238">
        <v>1206233.2249999999</v>
      </c>
      <c r="K15" s="239">
        <v>0</v>
      </c>
      <c r="L15" s="238">
        <v>0</v>
      </c>
      <c r="M15" s="239">
        <v>0</v>
      </c>
      <c r="N15" s="238">
        <v>0</v>
      </c>
      <c r="O15" s="239">
        <v>0</v>
      </c>
      <c r="P15" s="238">
        <v>0</v>
      </c>
      <c r="Q15" s="239">
        <v>0</v>
      </c>
      <c r="R15" s="238">
        <v>0</v>
      </c>
      <c r="S15" s="239">
        <v>0</v>
      </c>
      <c r="T15" s="238">
        <v>0</v>
      </c>
      <c r="U15" s="239">
        <v>0</v>
      </c>
      <c r="V15" s="238">
        <v>0</v>
      </c>
      <c r="W15" s="239">
        <v>0</v>
      </c>
      <c r="X15" s="238">
        <v>0</v>
      </c>
      <c r="Y15" s="239">
        <v>0</v>
      </c>
      <c r="Z15" s="238">
        <v>0</v>
      </c>
      <c r="AA15" s="239">
        <v>0</v>
      </c>
      <c r="AB15" s="238">
        <v>0</v>
      </c>
      <c r="AC15" s="239">
        <v>0</v>
      </c>
      <c r="AD15" s="238">
        <v>0</v>
      </c>
      <c r="AE15" s="239">
        <v>0</v>
      </c>
      <c r="AF15" s="238">
        <v>0</v>
      </c>
      <c r="AG15" s="239">
        <v>0</v>
      </c>
      <c r="AH15" s="238">
        <v>0</v>
      </c>
      <c r="AI15" s="239">
        <v>0</v>
      </c>
      <c r="AJ15" s="238">
        <v>0</v>
      </c>
      <c r="AK15" s="239">
        <v>0</v>
      </c>
      <c r="AL15" s="238">
        <v>0</v>
      </c>
      <c r="AM15" s="239">
        <v>0</v>
      </c>
      <c r="AN15" s="238">
        <v>0</v>
      </c>
      <c r="AO15" s="239">
        <v>0</v>
      </c>
      <c r="AP15" s="238">
        <v>0</v>
      </c>
      <c r="AQ15" s="239">
        <v>0</v>
      </c>
      <c r="AR15" s="238">
        <v>0</v>
      </c>
      <c r="AS15" s="239">
        <v>0</v>
      </c>
      <c r="AT15" s="238">
        <v>0</v>
      </c>
      <c r="AU15" s="239">
        <v>0</v>
      </c>
      <c r="AV15" s="238">
        <v>0</v>
      </c>
      <c r="AW15" s="239">
        <v>0</v>
      </c>
      <c r="AX15" s="238">
        <v>0</v>
      </c>
      <c r="AY15" s="239">
        <v>0</v>
      </c>
      <c r="AZ15" s="238">
        <v>0</v>
      </c>
      <c r="BA15" s="239">
        <v>0</v>
      </c>
      <c r="BB15" s="238">
        <v>0</v>
      </c>
      <c r="BC15" s="239">
        <v>0</v>
      </c>
      <c r="BD15" s="238">
        <v>0</v>
      </c>
      <c r="BE15" s="239">
        <v>0</v>
      </c>
      <c r="BF15" s="238">
        <v>0</v>
      </c>
      <c r="BG15" s="239">
        <v>0</v>
      </c>
      <c r="BH15" s="238">
        <v>0</v>
      </c>
      <c r="BI15" s="239">
        <v>0</v>
      </c>
      <c r="BJ15" s="238">
        <v>0</v>
      </c>
      <c r="BK15" s="239">
        <v>0</v>
      </c>
      <c r="BL15" s="238">
        <v>0</v>
      </c>
      <c r="BM15" s="239">
        <v>0</v>
      </c>
      <c r="BN15" s="238">
        <v>0</v>
      </c>
      <c r="BO15" s="239">
        <v>0</v>
      </c>
      <c r="BP15" s="238">
        <v>0</v>
      </c>
      <c r="BQ15" s="239">
        <v>0</v>
      </c>
      <c r="BR15" s="238">
        <v>0</v>
      </c>
      <c r="BS15" s="225"/>
      <c r="BT15" s="239">
        <f t="shared" si="1"/>
        <v>16191</v>
      </c>
      <c r="BU15" s="238">
        <f t="shared" si="2"/>
        <v>1206229.5</v>
      </c>
    </row>
    <row r="16" spans="1:73" ht="14.25">
      <c r="A16" s="241">
        <v>1949</v>
      </c>
      <c r="B16" s="240">
        <f t="shared" si="3"/>
        <v>73.5</v>
      </c>
      <c r="C16" s="239">
        <v>0</v>
      </c>
      <c r="D16" s="238">
        <v>0</v>
      </c>
      <c r="E16" s="239">
        <v>0</v>
      </c>
      <c r="F16" s="238">
        <v>0</v>
      </c>
      <c r="G16" s="239">
        <v>0</v>
      </c>
      <c r="H16" s="238">
        <v>0</v>
      </c>
      <c r="I16" s="239">
        <v>10549.029999999999</v>
      </c>
      <c r="J16" s="238">
        <v>775353.70499999996</v>
      </c>
      <c r="K16" s="239">
        <v>0</v>
      </c>
      <c r="L16" s="238">
        <v>0</v>
      </c>
      <c r="M16" s="239">
        <v>0</v>
      </c>
      <c r="N16" s="238">
        <v>0</v>
      </c>
      <c r="O16" s="239">
        <v>0</v>
      </c>
      <c r="P16" s="238">
        <v>0</v>
      </c>
      <c r="Q16" s="239">
        <v>0</v>
      </c>
      <c r="R16" s="238">
        <v>0</v>
      </c>
      <c r="S16" s="239">
        <v>0</v>
      </c>
      <c r="T16" s="238">
        <v>0</v>
      </c>
      <c r="U16" s="239">
        <v>0</v>
      </c>
      <c r="V16" s="238">
        <v>0</v>
      </c>
      <c r="W16" s="239">
        <v>0</v>
      </c>
      <c r="X16" s="238">
        <v>0</v>
      </c>
      <c r="Y16" s="239">
        <v>0</v>
      </c>
      <c r="Z16" s="238">
        <v>0</v>
      </c>
      <c r="AA16" s="239">
        <v>0</v>
      </c>
      <c r="AB16" s="238">
        <v>0</v>
      </c>
      <c r="AC16" s="239">
        <v>0</v>
      </c>
      <c r="AD16" s="238">
        <v>0</v>
      </c>
      <c r="AE16" s="239">
        <v>0</v>
      </c>
      <c r="AF16" s="238">
        <v>0</v>
      </c>
      <c r="AG16" s="239">
        <v>0</v>
      </c>
      <c r="AH16" s="238">
        <v>0</v>
      </c>
      <c r="AI16" s="239">
        <v>0</v>
      </c>
      <c r="AJ16" s="238">
        <v>0</v>
      </c>
      <c r="AK16" s="239">
        <v>0</v>
      </c>
      <c r="AL16" s="238">
        <v>0</v>
      </c>
      <c r="AM16" s="239">
        <v>0</v>
      </c>
      <c r="AN16" s="238">
        <v>0</v>
      </c>
      <c r="AO16" s="239">
        <v>0</v>
      </c>
      <c r="AP16" s="238">
        <v>0</v>
      </c>
      <c r="AQ16" s="239">
        <v>0</v>
      </c>
      <c r="AR16" s="238">
        <v>0</v>
      </c>
      <c r="AS16" s="239">
        <v>0</v>
      </c>
      <c r="AT16" s="238">
        <v>0</v>
      </c>
      <c r="AU16" s="239">
        <v>0</v>
      </c>
      <c r="AV16" s="238">
        <v>0</v>
      </c>
      <c r="AW16" s="239">
        <v>0</v>
      </c>
      <c r="AX16" s="238">
        <v>0</v>
      </c>
      <c r="AY16" s="239">
        <v>0</v>
      </c>
      <c r="AZ16" s="238">
        <v>0</v>
      </c>
      <c r="BA16" s="239">
        <v>0</v>
      </c>
      <c r="BB16" s="238">
        <v>0</v>
      </c>
      <c r="BC16" s="239">
        <v>0</v>
      </c>
      <c r="BD16" s="238">
        <v>0</v>
      </c>
      <c r="BE16" s="239">
        <v>0</v>
      </c>
      <c r="BF16" s="238">
        <v>0</v>
      </c>
      <c r="BG16" s="239">
        <v>0</v>
      </c>
      <c r="BH16" s="238">
        <v>0</v>
      </c>
      <c r="BI16" s="239">
        <v>0</v>
      </c>
      <c r="BJ16" s="238">
        <v>0</v>
      </c>
      <c r="BK16" s="239">
        <v>0</v>
      </c>
      <c r="BL16" s="238">
        <v>0</v>
      </c>
      <c r="BM16" s="239">
        <v>0</v>
      </c>
      <c r="BN16" s="238">
        <v>0</v>
      </c>
      <c r="BO16" s="239">
        <v>0</v>
      </c>
      <c r="BP16" s="238">
        <v>0</v>
      </c>
      <c r="BQ16" s="239">
        <v>0</v>
      </c>
      <c r="BR16" s="238">
        <v>0</v>
      </c>
      <c r="BS16" s="225"/>
      <c r="BT16" s="239">
        <f t="shared" si="1"/>
        <v>10549</v>
      </c>
      <c r="BU16" s="238">
        <f t="shared" si="2"/>
        <v>775351.5</v>
      </c>
    </row>
    <row r="17" spans="1:73" ht="14.25">
      <c r="A17" s="241">
        <v>1950</v>
      </c>
      <c r="B17" s="240">
        <f t="shared" si="3"/>
        <v>72.5</v>
      </c>
      <c r="C17" s="239">
        <v>0</v>
      </c>
      <c r="D17" s="238">
        <v>0</v>
      </c>
      <c r="E17" s="239">
        <v>0</v>
      </c>
      <c r="F17" s="238">
        <v>0</v>
      </c>
      <c r="G17" s="239">
        <v>0</v>
      </c>
      <c r="H17" s="238">
        <v>0</v>
      </c>
      <c r="I17" s="239">
        <v>31.59</v>
      </c>
      <c r="J17" s="238">
        <v>2290.2750000000001</v>
      </c>
      <c r="K17" s="239">
        <v>0</v>
      </c>
      <c r="L17" s="238">
        <v>0</v>
      </c>
      <c r="M17" s="239">
        <v>0</v>
      </c>
      <c r="N17" s="238">
        <v>0</v>
      </c>
      <c r="O17" s="239">
        <v>0</v>
      </c>
      <c r="P17" s="238">
        <v>0</v>
      </c>
      <c r="Q17" s="239">
        <v>0</v>
      </c>
      <c r="R17" s="238">
        <v>0</v>
      </c>
      <c r="S17" s="239">
        <v>0</v>
      </c>
      <c r="T17" s="238">
        <v>0</v>
      </c>
      <c r="U17" s="239">
        <v>0</v>
      </c>
      <c r="V17" s="238">
        <v>0</v>
      </c>
      <c r="W17" s="239">
        <v>0</v>
      </c>
      <c r="X17" s="238">
        <v>0</v>
      </c>
      <c r="Y17" s="239">
        <v>0</v>
      </c>
      <c r="Z17" s="238">
        <v>0</v>
      </c>
      <c r="AA17" s="239">
        <v>0</v>
      </c>
      <c r="AB17" s="238">
        <v>0</v>
      </c>
      <c r="AC17" s="239">
        <v>0</v>
      </c>
      <c r="AD17" s="238">
        <v>0</v>
      </c>
      <c r="AE17" s="239">
        <v>0</v>
      </c>
      <c r="AF17" s="238">
        <v>0</v>
      </c>
      <c r="AG17" s="239">
        <v>0</v>
      </c>
      <c r="AH17" s="238">
        <v>0</v>
      </c>
      <c r="AI17" s="239">
        <v>0</v>
      </c>
      <c r="AJ17" s="238">
        <v>0</v>
      </c>
      <c r="AK17" s="239">
        <v>0</v>
      </c>
      <c r="AL17" s="238">
        <v>0</v>
      </c>
      <c r="AM17" s="239">
        <v>0</v>
      </c>
      <c r="AN17" s="238">
        <v>0</v>
      </c>
      <c r="AO17" s="239">
        <v>0</v>
      </c>
      <c r="AP17" s="238">
        <v>0</v>
      </c>
      <c r="AQ17" s="239">
        <v>0</v>
      </c>
      <c r="AR17" s="238">
        <v>0</v>
      </c>
      <c r="AS17" s="239">
        <v>0</v>
      </c>
      <c r="AT17" s="238">
        <v>0</v>
      </c>
      <c r="AU17" s="239">
        <v>0</v>
      </c>
      <c r="AV17" s="238">
        <v>0</v>
      </c>
      <c r="AW17" s="239">
        <v>0</v>
      </c>
      <c r="AX17" s="238">
        <v>0</v>
      </c>
      <c r="AY17" s="239">
        <v>0</v>
      </c>
      <c r="AZ17" s="238">
        <v>0</v>
      </c>
      <c r="BA17" s="239">
        <v>0</v>
      </c>
      <c r="BB17" s="238">
        <v>0</v>
      </c>
      <c r="BC17" s="239">
        <v>0</v>
      </c>
      <c r="BD17" s="238">
        <v>0</v>
      </c>
      <c r="BE17" s="239">
        <v>0</v>
      </c>
      <c r="BF17" s="238">
        <v>0</v>
      </c>
      <c r="BG17" s="239">
        <v>0</v>
      </c>
      <c r="BH17" s="238">
        <v>0</v>
      </c>
      <c r="BI17" s="239">
        <v>0</v>
      </c>
      <c r="BJ17" s="238">
        <v>0</v>
      </c>
      <c r="BK17" s="239">
        <v>0</v>
      </c>
      <c r="BL17" s="238">
        <v>0</v>
      </c>
      <c r="BM17" s="239">
        <v>0</v>
      </c>
      <c r="BN17" s="238">
        <v>0</v>
      </c>
      <c r="BO17" s="239">
        <v>0</v>
      </c>
      <c r="BP17" s="238">
        <v>0</v>
      </c>
      <c r="BQ17" s="239">
        <v>0</v>
      </c>
      <c r="BR17" s="238">
        <v>0</v>
      </c>
      <c r="BS17" s="225"/>
      <c r="BT17" s="239">
        <f t="shared" si="1"/>
        <v>32</v>
      </c>
      <c r="BU17" s="238">
        <f t="shared" si="2"/>
        <v>2320</v>
      </c>
    </row>
    <row r="18" spans="1:73" ht="14.25">
      <c r="A18" s="241">
        <v>1951</v>
      </c>
      <c r="B18" s="240">
        <f t="shared" si="3"/>
        <v>71.5</v>
      </c>
      <c r="C18" s="239">
        <v>0</v>
      </c>
      <c r="D18" s="238">
        <v>0</v>
      </c>
      <c r="E18" s="239">
        <v>0</v>
      </c>
      <c r="F18" s="238">
        <v>0</v>
      </c>
      <c r="G18" s="239">
        <v>0</v>
      </c>
      <c r="H18" s="238">
        <v>0</v>
      </c>
      <c r="I18" s="239">
        <v>334.13</v>
      </c>
      <c r="J18" s="238">
        <v>23890.294999999998</v>
      </c>
      <c r="K18" s="239">
        <v>0</v>
      </c>
      <c r="L18" s="238">
        <v>0</v>
      </c>
      <c r="M18" s="239">
        <v>0</v>
      </c>
      <c r="N18" s="238">
        <v>0</v>
      </c>
      <c r="O18" s="239">
        <v>0</v>
      </c>
      <c r="P18" s="238">
        <v>0</v>
      </c>
      <c r="Q18" s="239">
        <v>0</v>
      </c>
      <c r="R18" s="238">
        <v>0</v>
      </c>
      <c r="S18" s="239">
        <v>0</v>
      </c>
      <c r="T18" s="238">
        <v>0</v>
      </c>
      <c r="U18" s="239">
        <v>0</v>
      </c>
      <c r="V18" s="238">
        <v>0</v>
      </c>
      <c r="W18" s="239">
        <v>0</v>
      </c>
      <c r="X18" s="238">
        <v>0</v>
      </c>
      <c r="Y18" s="239">
        <v>0</v>
      </c>
      <c r="Z18" s="238">
        <v>0</v>
      </c>
      <c r="AA18" s="239">
        <v>0</v>
      </c>
      <c r="AB18" s="238">
        <v>0</v>
      </c>
      <c r="AC18" s="239">
        <v>0</v>
      </c>
      <c r="AD18" s="238">
        <v>0</v>
      </c>
      <c r="AE18" s="239">
        <v>0</v>
      </c>
      <c r="AF18" s="238">
        <v>0</v>
      </c>
      <c r="AG18" s="239">
        <v>0</v>
      </c>
      <c r="AH18" s="238">
        <v>0</v>
      </c>
      <c r="AI18" s="239">
        <v>0</v>
      </c>
      <c r="AJ18" s="238">
        <v>0</v>
      </c>
      <c r="AK18" s="239">
        <v>0</v>
      </c>
      <c r="AL18" s="238">
        <v>0</v>
      </c>
      <c r="AM18" s="239">
        <v>0</v>
      </c>
      <c r="AN18" s="238">
        <v>0</v>
      </c>
      <c r="AO18" s="239">
        <v>0</v>
      </c>
      <c r="AP18" s="238">
        <v>0</v>
      </c>
      <c r="AQ18" s="239">
        <v>0</v>
      </c>
      <c r="AR18" s="238">
        <v>0</v>
      </c>
      <c r="AS18" s="239">
        <v>0</v>
      </c>
      <c r="AT18" s="238">
        <v>0</v>
      </c>
      <c r="AU18" s="239">
        <v>0</v>
      </c>
      <c r="AV18" s="238">
        <v>0</v>
      </c>
      <c r="AW18" s="239">
        <v>0</v>
      </c>
      <c r="AX18" s="238">
        <v>0</v>
      </c>
      <c r="AY18" s="239">
        <v>0</v>
      </c>
      <c r="AZ18" s="238">
        <v>0</v>
      </c>
      <c r="BA18" s="239">
        <v>0</v>
      </c>
      <c r="BB18" s="238">
        <v>0</v>
      </c>
      <c r="BC18" s="239">
        <v>0</v>
      </c>
      <c r="BD18" s="238">
        <v>0</v>
      </c>
      <c r="BE18" s="239">
        <v>0</v>
      </c>
      <c r="BF18" s="238">
        <v>0</v>
      </c>
      <c r="BG18" s="239">
        <v>0</v>
      </c>
      <c r="BH18" s="238">
        <v>0</v>
      </c>
      <c r="BI18" s="239">
        <v>0</v>
      </c>
      <c r="BJ18" s="238">
        <v>0</v>
      </c>
      <c r="BK18" s="239">
        <v>0</v>
      </c>
      <c r="BL18" s="238">
        <v>0</v>
      </c>
      <c r="BM18" s="239">
        <v>0</v>
      </c>
      <c r="BN18" s="238">
        <v>0</v>
      </c>
      <c r="BO18" s="239">
        <v>0</v>
      </c>
      <c r="BP18" s="238">
        <v>0</v>
      </c>
      <c r="BQ18" s="239">
        <v>0</v>
      </c>
      <c r="BR18" s="238">
        <v>0</v>
      </c>
      <c r="BS18" s="225"/>
      <c r="BT18" s="239">
        <f t="shared" si="1"/>
        <v>334</v>
      </c>
      <c r="BU18" s="238">
        <f t="shared" si="2"/>
        <v>23881</v>
      </c>
    </row>
    <row r="19" spans="1:73" ht="14.25">
      <c r="A19" s="241">
        <v>1952</v>
      </c>
      <c r="B19" s="240">
        <f t="shared" si="3"/>
        <v>70.5</v>
      </c>
      <c r="C19" s="239">
        <v>0</v>
      </c>
      <c r="D19" s="238">
        <v>0</v>
      </c>
      <c r="E19" s="239">
        <v>0</v>
      </c>
      <c r="F19" s="238">
        <v>0</v>
      </c>
      <c r="G19" s="239">
        <v>0</v>
      </c>
      <c r="H19" s="238">
        <v>0</v>
      </c>
      <c r="I19" s="239">
        <v>5404.0699999999997</v>
      </c>
      <c r="J19" s="238">
        <v>380986.935</v>
      </c>
      <c r="K19" s="239">
        <v>0</v>
      </c>
      <c r="L19" s="238">
        <v>0</v>
      </c>
      <c r="M19" s="239">
        <v>0</v>
      </c>
      <c r="N19" s="238">
        <v>0</v>
      </c>
      <c r="O19" s="239">
        <v>0</v>
      </c>
      <c r="P19" s="238">
        <v>0</v>
      </c>
      <c r="Q19" s="239">
        <v>0</v>
      </c>
      <c r="R19" s="238">
        <v>0</v>
      </c>
      <c r="S19" s="239">
        <v>0</v>
      </c>
      <c r="T19" s="238">
        <v>0</v>
      </c>
      <c r="U19" s="239">
        <v>0</v>
      </c>
      <c r="V19" s="238">
        <v>0</v>
      </c>
      <c r="W19" s="239">
        <v>0</v>
      </c>
      <c r="X19" s="238">
        <v>0</v>
      </c>
      <c r="Y19" s="239">
        <v>0</v>
      </c>
      <c r="Z19" s="238">
        <v>0</v>
      </c>
      <c r="AA19" s="239">
        <v>0</v>
      </c>
      <c r="AB19" s="238">
        <v>0</v>
      </c>
      <c r="AC19" s="239">
        <v>0</v>
      </c>
      <c r="AD19" s="238">
        <v>0</v>
      </c>
      <c r="AE19" s="239">
        <v>0</v>
      </c>
      <c r="AF19" s="238">
        <v>0</v>
      </c>
      <c r="AG19" s="239">
        <v>0</v>
      </c>
      <c r="AH19" s="238">
        <v>0</v>
      </c>
      <c r="AI19" s="239">
        <v>0</v>
      </c>
      <c r="AJ19" s="238">
        <v>0</v>
      </c>
      <c r="AK19" s="239">
        <v>0</v>
      </c>
      <c r="AL19" s="238">
        <v>0</v>
      </c>
      <c r="AM19" s="239">
        <v>0</v>
      </c>
      <c r="AN19" s="238">
        <v>0</v>
      </c>
      <c r="AO19" s="239">
        <v>0</v>
      </c>
      <c r="AP19" s="238">
        <v>0</v>
      </c>
      <c r="AQ19" s="239">
        <v>0</v>
      </c>
      <c r="AR19" s="238">
        <v>0</v>
      </c>
      <c r="AS19" s="239">
        <v>0</v>
      </c>
      <c r="AT19" s="238">
        <v>0</v>
      </c>
      <c r="AU19" s="239">
        <v>0</v>
      </c>
      <c r="AV19" s="238">
        <v>0</v>
      </c>
      <c r="AW19" s="239">
        <v>0</v>
      </c>
      <c r="AX19" s="238">
        <v>0</v>
      </c>
      <c r="AY19" s="239">
        <v>0</v>
      </c>
      <c r="AZ19" s="238">
        <v>0</v>
      </c>
      <c r="BA19" s="239">
        <v>0</v>
      </c>
      <c r="BB19" s="238">
        <v>0</v>
      </c>
      <c r="BC19" s="239">
        <v>0</v>
      </c>
      <c r="BD19" s="238">
        <v>0</v>
      </c>
      <c r="BE19" s="239">
        <v>0</v>
      </c>
      <c r="BF19" s="238">
        <v>0</v>
      </c>
      <c r="BG19" s="239">
        <v>0</v>
      </c>
      <c r="BH19" s="238">
        <v>0</v>
      </c>
      <c r="BI19" s="239">
        <v>0</v>
      </c>
      <c r="BJ19" s="238">
        <v>0</v>
      </c>
      <c r="BK19" s="239">
        <v>0</v>
      </c>
      <c r="BL19" s="238">
        <v>0</v>
      </c>
      <c r="BM19" s="239">
        <v>0</v>
      </c>
      <c r="BN19" s="238">
        <v>0</v>
      </c>
      <c r="BO19" s="239">
        <v>0</v>
      </c>
      <c r="BP19" s="238">
        <v>0</v>
      </c>
      <c r="BQ19" s="239">
        <v>0</v>
      </c>
      <c r="BR19" s="238">
        <v>0</v>
      </c>
      <c r="BS19" s="225"/>
      <c r="BT19" s="239">
        <f t="shared" si="1"/>
        <v>5404</v>
      </c>
      <c r="BU19" s="238">
        <f t="shared" si="2"/>
        <v>380982</v>
      </c>
    </row>
    <row r="20" spans="1:73" ht="14.25">
      <c r="A20" s="241">
        <v>1953</v>
      </c>
      <c r="B20" s="240">
        <f t="shared" si="3"/>
        <v>69.5</v>
      </c>
      <c r="C20" s="239">
        <v>0</v>
      </c>
      <c r="D20" s="238">
        <v>0</v>
      </c>
      <c r="E20" s="239">
        <v>0</v>
      </c>
      <c r="F20" s="238">
        <v>0</v>
      </c>
      <c r="G20" s="239">
        <v>0</v>
      </c>
      <c r="H20" s="238">
        <v>0</v>
      </c>
      <c r="I20" s="239">
        <v>10358.300000000001</v>
      </c>
      <c r="J20" s="238">
        <v>719901.85000000009</v>
      </c>
      <c r="K20" s="239">
        <v>0</v>
      </c>
      <c r="L20" s="238">
        <v>0</v>
      </c>
      <c r="M20" s="239">
        <v>0</v>
      </c>
      <c r="N20" s="238">
        <v>0</v>
      </c>
      <c r="O20" s="239">
        <v>0</v>
      </c>
      <c r="P20" s="238">
        <v>0</v>
      </c>
      <c r="Q20" s="239">
        <v>0</v>
      </c>
      <c r="R20" s="238">
        <v>0</v>
      </c>
      <c r="S20" s="239">
        <v>0</v>
      </c>
      <c r="T20" s="238">
        <v>0</v>
      </c>
      <c r="U20" s="239">
        <v>0</v>
      </c>
      <c r="V20" s="238">
        <v>0</v>
      </c>
      <c r="W20" s="239">
        <v>0</v>
      </c>
      <c r="X20" s="238">
        <v>0</v>
      </c>
      <c r="Y20" s="239">
        <v>0</v>
      </c>
      <c r="Z20" s="238">
        <v>0</v>
      </c>
      <c r="AA20" s="239">
        <v>0</v>
      </c>
      <c r="AB20" s="238">
        <v>0</v>
      </c>
      <c r="AC20" s="239">
        <v>0</v>
      </c>
      <c r="AD20" s="238">
        <v>0</v>
      </c>
      <c r="AE20" s="239">
        <v>0</v>
      </c>
      <c r="AF20" s="238">
        <v>0</v>
      </c>
      <c r="AG20" s="239">
        <v>0</v>
      </c>
      <c r="AH20" s="238">
        <v>0</v>
      </c>
      <c r="AI20" s="239">
        <v>0</v>
      </c>
      <c r="AJ20" s="238">
        <v>0</v>
      </c>
      <c r="AK20" s="239">
        <v>0</v>
      </c>
      <c r="AL20" s="238">
        <v>0</v>
      </c>
      <c r="AM20" s="239">
        <v>0</v>
      </c>
      <c r="AN20" s="238">
        <v>0</v>
      </c>
      <c r="AO20" s="239">
        <v>0</v>
      </c>
      <c r="AP20" s="238">
        <v>0</v>
      </c>
      <c r="AQ20" s="239">
        <v>0</v>
      </c>
      <c r="AR20" s="238">
        <v>0</v>
      </c>
      <c r="AS20" s="239">
        <v>0</v>
      </c>
      <c r="AT20" s="238">
        <v>0</v>
      </c>
      <c r="AU20" s="239">
        <v>0</v>
      </c>
      <c r="AV20" s="238">
        <v>0</v>
      </c>
      <c r="AW20" s="239">
        <v>0</v>
      </c>
      <c r="AX20" s="238">
        <v>0</v>
      </c>
      <c r="AY20" s="239">
        <v>0</v>
      </c>
      <c r="AZ20" s="238">
        <v>0</v>
      </c>
      <c r="BA20" s="239">
        <v>0</v>
      </c>
      <c r="BB20" s="238">
        <v>0</v>
      </c>
      <c r="BC20" s="239">
        <v>0</v>
      </c>
      <c r="BD20" s="238">
        <v>0</v>
      </c>
      <c r="BE20" s="239">
        <v>0</v>
      </c>
      <c r="BF20" s="238">
        <v>0</v>
      </c>
      <c r="BG20" s="239">
        <v>0</v>
      </c>
      <c r="BH20" s="238">
        <v>0</v>
      </c>
      <c r="BI20" s="239">
        <v>0</v>
      </c>
      <c r="BJ20" s="238">
        <v>0</v>
      </c>
      <c r="BK20" s="239">
        <v>0</v>
      </c>
      <c r="BL20" s="238">
        <v>0</v>
      </c>
      <c r="BM20" s="239">
        <v>0</v>
      </c>
      <c r="BN20" s="238">
        <v>0</v>
      </c>
      <c r="BO20" s="239">
        <v>0</v>
      </c>
      <c r="BP20" s="238">
        <v>0</v>
      </c>
      <c r="BQ20" s="239">
        <v>0</v>
      </c>
      <c r="BR20" s="238">
        <v>0</v>
      </c>
      <c r="BS20" s="225"/>
      <c r="BT20" s="239">
        <f t="shared" si="1"/>
        <v>10358</v>
      </c>
      <c r="BU20" s="238">
        <f t="shared" si="2"/>
        <v>719881</v>
      </c>
    </row>
    <row r="21" spans="1:73" ht="14.25">
      <c r="A21" s="241">
        <v>1954</v>
      </c>
      <c r="B21" s="240">
        <f t="shared" si="3"/>
        <v>68.5</v>
      </c>
      <c r="C21" s="239">
        <v>0</v>
      </c>
      <c r="D21" s="238">
        <v>0</v>
      </c>
      <c r="E21" s="239">
        <v>0</v>
      </c>
      <c r="F21" s="238">
        <v>0</v>
      </c>
      <c r="G21" s="239">
        <v>0</v>
      </c>
      <c r="H21" s="238">
        <v>0</v>
      </c>
      <c r="I21" s="239">
        <v>8384.5599999999995</v>
      </c>
      <c r="J21" s="238">
        <v>574342.35999999999</v>
      </c>
      <c r="K21" s="239">
        <v>0</v>
      </c>
      <c r="L21" s="238">
        <v>0</v>
      </c>
      <c r="M21" s="239">
        <v>0</v>
      </c>
      <c r="N21" s="238">
        <v>0</v>
      </c>
      <c r="O21" s="239">
        <v>0</v>
      </c>
      <c r="P21" s="238">
        <v>0</v>
      </c>
      <c r="Q21" s="239">
        <v>0</v>
      </c>
      <c r="R21" s="238">
        <v>0</v>
      </c>
      <c r="S21" s="239">
        <v>0</v>
      </c>
      <c r="T21" s="238">
        <v>0</v>
      </c>
      <c r="U21" s="239">
        <v>0</v>
      </c>
      <c r="V21" s="238">
        <v>0</v>
      </c>
      <c r="W21" s="239">
        <v>0</v>
      </c>
      <c r="X21" s="238">
        <v>0</v>
      </c>
      <c r="Y21" s="239">
        <v>0</v>
      </c>
      <c r="Z21" s="238">
        <v>0</v>
      </c>
      <c r="AA21" s="239">
        <v>0</v>
      </c>
      <c r="AB21" s="238">
        <v>0</v>
      </c>
      <c r="AC21" s="239">
        <v>0</v>
      </c>
      <c r="AD21" s="238">
        <v>0</v>
      </c>
      <c r="AE21" s="239">
        <v>0</v>
      </c>
      <c r="AF21" s="238">
        <v>0</v>
      </c>
      <c r="AG21" s="239">
        <v>0</v>
      </c>
      <c r="AH21" s="238">
        <v>0</v>
      </c>
      <c r="AI21" s="239">
        <v>0</v>
      </c>
      <c r="AJ21" s="238">
        <v>0</v>
      </c>
      <c r="AK21" s="239">
        <v>0</v>
      </c>
      <c r="AL21" s="238">
        <v>0</v>
      </c>
      <c r="AM21" s="239">
        <v>0</v>
      </c>
      <c r="AN21" s="238">
        <v>0</v>
      </c>
      <c r="AO21" s="239">
        <v>0</v>
      </c>
      <c r="AP21" s="238">
        <v>0</v>
      </c>
      <c r="AQ21" s="239">
        <v>0</v>
      </c>
      <c r="AR21" s="238">
        <v>0</v>
      </c>
      <c r="AS21" s="239">
        <v>0</v>
      </c>
      <c r="AT21" s="238">
        <v>0</v>
      </c>
      <c r="AU21" s="239">
        <v>0</v>
      </c>
      <c r="AV21" s="238">
        <v>0</v>
      </c>
      <c r="AW21" s="239">
        <v>0</v>
      </c>
      <c r="AX21" s="238">
        <v>0</v>
      </c>
      <c r="AY21" s="239">
        <v>0</v>
      </c>
      <c r="AZ21" s="238">
        <v>0</v>
      </c>
      <c r="BA21" s="239">
        <v>0</v>
      </c>
      <c r="BB21" s="238">
        <v>0</v>
      </c>
      <c r="BC21" s="239">
        <v>0</v>
      </c>
      <c r="BD21" s="238">
        <v>0</v>
      </c>
      <c r="BE21" s="239">
        <v>0</v>
      </c>
      <c r="BF21" s="238">
        <v>0</v>
      </c>
      <c r="BG21" s="239">
        <v>0</v>
      </c>
      <c r="BH21" s="238">
        <v>0</v>
      </c>
      <c r="BI21" s="239">
        <v>0</v>
      </c>
      <c r="BJ21" s="238">
        <v>0</v>
      </c>
      <c r="BK21" s="239">
        <v>0</v>
      </c>
      <c r="BL21" s="238">
        <v>0</v>
      </c>
      <c r="BM21" s="239">
        <v>0</v>
      </c>
      <c r="BN21" s="238">
        <v>0</v>
      </c>
      <c r="BO21" s="239">
        <v>0</v>
      </c>
      <c r="BP21" s="238">
        <v>0</v>
      </c>
      <c r="BQ21" s="239">
        <v>0</v>
      </c>
      <c r="BR21" s="238">
        <v>0</v>
      </c>
      <c r="BS21" s="225"/>
      <c r="BT21" s="239">
        <f t="shared" si="1"/>
        <v>8385</v>
      </c>
      <c r="BU21" s="238">
        <f t="shared" si="2"/>
        <v>574372.5</v>
      </c>
    </row>
    <row r="22" spans="1:73" ht="14.25">
      <c r="A22" s="241">
        <v>1955</v>
      </c>
      <c r="B22" s="240">
        <f t="shared" si="3"/>
        <v>67.5</v>
      </c>
      <c r="C22" s="239">
        <v>0</v>
      </c>
      <c r="D22" s="238">
        <v>0</v>
      </c>
      <c r="E22" s="239">
        <v>0</v>
      </c>
      <c r="F22" s="238">
        <v>0</v>
      </c>
      <c r="G22" s="239">
        <v>0</v>
      </c>
      <c r="H22" s="238">
        <v>0</v>
      </c>
      <c r="I22" s="239">
        <v>10972.84</v>
      </c>
      <c r="J22" s="238">
        <v>740666.69999999995</v>
      </c>
      <c r="K22" s="239">
        <v>0</v>
      </c>
      <c r="L22" s="238">
        <v>0</v>
      </c>
      <c r="M22" s="239">
        <v>0</v>
      </c>
      <c r="N22" s="238">
        <v>0</v>
      </c>
      <c r="O22" s="239">
        <v>0</v>
      </c>
      <c r="P22" s="238">
        <v>0</v>
      </c>
      <c r="Q22" s="239">
        <v>0</v>
      </c>
      <c r="R22" s="238">
        <v>0</v>
      </c>
      <c r="S22" s="239">
        <v>0</v>
      </c>
      <c r="T22" s="238">
        <v>0</v>
      </c>
      <c r="U22" s="239">
        <v>0</v>
      </c>
      <c r="V22" s="238">
        <v>0</v>
      </c>
      <c r="W22" s="239">
        <v>0</v>
      </c>
      <c r="X22" s="238">
        <v>0</v>
      </c>
      <c r="Y22" s="239">
        <v>0</v>
      </c>
      <c r="Z22" s="238">
        <v>0</v>
      </c>
      <c r="AA22" s="239">
        <v>0</v>
      </c>
      <c r="AB22" s="238">
        <v>0</v>
      </c>
      <c r="AC22" s="239">
        <v>0</v>
      </c>
      <c r="AD22" s="238">
        <v>0</v>
      </c>
      <c r="AE22" s="239">
        <v>0</v>
      </c>
      <c r="AF22" s="238">
        <v>0</v>
      </c>
      <c r="AG22" s="239">
        <v>0</v>
      </c>
      <c r="AH22" s="238">
        <v>0</v>
      </c>
      <c r="AI22" s="239">
        <v>0</v>
      </c>
      <c r="AJ22" s="238">
        <v>0</v>
      </c>
      <c r="AK22" s="239">
        <v>0</v>
      </c>
      <c r="AL22" s="238">
        <v>0</v>
      </c>
      <c r="AM22" s="239">
        <v>0</v>
      </c>
      <c r="AN22" s="238">
        <v>0</v>
      </c>
      <c r="AO22" s="239">
        <v>0</v>
      </c>
      <c r="AP22" s="238">
        <v>0</v>
      </c>
      <c r="AQ22" s="239">
        <v>0</v>
      </c>
      <c r="AR22" s="238">
        <v>0</v>
      </c>
      <c r="AS22" s="239">
        <v>0</v>
      </c>
      <c r="AT22" s="238">
        <v>0</v>
      </c>
      <c r="AU22" s="239">
        <v>0</v>
      </c>
      <c r="AV22" s="238">
        <v>0</v>
      </c>
      <c r="AW22" s="239">
        <v>0</v>
      </c>
      <c r="AX22" s="238">
        <v>0</v>
      </c>
      <c r="AY22" s="239">
        <v>0</v>
      </c>
      <c r="AZ22" s="238">
        <v>0</v>
      </c>
      <c r="BA22" s="239">
        <v>0</v>
      </c>
      <c r="BB22" s="238">
        <v>0</v>
      </c>
      <c r="BC22" s="239">
        <v>0</v>
      </c>
      <c r="BD22" s="238">
        <v>0</v>
      </c>
      <c r="BE22" s="239">
        <v>0</v>
      </c>
      <c r="BF22" s="238">
        <v>0</v>
      </c>
      <c r="BG22" s="239">
        <v>0</v>
      </c>
      <c r="BH22" s="238">
        <v>0</v>
      </c>
      <c r="BI22" s="239">
        <v>0</v>
      </c>
      <c r="BJ22" s="238">
        <v>0</v>
      </c>
      <c r="BK22" s="239">
        <v>0</v>
      </c>
      <c r="BL22" s="238">
        <v>0</v>
      </c>
      <c r="BM22" s="239">
        <v>0</v>
      </c>
      <c r="BN22" s="238">
        <v>0</v>
      </c>
      <c r="BO22" s="239">
        <v>0</v>
      </c>
      <c r="BP22" s="238">
        <v>0</v>
      </c>
      <c r="BQ22" s="239">
        <v>0</v>
      </c>
      <c r="BR22" s="238">
        <v>0</v>
      </c>
      <c r="BS22" s="225"/>
      <c r="BT22" s="239">
        <f t="shared" si="1"/>
        <v>10973</v>
      </c>
      <c r="BU22" s="238">
        <f t="shared" si="2"/>
        <v>740677.5</v>
      </c>
    </row>
    <row r="23" spans="1:73" ht="14.25">
      <c r="A23" s="241">
        <v>1956</v>
      </c>
      <c r="B23" s="240">
        <f t="shared" si="3"/>
        <v>66.5</v>
      </c>
      <c r="C23" s="239">
        <v>0</v>
      </c>
      <c r="D23" s="238">
        <v>0</v>
      </c>
      <c r="E23" s="239">
        <v>0</v>
      </c>
      <c r="F23" s="238">
        <v>0</v>
      </c>
      <c r="G23" s="239">
        <v>0</v>
      </c>
      <c r="H23" s="238">
        <v>0</v>
      </c>
      <c r="I23" s="239">
        <v>9436.6700000000019</v>
      </c>
      <c r="J23" s="238">
        <v>627538.55500000017</v>
      </c>
      <c r="K23" s="239">
        <v>0</v>
      </c>
      <c r="L23" s="238">
        <v>0</v>
      </c>
      <c r="M23" s="239">
        <v>0</v>
      </c>
      <c r="N23" s="238">
        <v>0</v>
      </c>
      <c r="O23" s="239">
        <v>0</v>
      </c>
      <c r="P23" s="238">
        <v>0</v>
      </c>
      <c r="Q23" s="239">
        <v>0</v>
      </c>
      <c r="R23" s="238">
        <v>0</v>
      </c>
      <c r="S23" s="239">
        <v>0</v>
      </c>
      <c r="T23" s="238">
        <v>0</v>
      </c>
      <c r="U23" s="239">
        <v>0</v>
      </c>
      <c r="V23" s="238">
        <v>0</v>
      </c>
      <c r="W23" s="239">
        <v>0</v>
      </c>
      <c r="X23" s="238">
        <v>0</v>
      </c>
      <c r="Y23" s="239">
        <v>0</v>
      </c>
      <c r="Z23" s="238">
        <v>0</v>
      </c>
      <c r="AA23" s="239">
        <v>0</v>
      </c>
      <c r="AB23" s="238">
        <v>0</v>
      </c>
      <c r="AC23" s="239">
        <v>0</v>
      </c>
      <c r="AD23" s="238">
        <v>0</v>
      </c>
      <c r="AE23" s="239">
        <v>0</v>
      </c>
      <c r="AF23" s="238">
        <v>0</v>
      </c>
      <c r="AG23" s="239">
        <v>0</v>
      </c>
      <c r="AH23" s="238">
        <v>0</v>
      </c>
      <c r="AI23" s="239">
        <v>0</v>
      </c>
      <c r="AJ23" s="238">
        <v>0</v>
      </c>
      <c r="AK23" s="239">
        <v>0</v>
      </c>
      <c r="AL23" s="238">
        <v>0</v>
      </c>
      <c r="AM23" s="239">
        <v>0</v>
      </c>
      <c r="AN23" s="238">
        <v>0</v>
      </c>
      <c r="AO23" s="239">
        <v>0</v>
      </c>
      <c r="AP23" s="238">
        <v>0</v>
      </c>
      <c r="AQ23" s="239">
        <v>0</v>
      </c>
      <c r="AR23" s="238">
        <v>0</v>
      </c>
      <c r="AS23" s="239">
        <v>0</v>
      </c>
      <c r="AT23" s="238">
        <v>0</v>
      </c>
      <c r="AU23" s="239">
        <v>0</v>
      </c>
      <c r="AV23" s="238">
        <v>0</v>
      </c>
      <c r="AW23" s="239">
        <v>0</v>
      </c>
      <c r="AX23" s="238">
        <v>0</v>
      </c>
      <c r="AY23" s="239">
        <v>0</v>
      </c>
      <c r="AZ23" s="238">
        <v>0</v>
      </c>
      <c r="BA23" s="239">
        <v>0</v>
      </c>
      <c r="BB23" s="238">
        <v>0</v>
      </c>
      <c r="BC23" s="239">
        <v>0</v>
      </c>
      <c r="BD23" s="238">
        <v>0</v>
      </c>
      <c r="BE23" s="239">
        <v>0</v>
      </c>
      <c r="BF23" s="238">
        <v>0</v>
      </c>
      <c r="BG23" s="239">
        <v>0</v>
      </c>
      <c r="BH23" s="238">
        <v>0</v>
      </c>
      <c r="BI23" s="239">
        <v>0</v>
      </c>
      <c r="BJ23" s="238">
        <v>0</v>
      </c>
      <c r="BK23" s="239">
        <v>0</v>
      </c>
      <c r="BL23" s="238">
        <v>0</v>
      </c>
      <c r="BM23" s="239">
        <v>0</v>
      </c>
      <c r="BN23" s="238">
        <v>0</v>
      </c>
      <c r="BO23" s="239">
        <v>0</v>
      </c>
      <c r="BP23" s="238">
        <v>0</v>
      </c>
      <c r="BQ23" s="239">
        <v>0</v>
      </c>
      <c r="BR23" s="238">
        <v>0</v>
      </c>
      <c r="BS23" s="225"/>
      <c r="BT23" s="239">
        <f t="shared" si="1"/>
        <v>9437</v>
      </c>
      <c r="BU23" s="238">
        <f t="shared" si="2"/>
        <v>627560.5</v>
      </c>
    </row>
    <row r="24" spans="1:73" ht="14.25">
      <c r="A24" s="241">
        <v>1957</v>
      </c>
      <c r="B24" s="240">
        <f t="shared" si="3"/>
        <v>65.5</v>
      </c>
      <c r="C24" s="239">
        <v>0</v>
      </c>
      <c r="D24" s="238">
        <v>0</v>
      </c>
      <c r="E24" s="239">
        <v>0</v>
      </c>
      <c r="F24" s="238">
        <v>0</v>
      </c>
      <c r="G24" s="239">
        <v>0</v>
      </c>
      <c r="H24" s="238">
        <v>0</v>
      </c>
      <c r="I24" s="239">
        <v>340.17000000000002</v>
      </c>
      <c r="J24" s="238">
        <v>22281.135000000002</v>
      </c>
      <c r="K24" s="239">
        <v>0</v>
      </c>
      <c r="L24" s="238">
        <v>0</v>
      </c>
      <c r="M24" s="239">
        <v>0</v>
      </c>
      <c r="N24" s="238">
        <v>0</v>
      </c>
      <c r="O24" s="239">
        <v>0</v>
      </c>
      <c r="P24" s="238">
        <v>0</v>
      </c>
      <c r="Q24" s="239">
        <v>0</v>
      </c>
      <c r="R24" s="238">
        <v>0</v>
      </c>
      <c r="S24" s="239">
        <v>0</v>
      </c>
      <c r="T24" s="238">
        <v>0</v>
      </c>
      <c r="U24" s="239">
        <v>0</v>
      </c>
      <c r="V24" s="238">
        <v>0</v>
      </c>
      <c r="W24" s="239">
        <v>0</v>
      </c>
      <c r="X24" s="238">
        <v>0</v>
      </c>
      <c r="Y24" s="239">
        <v>0</v>
      </c>
      <c r="Z24" s="238">
        <v>0</v>
      </c>
      <c r="AA24" s="239">
        <v>0</v>
      </c>
      <c r="AB24" s="238">
        <v>0</v>
      </c>
      <c r="AC24" s="239">
        <v>0</v>
      </c>
      <c r="AD24" s="238">
        <v>0</v>
      </c>
      <c r="AE24" s="239">
        <v>0</v>
      </c>
      <c r="AF24" s="238">
        <v>0</v>
      </c>
      <c r="AG24" s="239">
        <v>0</v>
      </c>
      <c r="AH24" s="238">
        <v>0</v>
      </c>
      <c r="AI24" s="239">
        <v>0</v>
      </c>
      <c r="AJ24" s="238">
        <v>0</v>
      </c>
      <c r="AK24" s="239">
        <v>0</v>
      </c>
      <c r="AL24" s="238">
        <v>0</v>
      </c>
      <c r="AM24" s="239">
        <v>0</v>
      </c>
      <c r="AN24" s="238">
        <v>0</v>
      </c>
      <c r="AO24" s="239">
        <v>0</v>
      </c>
      <c r="AP24" s="238">
        <v>0</v>
      </c>
      <c r="AQ24" s="239">
        <v>0</v>
      </c>
      <c r="AR24" s="238">
        <v>0</v>
      </c>
      <c r="AS24" s="239">
        <v>0</v>
      </c>
      <c r="AT24" s="238">
        <v>0</v>
      </c>
      <c r="AU24" s="239">
        <v>0</v>
      </c>
      <c r="AV24" s="238">
        <v>0</v>
      </c>
      <c r="AW24" s="239">
        <v>0</v>
      </c>
      <c r="AX24" s="238">
        <v>0</v>
      </c>
      <c r="AY24" s="239">
        <v>0</v>
      </c>
      <c r="AZ24" s="238">
        <v>0</v>
      </c>
      <c r="BA24" s="239">
        <v>0</v>
      </c>
      <c r="BB24" s="238">
        <v>0</v>
      </c>
      <c r="BC24" s="239">
        <v>0</v>
      </c>
      <c r="BD24" s="238">
        <v>0</v>
      </c>
      <c r="BE24" s="239">
        <v>0</v>
      </c>
      <c r="BF24" s="238">
        <v>0</v>
      </c>
      <c r="BG24" s="239">
        <v>0</v>
      </c>
      <c r="BH24" s="238">
        <v>0</v>
      </c>
      <c r="BI24" s="239">
        <v>0</v>
      </c>
      <c r="BJ24" s="238">
        <v>0</v>
      </c>
      <c r="BK24" s="239">
        <v>0</v>
      </c>
      <c r="BL24" s="238">
        <v>0</v>
      </c>
      <c r="BM24" s="239">
        <v>0</v>
      </c>
      <c r="BN24" s="238">
        <v>0</v>
      </c>
      <c r="BO24" s="239">
        <v>0</v>
      </c>
      <c r="BP24" s="238">
        <v>0</v>
      </c>
      <c r="BQ24" s="239">
        <v>0</v>
      </c>
      <c r="BR24" s="238">
        <v>0</v>
      </c>
      <c r="BS24" s="225"/>
      <c r="BT24" s="239">
        <f t="shared" si="1"/>
        <v>340</v>
      </c>
      <c r="BU24" s="238">
        <f t="shared" si="2"/>
        <v>22270</v>
      </c>
    </row>
    <row r="25" spans="1:73" ht="14.25">
      <c r="A25" s="241">
        <v>1958</v>
      </c>
      <c r="B25" s="240">
        <f t="shared" si="3"/>
        <v>64.5</v>
      </c>
      <c r="C25" s="239">
        <v>0</v>
      </c>
      <c r="D25" s="238">
        <v>0</v>
      </c>
      <c r="E25" s="239">
        <v>0</v>
      </c>
      <c r="F25" s="238">
        <v>0</v>
      </c>
      <c r="G25" s="239">
        <v>0</v>
      </c>
      <c r="H25" s="238">
        <v>0</v>
      </c>
      <c r="I25" s="239">
        <v>39561.220000000001</v>
      </c>
      <c r="J25" s="238">
        <v>2551698.6899999999</v>
      </c>
      <c r="K25" s="239">
        <v>0</v>
      </c>
      <c r="L25" s="238">
        <v>0</v>
      </c>
      <c r="M25" s="239">
        <v>0</v>
      </c>
      <c r="N25" s="238">
        <v>0</v>
      </c>
      <c r="O25" s="239">
        <v>0</v>
      </c>
      <c r="P25" s="238">
        <v>0</v>
      </c>
      <c r="Q25" s="239">
        <v>0</v>
      </c>
      <c r="R25" s="238">
        <v>0</v>
      </c>
      <c r="S25" s="239">
        <v>0</v>
      </c>
      <c r="T25" s="238">
        <v>0</v>
      </c>
      <c r="U25" s="239">
        <v>0</v>
      </c>
      <c r="V25" s="238">
        <v>0</v>
      </c>
      <c r="W25" s="239">
        <v>0</v>
      </c>
      <c r="X25" s="238">
        <v>0</v>
      </c>
      <c r="Y25" s="239">
        <v>0</v>
      </c>
      <c r="Z25" s="238">
        <v>0</v>
      </c>
      <c r="AA25" s="239">
        <v>0</v>
      </c>
      <c r="AB25" s="238">
        <v>0</v>
      </c>
      <c r="AC25" s="239">
        <v>0</v>
      </c>
      <c r="AD25" s="238">
        <v>0</v>
      </c>
      <c r="AE25" s="239">
        <v>0</v>
      </c>
      <c r="AF25" s="238">
        <v>0</v>
      </c>
      <c r="AG25" s="239">
        <v>0</v>
      </c>
      <c r="AH25" s="238">
        <v>0</v>
      </c>
      <c r="AI25" s="239">
        <v>0</v>
      </c>
      <c r="AJ25" s="238">
        <v>0</v>
      </c>
      <c r="AK25" s="239">
        <v>0</v>
      </c>
      <c r="AL25" s="238">
        <v>0</v>
      </c>
      <c r="AM25" s="239">
        <v>0</v>
      </c>
      <c r="AN25" s="238">
        <v>0</v>
      </c>
      <c r="AO25" s="239">
        <v>0</v>
      </c>
      <c r="AP25" s="238">
        <v>0</v>
      </c>
      <c r="AQ25" s="239">
        <v>0</v>
      </c>
      <c r="AR25" s="238">
        <v>0</v>
      </c>
      <c r="AS25" s="239">
        <v>0</v>
      </c>
      <c r="AT25" s="238">
        <v>0</v>
      </c>
      <c r="AU25" s="239">
        <v>0</v>
      </c>
      <c r="AV25" s="238">
        <v>0</v>
      </c>
      <c r="AW25" s="239">
        <v>0</v>
      </c>
      <c r="AX25" s="238">
        <v>0</v>
      </c>
      <c r="AY25" s="239">
        <v>0</v>
      </c>
      <c r="AZ25" s="238">
        <v>0</v>
      </c>
      <c r="BA25" s="239">
        <v>0</v>
      </c>
      <c r="BB25" s="238">
        <v>0</v>
      </c>
      <c r="BC25" s="239">
        <v>0</v>
      </c>
      <c r="BD25" s="238">
        <v>0</v>
      </c>
      <c r="BE25" s="239">
        <v>0</v>
      </c>
      <c r="BF25" s="238">
        <v>0</v>
      </c>
      <c r="BG25" s="239">
        <v>0</v>
      </c>
      <c r="BH25" s="238">
        <v>0</v>
      </c>
      <c r="BI25" s="239">
        <v>0</v>
      </c>
      <c r="BJ25" s="238">
        <v>0</v>
      </c>
      <c r="BK25" s="239">
        <v>0</v>
      </c>
      <c r="BL25" s="238">
        <v>0</v>
      </c>
      <c r="BM25" s="239">
        <v>0</v>
      </c>
      <c r="BN25" s="238">
        <v>0</v>
      </c>
      <c r="BO25" s="239">
        <v>0</v>
      </c>
      <c r="BP25" s="238">
        <v>0</v>
      </c>
      <c r="BQ25" s="239">
        <v>0</v>
      </c>
      <c r="BR25" s="238">
        <v>0</v>
      </c>
      <c r="BS25" s="225"/>
      <c r="BT25" s="239">
        <f t="shared" si="1"/>
        <v>39561</v>
      </c>
      <c r="BU25" s="238">
        <f t="shared" si="2"/>
        <v>2551684.5</v>
      </c>
    </row>
    <row r="26" spans="1:73" ht="14.25">
      <c r="A26" s="241">
        <v>1959</v>
      </c>
      <c r="B26" s="240">
        <f t="shared" si="3"/>
        <v>63.5</v>
      </c>
      <c r="C26" s="239">
        <v>0</v>
      </c>
      <c r="D26" s="238">
        <v>0</v>
      </c>
      <c r="E26" s="239">
        <v>0</v>
      </c>
      <c r="F26" s="238">
        <v>0</v>
      </c>
      <c r="G26" s="239">
        <v>0</v>
      </c>
      <c r="H26" s="238">
        <v>0</v>
      </c>
      <c r="I26" s="239">
        <v>206928.65000000002</v>
      </c>
      <c r="J26" s="238">
        <v>13139969.275000002</v>
      </c>
      <c r="K26" s="239">
        <v>0</v>
      </c>
      <c r="L26" s="238">
        <v>0</v>
      </c>
      <c r="M26" s="239">
        <v>0</v>
      </c>
      <c r="N26" s="238">
        <v>0</v>
      </c>
      <c r="O26" s="239">
        <v>0</v>
      </c>
      <c r="P26" s="238">
        <v>0</v>
      </c>
      <c r="Q26" s="239">
        <v>0</v>
      </c>
      <c r="R26" s="238">
        <v>0</v>
      </c>
      <c r="S26" s="239">
        <v>0</v>
      </c>
      <c r="T26" s="238">
        <v>0</v>
      </c>
      <c r="U26" s="239">
        <v>0</v>
      </c>
      <c r="V26" s="238">
        <v>0</v>
      </c>
      <c r="W26" s="239">
        <v>0</v>
      </c>
      <c r="X26" s="238">
        <v>0</v>
      </c>
      <c r="Y26" s="239">
        <v>0</v>
      </c>
      <c r="Z26" s="238">
        <v>0</v>
      </c>
      <c r="AA26" s="239">
        <v>0</v>
      </c>
      <c r="AB26" s="238">
        <v>0</v>
      </c>
      <c r="AC26" s="239">
        <v>0</v>
      </c>
      <c r="AD26" s="238">
        <v>0</v>
      </c>
      <c r="AE26" s="239">
        <v>0</v>
      </c>
      <c r="AF26" s="238">
        <v>0</v>
      </c>
      <c r="AG26" s="239">
        <v>0</v>
      </c>
      <c r="AH26" s="238">
        <v>0</v>
      </c>
      <c r="AI26" s="239">
        <v>0</v>
      </c>
      <c r="AJ26" s="238">
        <v>0</v>
      </c>
      <c r="AK26" s="239">
        <v>0</v>
      </c>
      <c r="AL26" s="238">
        <v>0</v>
      </c>
      <c r="AM26" s="239">
        <v>0</v>
      </c>
      <c r="AN26" s="238">
        <v>0</v>
      </c>
      <c r="AO26" s="239">
        <v>0</v>
      </c>
      <c r="AP26" s="238">
        <v>0</v>
      </c>
      <c r="AQ26" s="239">
        <v>0</v>
      </c>
      <c r="AR26" s="238">
        <v>0</v>
      </c>
      <c r="AS26" s="239">
        <v>0</v>
      </c>
      <c r="AT26" s="238">
        <v>0</v>
      </c>
      <c r="AU26" s="239">
        <v>0</v>
      </c>
      <c r="AV26" s="238">
        <v>0</v>
      </c>
      <c r="AW26" s="239">
        <v>0</v>
      </c>
      <c r="AX26" s="238">
        <v>0</v>
      </c>
      <c r="AY26" s="239">
        <v>0</v>
      </c>
      <c r="AZ26" s="238">
        <v>0</v>
      </c>
      <c r="BA26" s="239">
        <v>0</v>
      </c>
      <c r="BB26" s="238">
        <v>0</v>
      </c>
      <c r="BC26" s="239">
        <v>0</v>
      </c>
      <c r="BD26" s="238">
        <v>0</v>
      </c>
      <c r="BE26" s="239">
        <v>0</v>
      </c>
      <c r="BF26" s="238">
        <v>0</v>
      </c>
      <c r="BG26" s="239">
        <v>0</v>
      </c>
      <c r="BH26" s="238">
        <v>0</v>
      </c>
      <c r="BI26" s="239">
        <v>0</v>
      </c>
      <c r="BJ26" s="238">
        <v>0</v>
      </c>
      <c r="BK26" s="239">
        <v>0</v>
      </c>
      <c r="BL26" s="238">
        <v>0</v>
      </c>
      <c r="BM26" s="239">
        <v>0</v>
      </c>
      <c r="BN26" s="238">
        <v>0</v>
      </c>
      <c r="BO26" s="239">
        <v>0</v>
      </c>
      <c r="BP26" s="238">
        <v>0</v>
      </c>
      <c r="BQ26" s="239">
        <v>0</v>
      </c>
      <c r="BR26" s="238">
        <v>0</v>
      </c>
      <c r="BS26" s="225"/>
      <c r="BT26" s="239">
        <f t="shared" si="1"/>
        <v>206929</v>
      </c>
      <c r="BU26" s="238">
        <f t="shared" si="2"/>
        <v>13139991.5</v>
      </c>
    </row>
    <row r="27" spans="1:73" ht="14.25">
      <c r="A27" s="241">
        <v>1960</v>
      </c>
      <c r="B27" s="240">
        <f t="shared" si="3"/>
        <v>62.5</v>
      </c>
      <c r="C27" s="239">
        <v>0</v>
      </c>
      <c r="D27" s="238">
        <f>+C27*$B27</f>
        <v>0</v>
      </c>
      <c r="E27" s="239">
        <v>0</v>
      </c>
      <c r="F27" s="238">
        <f>+E27*$B27</f>
        <v>0</v>
      </c>
      <c r="G27" s="239">
        <v>0</v>
      </c>
      <c r="H27" s="238">
        <f>+G27*$B27</f>
        <v>0</v>
      </c>
      <c r="I27" s="239">
        <v>0</v>
      </c>
      <c r="J27" s="238">
        <f>+I27*$B27</f>
        <v>0</v>
      </c>
      <c r="K27" s="239">
        <v>0</v>
      </c>
      <c r="L27" s="238">
        <f>+K27*$B27</f>
        <v>0</v>
      </c>
      <c r="M27" s="239">
        <v>0</v>
      </c>
      <c r="N27" s="238">
        <f>+M27*$B27</f>
        <v>0</v>
      </c>
      <c r="O27" s="239">
        <v>0</v>
      </c>
      <c r="P27" s="238">
        <f>+O27*$B27</f>
        <v>0</v>
      </c>
      <c r="Q27" s="239">
        <v>0</v>
      </c>
      <c r="R27" s="238">
        <f>+Q27*$B27</f>
        <v>0</v>
      </c>
      <c r="S27" s="239">
        <v>13344.150000000005</v>
      </c>
      <c r="T27" s="238">
        <f>+S27*$B27</f>
        <v>834009.37500000035</v>
      </c>
      <c r="U27" s="239">
        <v>0</v>
      </c>
      <c r="V27" s="238">
        <f>+U27*$B27</f>
        <v>0</v>
      </c>
      <c r="W27" s="239">
        <v>0</v>
      </c>
      <c r="X27" s="238">
        <f>+W27*$B27</f>
        <v>0</v>
      </c>
      <c r="Y27" s="239">
        <v>0</v>
      </c>
      <c r="Z27" s="238">
        <f>+Y27*$B27</f>
        <v>0</v>
      </c>
      <c r="AA27" s="239">
        <v>0</v>
      </c>
      <c r="AB27" s="238">
        <f>+AA27*$B27</f>
        <v>0</v>
      </c>
      <c r="AC27" s="239">
        <v>0</v>
      </c>
      <c r="AD27" s="238">
        <f>+AC27*$B27</f>
        <v>0</v>
      </c>
      <c r="AE27" s="239">
        <v>0</v>
      </c>
      <c r="AF27" s="238">
        <f>+AE27*$B27</f>
        <v>0</v>
      </c>
      <c r="AG27" s="239">
        <v>0</v>
      </c>
      <c r="AH27" s="238">
        <f>+AG27*$B27</f>
        <v>0</v>
      </c>
      <c r="AI27" s="239">
        <v>0</v>
      </c>
      <c r="AJ27" s="238">
        <f>+AI27*$B27</f>
        <v>0</v>
      </c>
      <c r="AK27" s="239">
        <v>0</v>
      </c>
      <c r="AL27" s="238">
        <f>+AK27*$B27</f>
        <v>0</v>
      </c>
      <c r="AM27" s="239">
        <v>0</v>
      </c>
      <c r="AN27" s="238">
        <f>+AM27*$B27</f>
        <v>0</v>
      </c>
      <c r="AO27" s="239">
        <v>0</v>
      </c>
      <c r="AP27" s="238">
        <f>+AO27*$B27</f>
        <v>0</v>
      </c>
      <c r="AQ27" s="239">
        <v>0</v>
      </c>
      <c r="AR27" s="238">
        <f>+AQ27*$B27</f>
        <v>0</v>
      </c>
      <c r="AS27" s="239">
        <v>0</v>
      </c>
      <c r="AT27" s="238">
        <f>+AS27*$B27</f>
        <v>0</v>
      </c>
      <c r="AU27" s="239">
        <v>0</v>
      </c>
      <c r="AV27" s="238">
        <f>+AU27*$B27</f>
        <v>0</v>
      </c>
      <c r="AW27" s="239">
        <v>0</v>
      </c>
      <c r="AX27" s="238">
        <f>+AW27*$B27</f>
        <v>0</v>
      </c>
      <c r="AY27" s="239">
        <v>0</v>
      </c>
      <c r="AZ27" s="238">
        <f>+AY27*$B27</f>
        <v>0</v>
      </c>
      <c r="BA27" s="239">
        <v>0</v>
      </c>
      <c r="BB27" s="238">
        <f>+BA27*$B27</f>
        <v>0</v>
      </c>
      <c r="BC27" s="239">
        <v>0</v>
      </c>
      <c r="BD27" s="238">
        <f>+BC27*$B27</f>
        <v>0</v>
      </c>
      <c r="BE27" s="239">
        <v>0</v>
      </c>
      <c r="BF27" s="238">
        <f>+BE27*$B27</f>
        <v>0</v>
      </c>
      <c r="BG27" s="239">
        <v>0</v>
      </c>
      <c r="BH27" s="238">
        <f>+BG27*$B27</f>
        <v>0</v>
      </c>
      <c r="BI27" s="239">
        <v>0</v>
      </c>
      <c r="BJ27" s="238">
        <f>+BI27*$B27</f>
        <v>0</v>
      </c>
      <c r="BK27" s="239">
        <v>0</v>
      </c>
      <c r="BL27" s="238">
        <f>+BK27*$B27</f>
        <v>0</v>
      </c>
      <c r="BM27" s="239">
        <v>0</v>
      </c>
      <c r="BN27" s="238">
        <f>+BM27*$B27</f>
        <v>0</v>
      </c>
      <c r="BO27" s="239">
        <v>0</v>
      </c>
      <c r="BP27" s="238">
        <f>+BO27*$B27</f>
        <v>0</v>
      </c>
      <c r="BQ27" s="239">
        <v>0</v>
      </c>
      <c r="BR27" s="238">
        <f>+BQ27*$B27</f>
        <v>0</v>
      </c>
      <c r="BS27" s="225"/>
      <c r="BT27" s="239">
        <f t="shared" si="4" ref="BT27:BT58">ROUND(+BO27+BM27+BK27+BG27+BE27+BC27+AY27+AW27+AS27+AQ27+AO27+AM27+AK27+AI27+AG27+AE27+AA27+C27+E27+G27+I27+M27+O27+Q27+S27+W27+BQ27+AC27+Y27+BI27+BA27+K27+U27+AU27,0)</f>
        <v>13344</v>
      </c>
      <c r="BU27" s="238">
        <f t="shared" si="5" ref="BU27:BU58">+BT27*$B27</f>
        <v>834000</v>
      </c>
    </row>
    <row r="28" spans="1:73" ht="14.25">
      <c r="A28" s="241">
        <v>1961</v>
      </c>
      <c r="B28" s="240">
        <f t="shared" si="3"/>
        <v>61.5</v>
      </c>
      <c r="C28" s="239">
        <v>0</v>
      </c>
      <c r="D28" s="238">
        <f t="shared" si="6" ref="D28:D89">+C28*$B28</f>
        <v>0</v>
      </c>
      <c r="E28" s="239">
        <v>0</v>
      </c>
      <c r="F28" s="238">
        <f t="shared" si="7" ref="F28:F89">+E28*$B28</f>
        <v>0</v>
      </c>
      <c r="G28" s="239">
        <v>0</v>
      </c>
      <c r="H28" s="238">
        <f t="shared" si="8" ref="H28:H89">+G28*$B28</f>
        <v>0</v>
      </c>
      <c r="I28" s="239">
        <v>0</v>
      </c>
      <c r="J28" s="238">
        <f t="shared" si="9" ref="J28:J89">+I28*$B28</f>
        <v>0</v>
      </c>
      <c r="K28" s="239">
        <v>0</v>
      </c>
      <c r="L28" s="238">
        <f t="shared" si="10" ref="L28:L89">+K28*$B28</f>
        <v>0</v>
      </c>
      <c r="M28" s="239">
        <v>0</v>
      </c>
      <c r="N28" s="238">
        <f t="shared" si="11" ref="N28:N89">+M28*$B28</f>
        <v>0</v>
      </c>
      <c r="O28" s="239">
        <v>0</v>
      </c>
      <c r="P28" s="238">
        <f t="shared" si="12" ref="P28:P89">+O28*$B28</f>
        <v>0</v>
      </c>
      <c r="Q28" s="239">
        <v>0</v>
      </c>
      <c r="R28" s="238">
        <f t="shared" si="13" ref="R28:R89">+Q28*$B28</f>
        <v>0</v>
      </c>
      <c r="S28" s="239">
        <v>31380.130000000001</v>
      </c>
      <c r="T28" s="238">
        <f t="shared" si="14" ref="T28:T89">+S28*$B28</f>
        <v>1929877.9950000001</v>
      </c>
      <c r="U28" s="239">
        <v>0</v>
      </c>
      <c r="V28" s="238">
        <f t="shared" si="15" ref="V28:V89">+U28*$B28</f>
        <v>0</v>
      </c>
      <c r="W28" s="239">
        <v>0</v>
      </c>
      <c r="X28" s="238">
        <f t="shared" si="16" ref="X28:X89">+W28*$B28</f>
        <v>0</v>
      </c>
      <c r="Y28" s="239">
        <v>0</v>
      </c>
      <c r="Z28" s="238">
        <f t="shared" si="17" ref="Z28:Z89">+Y28*$B28</f>
        <v>0</v>
      </c>
      <c r="AA28" s="239">
        <v>0</v>
      </c>
      <c r="AB28" s="238">
        <f t="shared" si="18" ref="AB28:AB89">+AA28*$B28</f>
        <v>0</v>
      </c>
      <c r="AC28" s="239">
        <v>0</v>
      </c>
      <c r="AD28" s="238">
        <f t="shared" si="19" ref="AD28:AD89">+AC28*$B28</f>
        <v>0</v>
      </c>
      <c r="AE28" s="239">
        <v>0</v>
      </c>
      <c r="AF28" s="238">
        <f t="shared" si="20" ref="AF28:AF89">+AE28*$B28</f>
        <v>0</v>
      </c>
      <c r="AG28" s="239">
        <v>0</v>
      </c>
      <c r="AH28" s="238">
        <f t="shared" si="21" ref="AH28:AH89">+AG28*$B28</f>
        <v>0</v>
      </c>
      <c r="AI28" s="239">
        <v>0</v>
      </c>
      <c r="AJ28" s="238">
        <f t="shared" si="22" ref="AJ28:AJ89">+AI28*$B28</f>
        <v>0</v>
      </c>
      <c r="AK28" s="239">
        <v>0</v>
      </c>
      <c r="AL28" s="238">
        <f t="shared" si="23" ref="AL28:AL89">+AK28*$B28</f>
        <v>0</v>
      </c>
      <c r="AM28" s="239">
        <v>0</v>
      </c>
      <c r="AN28" s="238">
        <f t="shared" si="24" ref="AN28:AN89">+AM28*$B28</f>
        <v>0</v>
      </c>
      <c r="AO28" s="239">
        <v>0</v>
      </c>
      <c r="AP28" s="238">
        <f t="shared" si="25" ref="AP28:AP89">+AO28*$B28</f>
        <v>0</v>
      </c>
      <c r="AQ28" s="239">
        <v>0</v>
      </c>
      <c r="AR28" s="238">
        <f t="shared" si="26" ref="AR28:AR89">+AQ28*$B28</f>
        <v>0</v>
      </c>
      <c r="AS28" s="239">
        <v>0</v>
      </c>
      <c r="AT28" s="238">
        <f t="shared" si="27" ref="AT28:AT89">+AS28*$B28</f>
        <v>0</v>
      </c>
      <c r="AU28" s="239">
        <v>0</v>
      </c>
      <c r="AV28" s="238">
        <f t="shared" si="28" ref="AV28:AV89">+AU28*$B28</f>
        <v>0</v>
      </c>
      <c r="AW28" s="239">
        <v>0</v>
      </c>
      <c r="AX28" s="238">
        <f t="shared" si="29" ref="AX28:AX89">+AW28*$B28</f>
        <v>0</v>
      </c>
      <c r="AY28" s="239">
        <v>0</v>
      </c>
      <c r="AZ28" s="238">
        <f t="shared" si="30" ref="AZ28:AZ89">+AY28*$B28</f>
        <v>0</v>
      </c>
      <c r="BA28" s="239">
        <v>0</v>
      </c>
      <c r="BB28" s="238">
        <f t="shared" si="31" ref="BB28:BB89">+BA28*$B28</f>
        <v>0</v>
      </c>
      <c r="BC28" s="239">
        <v>0</v>
      </c>
      <c r="BD28" s="238">
        <f t="shared" si="32" ref="BD28:BD89">+BC28*$B28</f>
        <v>0</v>
      </c>
      <c r="BE28" s="239">
        <v>0</v>
      </c>
      <c r="BF28" s="238">
        <f t="shared" si="33" ref="BF28:BF89">+BE28*$B28</f>
        <v>0</v>
      </c>
      <c r="BG28" s="239">
        <v>0</v>
      </c>
      <c r="BH28" s="238">
        <f t="shared" si="34" ref="BH28:BH89">+BG28*$B28</f>
        <v>0</v>
      </c>
      <c r="BI28" s="239">
        <v>0</v>
      </c>
      <c r="BJ28" s="238">
        <f t="shared" si="35" ref="BJ28:BJ89">+BI28*$B28</f>
        <v>0</v>
      </c>
      <c r="BK28" s="239">
        <v>0</v>
      </c>
      <c r="BL28" s="238">
        <f t="shared" si="36" ref="BL28:BL89">+BK28*$B28</f>
        <v>0</v>
      </c>
      <c r="BM28" s="239">
        <v>0</v>
      </c>
      <c r="BN28" s="238">
        <f t="shared" si="37" ref="BN28:BN89">+BM28*$B28</f>
        <v>0</v>
      </c>
      <c r="BO28" s="239">
        <v>0</v>
      </c>
      <c r="BP28" s="238">
        <f t="shared" si="38" ref="BP28:BP89">+BO28*$B28</f>
        <v>0</v>
      </c>
      <c r="BQ28" s="239">
        <v>0</v>
      </c>
      <c r="BR28" s="238">
        <f t="shared" si="39" ref="BR28:BR89">+BQ28*$B28</f>
        <v>0</v>
      </c>
      <c r="BS28" s="225"/>
      <c r="BT28" s="239">
        <f t="shared" si="4"/>
        <v>31380</v>
      </c>
      <c r="BU28" s="238">
        <f t="shared" si="5"/>
        <v>1929870</v>
      </c>
    </row>
    <row r="29" spans="1:73" ht="14.25">
      <c r="A29" s="241">
        <v>1962</v>
      </c>
      <c r="B29" s="240">
        <f t="shared" si="3"/>
        <v>60.5</v>
      </c>
      <c r="C29" s="239">
        <v>0</v>
      </c>
      <c r="D29" s="238">
        <f t="shared" si="6"/>
        <v>0</v>
      </c>
      <c r="E29" s="239">
        <v>0</v>
      </c>
      <c r="F29" s="238">
        <f t="shared" si="7"/>
        <v>0</v>
      </c>
      <c r="G29" s="239">
        <v>0</v>
      </c>
      <c r="H29" s="238">
        <f t="shared" si="8"/>
        <v>0</v>
      </c>
      <c r="I29" s="239">
        <v>0</v>
      </c>
      <c r="J29" s="238">
        <f t="shared" si="9"/>
        <v>0</v>
      </c>
      <c r="K29" s="239">
        <v>0</v>
      </c>
      <c r="L29" s="238">
        <f t="shared" si="10"/>
        <v>0</v>
      </c>
      <c r="M29" s="239">
        <v>0</v>
      </c>
      <c r="N29" s="238">
        <f t="shared" si="11"/>
        <v>0</v>
      </c>
      <c r="O29" s="239">
        <v>0</v>
      </c>
      <c r="P29" s="238">
        <f t="shared" si="12"/>
        <v>0</v>
      </c>
      <c r="Q29" s="239">
        <v>0</v>
      </c>
      <c r="R29" s="238">
        <f t="shared" si="13"/>
        <v>0</v>
      </c>
      <c r="S29" s="239">
        <v>32285.990000000002</v>
      </c>
      <c r="T29" s="238">
        <f t="shared" si="14"/>
        <v>1953302.395</v>
      </c>
      <c r="U29" s="239">
        <v>0</v>
      </c>
      <c r="V29" s="238">
        <f t="shared" si="15"/>
        <v>0</v>
      </c>
      <c r="W29" s="239">
        <v>0</v>
      </c>
      <c r="X29" s="238">
        <f t="shared" si="16"/>
        <v>0</v>
      </c>
      <c r="Y29" s="239">
        <v>0</v>
      </c>
      <c r="Z29" s="238">
        <f t="shared" si="17"/>
        <v>0</v>
      </c>
      <c r="AA29" s="239">
        <v>0</v>
      </c>
      <c r="AB29" s="238">
        <f t="shared" si="18"/>
        <v>0</v>
      </c>
      <c r="AC29" s="239">
        <v>0</v>
      </c>
      <c r="AD29" s="238">
        <f t="shared" si="19"/>
        <v>0</v>
      </c>
      <c r="AE29" s="239">
        <v>0</v>
      </c>
      <c r="AF29" s="238">
        <f t="shared" si="20"/>
        <v>0</v>
      </c>
      <c r="AG29" s="239">
        <v>0</v>
      </c>
      <c r="AH29" s="238">
        <f t="shared" si="21"/>
        <v>0</v>
      </c>
      <c r="AI29" s="239">
        <v>0</v>
      </c>
      <c r="AJ29" s="238">
        <f t="shared" si="22"/>
        <v>0</v>
      </c>
      <c r="AK29" s="239">
        <v>0</v>
      </c>
      <c r="AL29" s="238">
        <f t="shared" si="23"/>
        <v>0</v>
      </c>
      <c r="AM29" s="239">
        <v>0</v>
      </c>
      <c r="AN29" s="238">
        <f t="shared" si="24"/>
        <v>0</v>
      </c>
      <c r="AO29" s="239">
        <v>0</v>
      </c>
      <c r="AP29" s="238">
        <f t="shared" si="25"/>
        <v>0</v>
      </c>
      <c r="AQ29" s="239">
        <v>0</v>
      </c>
      <c r="AR29" s="238">
        <f t="shared" si="26"/>
        <v>0</v>
      </c>
      <c r="AS29" s="239">
        <v>0</v>
      </c>
      <c r="AT29" s="238">
        <f t="shared" si="27"/>
        <v>0</v>
      </c>
      <c r="AU29" s="239">
        <v>0</v>
      </c>
      <c r="AV29" s="238">
        <f t="shared" si="28"/>
        <v>0</v>
      </c>
      <c r="AW29" s="239">
        <v>0</v>
      </c>
      <c r="AX29" s="238">
        <f t="shared" si="29"/>
        <v>0</v>
      </c>
      <c r="AY29" s="239">
        <v>0</v>
      </c>
      <c r="AZ29" s="238">
        <f t="shared" si="30"/>
        <v>0</v>
      </c>
      <c r="BA29" s="239">
        <v>0</v>
      </c>
      <c r="BB29" s="238">
        <f t="shared" si="31"/>
        <v>0</v>
      </c>
      <c r="BC29" s="239">
        <v>0</v>
      </c>
      <c r="BD29" s="238">
        <f t="shared" si="32"/>
        <v>0</v>
      </c>
      <c r="BE29" s="239">
        <v>0</v>
      </c>
      <c r="BF29" s="238">
        <f t="shared" si="33"/>
        <v>0</v>
      </c>
      <c r="BG29" s="239">
        <v>0</v>
      </c>
      <c r="BH29" s="238">
        <f t="shared" si="34"/>
        <v>0</v>
      </c>
      <c r="BI29" s="239">
        <v>0</v>
      </c>
      <c r="BJ29" s="238">
        <f t="shared" si="35"/>
        <v>0</v>
      </c>
      <c r="BK29" s="239">
        <v>0</v>
      </c>
      <c r="BL29" s="238">
        <f t="shared" si="36"/>
        <v>0</v>
      </c>
      <c r="BM29" s="239">
        <v>0</v>
      </c>
      <c r="BN29" s="238">
        <f t="shared" si="37"/>
        <v>0</v>
      </c>
      <c r="BO29" s="239">
        <v>0</v>
      </c>
      <c r="BP29" s="238">
        <f t="shared" si="38"/>
        <v>0</v>
      </c>
      <c r="BQ29" s="239">
        <v>0</v>
      </c>
      <c r="BR29" s="238">
        <f t="shared" si="39"/>
        <v>0</v>
      </c>
      <c r="BS29" s="225"/>
      <c r="BT29" s="239">
        <f t="shared" si="4"/>
        <v>32286</v>
      </c>
      <c r="BU29" s="238">
        <f t="shared" si="5"/>
        <v>1953303</v>
      </c>
    </row>
    <row r="30" spans="1:73" ht="14.25">
      <c r="A30" s="241">
        <v>1963</v>
      </c>
      <c r="B30" s="240">
        <f t="shared" si="3"/>
        <v>59.5</v>
      </c>
      <c r="C30" s="239">
        <v>0</v>
      </c>
      <c r="D30" s="238">
        <f t="shared" si="6"/>
        <v>0</v>
      </c>
      <c r="E30" s="239">
        <v>0</v>
      </c>
      <c r="F30" s="238">
        <f t="shared" si="7"/>
        <v>0</v>
      </c>
      <c r="G30" s="239">
        <v>0</v>
      </c>
      <c r="H30" s="238">
        <f t="shared" si="8"/>
        <v>0</v>
      </c>
      <c r="I30" s="239">
        <v>0</v>
      </c>
      <c r="J30" s="238">
        <f t="shared" si="9"/>
        <v>0</v>
      </c>
      <c r="K30" s="239">
        <v>0</v>
      </c>
      <c r="L30" s="238">
        <f t="shared" si="10"/>
        <v>0</v>
      </c>
      <c r="M30" s="239">
        <v>0</v>
      </c>
      <c r="N30" s="238">
        <f t="shared" si="11"/>
        <v>0</v>
      </c>
      <c r="O30" s="239">
        <v>0</v>
      </c>
      <c r="P30" s="238">
        <f t="shared" si="12"/>
        <v>0</v>
      </c>
      <c r="Q30" s="239">
        <v>0</v>
      </c>
      <c r="R30" s="238">
        <f t="shared" si="13"/>
        <v>0</v>
      </c>
      <c r="S30" s="239">
        <v>26432.340000000004</v>
      </c>
      <c r="T30" s="238">
        <f t="shared" si="14"/>
        <v>1572724.2300000002</v>
      </c>
      <c r="U30" s="239">
        <v>0</v>
      </c>
      <c r="V30" s="238">
        <f t="shared" si="15"/>
        <v>0</v>
      </c>
      <c r="W30" s="239">
        <v>0</v>
      </c>
      <c r="X30" s="238">
        <f t="shared" si="16"/>
        <v>0</v>
      </c>
      <c r="Y30" s="239">
        <v>0</v>
      </c>
      <c r="Z30" s="238">
        <f t="shared" si="17"/>
        <v>0</v>
      </c>
      <c r="AA30" s="239">
        <v>0</v>
      </c>
      <c r="AB30" s="238">
        <f t="shared" si="18"/>
        <v>0</v>
      </c>
      <c r="AC30" s="239">
        <v>0</v>
      </c>
      <c r="AD30" s="238">
        <f t="shared" si="19"/>
        <v>0</v>
      </c>
      <c r="AE30" s="239">
        <v>0</v>
      </c>
      <c r="AF30" s="238">
        <f t="shared" si="20"/>
        <v>0</v>
      </c>
      <c r="AG30" s="239">
        <v>0</v>
      </c>
      <c r="AH30" s="238">
        <f t="shared" si="21"/>
        <v>0</v>
      </c>
      <c r="AI30" s="239">
        <v>0</v>
      </c>
      <c r="AJ30" s="238">
        <f t="shared" si="22"/>
        <v>0</v>
      </c>
      <c r="AK30" s="239">
        <v>0</v>
      </c>
      <c r="AL30" s="238">
        <f t="shared" si="23"/>
        <v>0</v>
      </c>
      <c r="AM30" s="239">
        <v>0</v>
      </c>
      <c r="AN30" s="238">
        <f t="shared" si="24"/>
        <v>0</v>
      </c>
      <c r="AO30" s="239">
        <v>0</v>
      </c>
      <c r="AP30" s="238">
        <f t="shared" si="25"/>
        <v>0</v>
      </c>
      <c r="AQ30" s="239">
        <v>0</v>
      </c>
      <c r="AR30" s="238">
        <f t="shared" si="26"/>
        <v>0</v>
      </c>
      <c r="AS30" s="239">
        <v>0</v>
      </c>
      <c r="AT30" s="238">
        <f t="shared" si="27"/>
        <v>0</v>
      </c>
      <c r="AU30" s="239">
        <v>0</v>
      </c>
      <c r="AV30" s="238">
        <f t="shared" si="28"/>
        <v>0</v>
      </c>
      <c r="AW30" s="239">
        <v>0</v>
      </c>
      <c r="AX30" s="238">
        <f t="shared" si="29"/>
        <v>0</v>
      </c>
      <c r="AY30" s="239">
        <v>0</v>
      </c>
      <c r="AZ30" s="238">
        <f t="shared" si="30"/>
        <v>0</v>
      </c>
      <c r="BA30" s="239">
        <v>0</v>
      </c>
      <c r="BB30" s="238">
        <f t="shared" si="31"/>
        <v>0</v>
      </c>
      <c r="BC30" s="239">
        <v>0</v>
      </c>
      <c r="BD30" s="238">
        <f t="shared" si="32"/>
        <v>0</v>
      </c>
      <c r="BE30" s="239">
        <v>0</v>
      </c>
      <c r="BF30" s="238">
        <f t="shared" si="33"/>
        <v>0</v>
      </c>
      <c r="BG30" s="239">
        <v>0</v>
      </c>
      <c r="BH30" s="238">
        <f t="shared" si="34"/>
        <v>0</v>
      </c>
      <c r="BI30" s="239">
        <v>0</v>
      </c>
      <c r="BJ30" s="238">
        <f t="shared" si="35"/>
        <v>0</v>
      </c>
      <c r="BK30" s="239">
        <v>0</v>
      </c>
      <c r="BL30" s="238">
        <f t="shared" si="36"/>
        <v>0</v>
      </c>
      <c r="BM30" s="239">
        <v>0</v>
      </c>
      <c r="BN30" s="238">
        <f t="shared" si="37"/>
        <v>0</v>
      </c>
      <c r="BO30" s="239">
        <v>0</v>
      </c>
      <c r="BP30" s="238">
        <f t="shared" si="38"/>
        <v>0</v>
      </c>
      <c r="BQ30" s="239">
        <v>0</v>
      </c>
      <c r="BR30" s="238">
        <f t="shared" si="39"/>
        <v>0</v>
      </c>
      <c r="BS30" s="225"/>
      <c r="BT30" s="239">
        <f t="shared" si="4"/>
        <v>26432</v>
      </c>
      <c r="BU30" s="238">
        <f t="shared" si="5"/>
        <v>1572704</v>
      </c>
    </row>
    <row r="31" spans="1:73" ht="14.25">
      <c r="A31" s="241">
        <v>1964</v>
      </c>
      <c r="B31" s="240">
        <f t="shared" si="3"/>
        <v>58.5</v>
      </c>
      <c r="C31" s="239">
        <v>0</v>
      </c>
      <c r="D31" s="238">
        <f t="shared" si="6"/>
        <v>0</v>
      </c>
      <c r="E31" s="239">
        <v>0</v>
      </c>
      <c r="F31" s="238">
        <f t="shared" si="7"/>
        <v>0</v>
      </c>
      <c r="G31" s="239">
        <v>0</v>
      </c>
      <c r="H31" s="238">
        <f t="shared" si="8"/>
        <v>0</v>
      </c>
      <c r="I31" s="239">
        <v>0</v>
      </c>
      <c r="J31" s="238">
        <f t="shared" si="9"/>
        <v>0</v>
      </c>
      <c r="K31" s="239">
        <v>0</v>
      </c>
      <c r="L31" s="238">
        <f t="shared" si="10"/>
        <v>0</v>
      </c>
      <c r="M31" s="239">
        <v>0</v>
      </c>
      <c r="N31" s="238">
        <f t="shared" si="11"/>
        <v>0</v>
      </c>
      <c r="O31" s="239">
        <v>0</v>
      </c>
      <c r="P31" s="238">
        <f t="shared" si="12"/>
        <v>0</v>
      </c>
      <c r="Q31" s="239">
        <v>0</v>
      </c>
      <c r="R31" s="238">
        <f t="shared" si="13"/>
        <v>0</v>
      </c>
      <c r="S31" s="239">
        <v>33997.279999999999</v>
      </c>
      <c r="T31" s="238">
        <f t="shared" si="14"/>
        <v>1988840.8799999999</v>
      </c>
      <c r="U31" s="239">
        <v>0</v>
      </c>
      <c r="V31" s="238">
        <f t="shared" si="15"/>
        <v>0</v>
      </c>
      <c r="W31" s="239">
        <v>0</v>
      </c>
      <c r="X31" s="238">
        <f t="shared" si="16"/>
        <v>0</v>
      </c>
      <c r="Y31" s="239">
        <v>0</v>
      </c>
      <c r="Z31" s="238">
        <f t="shared" si="17"/>
        <v>0</v>
      </c>
      <c r="AA31" s="239">
        <v>0</v>
      </c>
      <c r="AB31" s="238">
        <f t="shared" si="18"/>
        <v>0</v>
      </c>
      <c r="AC31" s="239">
        <v>0</v>
      </c>
      <c r="AD31" s="238">
        <f t="shared" si="19"/>
        <v>0</v>
      </c>
      <c r="AE31" s="239">
        <v>0</v>
      </c>
      <c r="AF31" s="238">
        <f t="shared" si="20"/>
        <v>0</v>
      </c>
      <c r="AG31" s="239">
        <v>0</v>
      </c>
      <c r="AH31" s="238">
        <f t="shared" si="21"/>
        <v>0</v>
      </c>
      <c r="AI31" s="239">
        <v>0</v>
      </c>
      <c r="AJ31" s="238">
        <f t="shared" si="22"/>
        <v>0</v>
      </c>
      <c r="AK31" s="239">
        <v>0</v>
      </c>
      <c r="AL31" s="238">
        <f t="shared" si="23"/>
        <v>0</v>
      </c>
      <c r="AM31" s="239">
        <v>0</v>
      </c>
      <c r="AN31" s="238">
        <f t="shared" si="24"/>
        <v>0</v>
      </c>
      <c r="AO31" s="239">
        <v>0</v>
      </c>
      <c r="AP31" s="238">
        <f t="shared" si="25"/>
        <v>0</v>
      </c>
      <c r="AQ31" s="239">
        <v>0</v>
      </c>
      <c r="AR31" s="238">
        <f t="shared" si="26"/>
        <v>0</v>
      </c>
      <c r="AS31" s="239">
        <v>0</v>
      </c>
      <c r="AT31" s="238">
        <f t="shared" si="27"/>
        <v>0</v>
      </c>
      <c r="AU31" s="239">
        <v>0</v>
      </c>
      <c r="AV31" s="238">
        <f t="shared" si="28"/>
        <v>0</v>
      </c>
      <c r="AW31" s="239">
        <v>0</v>
      </c>
      <c r="AX31" s="238">
        <f t="shared" si="29"/>
        <v>0</v>
      </c>
      <c r="AY31" s="239">
        <v>0</v>
      </c>
      <c r="AZ31" s="238">
        <f t="shared" si="30"/>
        <v>0</v>
      </c>
      <c r="BA31" s="239">
        <v>0</v>
      </c>
      <c r="BB31" s="238">
        <f t="shared" si="31"/>
        <v>0</v>
      </c>
      <c r="BC31" s="239">
        <v>0</v>
      </c>
      <c r="BD31" s="238">
        <f t="shared" si="32"/>
        <v>0</v>
      </c>
      <c r="BE31" s="239">
        <v>0</v>
      </c>
      <c r="BF31" s="238">
        <f t="shared" si="33"/>
        <v>0</v>
      </c>
      <c r="BG31" s="239">
        <v>0</v>
      </c>
      <c r="BH31" s="238">
        <f t="shared" si="34"/>
        <v>0</v>
      </c>
      <c r="BI31" s="239">
        <v>0</v>
      </c>
      <c r="BJ31" s="238">
        <f t="shared" si="35"/>
        <v>0</v>
      </c>
      <c r="BK31" s="239">
        <v>0</v>
      </c>
      <c r="BL31" s="238">
        <f t="shared" si="36"/>
        <v>0</v>
      </c>
      <c r="BM31" s="239">
        <v>0</v>
      </c>
      <c r="BN31" s="238">
        <f t="shared" si="37"/>
        <v>0</v>
      </c>
      <c r="BO31" s="239">
        <v>0</v>
      </c>
      <c r="BP31" s="238">
        <f t="shared" si="38"/>
        <v>0</v>
      </c>
      <c r="BQ31" s="239">
        <v>0</v>
      </c>
      <c r="BR31" s="238">
        <f t="shared" si="39"/>
        <v>0</v>
      </c>
      <c r="BS31" s="225"/>
      <c r="BT31" s="239">
        <f t="shared" si="4"/>
        <v>33997</v>
      </c>
      <c r="BU31" s="238">
        <f t="shared" si="5"/>
        <v>1988824.5</v>
      </c>
    </row>
    <row r="32" spans="1:73" ht="14.25">
      <c r="A32" s="241">
        <v>1965</v>
      </c>
      <c r="B32" s="240">
        <f t="shared" si="3"/>
        <v>57.5</v>
      </c>
      <c r="C32" s="239">
        <v>0</v>
      </c>
      <c r="D32" s="238">
        <f t="shared" si="6"/>
        <v>0</v>
      </c>
      <c r="E32" s="239">
        <v>0</v>
      </c>
      <c r="F32" s="238">
        <f t="shared" si="7"/>
        <v>0</v>
      </c>
      <c r="G32" s="239">
        <v>0</v>
      </c>
      <c r="H32" s="238">
        <f t="shared" si="8"/>
        <v>0</v>
      </c>
      <c r="I32" s="239">
        <v>0</v>
      </c>
      <c r="J32" s="238">
        <f t="shared" si="9"/>
        <v>0</v>
      </c>
      <c r="K32" s="239">
        <v>0</v>
      </c>
      <c r="L32" s="238">
        <f t="shared" si="10"/>
        <v>0</v>
      </c>
      <c r="M32" s="239">
        <v>0</v>
      </c>
      <c r="N32" s="238">
        <f t="shared" si="11"/>
        <v>0</v>
      </c>
      <c r="O32" s="239">
        <v>0</v>
      </c>
      <c r="P32" s="238">
        <f t="shared" si="12"/>
        <v>0</v>
      </c>
      <c r="Q32" s="239">
        <v>0</v>
      </c>
      <c r="R32" s="238">
        <f t="shared" si="13"/>
        <v>0</v>
      </c>
      <c r="S32" s="239">
        <v>25077.150000000001</v>
      </c>
      <c r="T32" s="238">
        <f t="shared" si="14"/>
        <v>1441936.125</v>
      </c>
      <c r="U32" s="239">
        <v>0</v>
      </c>
      <c r="V32" s="238">
        <f t="shared" si="15"/>
        <v>0</v>
      </c>
      <c r="W32" s="239">
        <v>0</v>
      </c>
      <c r="X32" s="238">
        <f t="shared" si="16"/>
        <v>0</v>
      </c>
      <c r="Y32" s="239">
        <v>0</v>
      </c>
      <c r="Z32" s="238">
        <f t="shared" si="17"/>
        <v>0</v>
      </c>
      <c r="AA32" s="239">
        <v>0</v>
      </c>
      <c r="AB32" s="238">
        <f t="shared" si="18"/>
        <v>0</v>
      </c>
      <c r="AC32" s="239">
        <v>0</v>
      </c>
      <c r="AD32" s="238">
        <f t="shared" si="19"/>
        <v>0</v>
      </c>
      <c r="AE32" s="239">
        <v>0</v>
      </c>
      <c r="AF32" s="238">
        <f t="shared" si="20"/>
        <v>0</v>
      </c>
      <c r="AG32" s="239">
        <v>0</v>
      </c>
      <c r="AH32" s="238">
        <f t="shared" si="21"/>
        <v>0</v>
      </c>
      <c r="AI32" s="239">
        <v>0</v>
      </c>
      <c r="AJ32" s="238">
        <f t="shared" si="22"/>
        <v>0</v>
      </c>
      <c r="AK32" s="239">
        <v>0</v>
      </c>
      <c r="AL32" s="238">
        <f t="shared" si="23"/>
        <v>0</v>
      </c>
      <c r="AM32" s="239">
        <v>0</v>
      </c>
      <c r="AN32" s="238">
        <f t="shared" si="24"/>
        <v>0</v>
      </c>
      <c r="AO32" s="239">
        <v>0</v>
      </c>
      <c r="AP32" s="238">
        <f t="shared" si="25"/>
        <v>0</v>
      </c>
      <c r="AQ32" s="239">
        <v>0</v>
      </c>
      <c r="AR32" s="238">
        <f t="shared" si="26"/>
        <v>0</v>
      </c>
      <c r="AS32" s="239">
        <v>0</v>
      </c>
      <c r="AT32" s="238">
        <f t="shared" si="27"/>
        <v>0</v>
      </c>
      <c r="AU32" s="239">
        <v>0</v>
      </c>
      <c r="AV32" s="238">
        <f t="shared" si="28"/>
        <v>0</v>
      </c>
      <c r="AW32" s="239">
        <v>0</v>
      </c>
      <c r="AX32" s="238">
        <f t="shared" si="29"/>
        <v>0</v>
      </c>
      <c r="AY32" s="239">
        <v>0</v>
      </c>
      <c r="AZ32" s="238">
        <f t="shared" si="30"/>
        <v>0</v>
      </c>
      <c r="BA32" s="239">
        <v>0</v>
      </c>
      <c r="BB32" s="238">
        <f t="shared" si="31"/>
        <v>0</v>
      </c>
      <c r="BC32" s="239">
        <v>0</v>
      </c>
      <c r="BD32" s="238">
        <f t="shared" si="32"/>
        <v>0</v>
      </c>
      <c r="BE32" s="239">
        <v>0</v>
      </c>
      <c r="BF32" s="238">
        <f t="shared" si="33"/>
        <v>0</v>
      </c>
      <c r="BG32" s="239">
        <v>0</v>
      </c>
      <c r="BH32" s="238">
        <f t="shared" si="34"/>
        <v>0</v>
      </c>
      <c r="BI32" s="239">
        <v>0</v>
      </c>
      <c r="BJ32" s="238">
        <f t="shared" si="35"/>
        <v>0</v>
      </c>
      <c r="BK32" s="239">
        <v>0</v>
      </c>
      <c r="BL32" s="238">
        <f t="shared" si="36"/>
        <v>0</v>
      </c>
      <c r="BM32" s="239">
        <v>0</v>
      </c>
      <c r="BN32" s="238">
        <f t="shared" si="37"/>
        <v>0</v>
      </c>
      <c r="BO32" s="239">
        <v>0</v>
      </c>
      <c r="BP32" s="238">
        <f t="shared" si="38"/>
        <v>0</v>
      </c>
      <c r="BQ32" s="239">
        <v>0</v>
      </c>
      <c r="BR32" s="238">
        <f t="shared" si="39"/>
        <v>0</v>
      </c>
      <c r="BS32" s="225"/>
      <c r="BT32" s="239">
        <f t="shared" si="4"/>
        <v>25077</v>
      </c>
      <c r="BU32" s="238">
        <f t="shared" si="5"/>
        <v>1441927.5</v>
      </c>
    </row>
    <row r="33" spans="1:73" ht="14.25">
      <c r="A33" s="241">
        <v>1966</v>
      </c>
      <c r="B33" s="240">
        <f t="shared" si="3"/>
        <v>56.5</v>
      </c>
      <c r="C33" s="239">
        <v>0</v>
      </c>
      <c r="D33" s="238">
        <f t="shared" si="6"/>
        <v>0</v>
      </c>
      <c r="E33" s="239">
        <v>0</v>
      </c>
      <c r="F33" s="238">
        <f t="shared" si="7"/>
        <v>0</v>
      </c>
      <c r="G33" s="239">
        <v>0</v>
      </c>
      <c r="H33" s="238">
        <f t="shared" si="8"/>
        <v>0</v>
      </c>
      <c r="I33" s="239">
        <v>0</v>
      </c>
      <c r="J33" s="238">
        <f t="shared" si="9"/>
        <v>0</v>
      </c>
      <c r="K33" s="239">
        <v>0</v>
      </c>
      <c r="L33" s="238">
        <f t="shared" si="10"/>
        <v>0</v>
      </c>
      <c r="M33" s="239">
        <v>0</v>
      </c>
      <c r="N33" s="238">
        <f t="shared" si="11"/>
        <v>0</v>
      </c>
      <c r="O33" s="239">
        <v>0</v>
      </c>
      <c r="P33" s="238">
        <f t="shared" si="12"/>
        <v>0</v>
      </c>
      <c r="Q33" s="239">
        <v>0</v>
      </c>
      <c r="R33" s="238">
        <f t="shared" si="13"/>
        <v>0</v>
      </c>
      <c r="S33" s="239">
        <v>27242.279999999999</v>
      </c>
      <c r="T33" s="238">
        <f t="shared" si="14"/>
        <v>1539188.8199999998</v>
      </c>
      <c r="U33" s="239">
        <v>0</v>
      </c>
      <c r="V33" s="238">
        <f t="shared" si="15"/>
        <v>0</v>
      </c>
      <c r="W33" s="239">
        <v>0</v>
      </c>
      <c r="X33" s="238">
        <f t="shared" si="16"/>
        <v>0</v>
      </c>
      <c r="Y33" s="239">
        <v>0</v>
      </c>
      <c r="Z33" s="238">
        <f t="shared" si="17"/>
        <v>0</v>
      </c>
      <c r="AA33" s="239">
        <v>0</v>
      </c>
      <c r="AB33" s="238">
        <f t="shared" si="18"/>
        <v>0</v>
      </c>
      <c r="AC33" s="239">
        <v>0</v>
      </c>
      <c r="AD33" s="238">
        <f t="shared" si="19"/>
        <v>0</v>
      </c>
      <c r="AE33" s="239">
        <v>0</v>
      </c>
      <c r="AF33" s="238">
        <f t="shared" si="20"/>
        <v>0</v>
      </c>
      <c r="AG33" s="239">
        <v>0</v>
      </c>
      <c r="AH33" s="238">
        <f t="shared" si="21"/>
        <v>0</v>
      </c>
      <c r="AI33" s="239">
        <v>60</v>
      </c>
      <c r="AJ33" s="238">
        <f t="shared" si="22"/>
        <v>3390</v>
      </c>
      <c r="AK33" s="239">
        <v>0</v>
      </c>
      <c r="AL33" s="238">
        <f t="shared" si="23"/>
        <v>0</v>
      </c>
      <c r="AM33" s="239">
        <v>0</v>
      </c>
      <c r="AN33" s="238">
        <f t="shared" si="24"/>
        <v>0</v>
      </c>
      <c r="AO33" s="239">
        <v>0</v>
      </c>
      <c r="AP33" s="238">
        <f t="shared" si="25"/>
        <v>0</v>
      </c>
      <c r="AQ33" s="239">
        <v>0</v>
      </c>
      <c r="AR33" s="238">
        <f t="shared" si="26"/>
        <v>0</v>
      </c>
      <c r="AS33" s="239">
        <v>0</v>
      </c>
      <c r="AT33" s="238">
        <f t="shared" si="27"/>
        <v>0</v>
      </c>
      <c r="AU33" s="239">
        <v>0</v>
      </c>
      <c r="AV33" s="238">
        <f t="shared" si="28"/>
        <v>0</v>
      </c>
      <c r="AW33" s="239">
        <v>0</v>
      </c>
      <c r="AX33" s="238">
        <f t="shared" si="29"/>
        <v>0</v>
      </c>
      <c r="AY33" s="239">
        <v>0</v>
      </c>
      <c r="AZ33" s="238">
        <f t="shared" si="30"/>
        <v>0</v>
      </c>
      <c r="BA33" s="239">
        <v>0</v>
      </c>
      <c r="BB33" s="238">
        <f t="shared" si="31"/>
        <v>0</v>
      </c>
      <c r="BC33" s="239">
        <v>0</v>
      </c>
      <c r="BD33" s="238">
        <f t="shared" si="32"/>
        <v>0</v>
      </c>
      <c r="BE33" s="239">
        <v>0</v>
      </c>
      <c r="BF33" s="238">
        <f t="shared" si="33"/>
        <v>0</v>
      </c>
      <c r="BG33" s="239">
        <v>0</v>
      </c>
      <c r="BH33" s="238">
        <f t="shared" si="34"/>
        <v>0</v>
      </c>
      <c r="BI33" s="239">
        <v>0</v>
      </c>
      <c r="BJ33" s="238">
        <f t="shared" si="35"/>
        <v>0</v>
      </c>
      <c r="BK33" s="239">
        <v>0</v>
      </c>
      <c r="BL33" s="238">
        <f t="shared" si="36"/>
        <v>0</v>
      </c>
      <c r="BM33" s="239">
        <v>0</v>
      </c>
      <c r="BN33" s="238">
        <f t="shared" si="37"/>
        <v>0</v>
      </c>
      <c r="BO33" s="239">
        <v>0</v>
      </c>
      <c r="BP33" s="238">
        <f t="shared" si="38"/>
        <v>0</v>
      </c>
      <c r="BQ33" s="239">
        <v>0</v>
      </c>
      <c r="BR33" s="238">
        <f t="shared" si="39"/>
        <v>0</v>
      </c>
      <c r="BS33" s="225"/>
      <c r="BT33" s="239">
        <f t="shared" si="4"/>
        <v>27302</v>
      </c>
      <c r="BU33" s="238">
        <f t="shared" si="5"/>
        <v>1542563</v>
      </c>
    </row>
    <row r="34" spans="1:73" ht="14.25">
      <c r="A34" s="241">
        <v>1967</v>
      </c>
      <c r="B34" s="240">
        <f t="shared" si="3"/>
        <v>55.5</v>
      </c>
      <c r="C34" s="239">
        <v>0</v>
      </c>
      <c r="D34" s="238">
        <f t="shared" si="6"/>
        <v>0</v>
      </c>
      <c r="E34" s="239">
        <v>0</v>
      </c>
      <c r="F34" s="238">
        <f t="shared" si="7"/>
        <v>0</v>
      </c>
      <c r="G34" s="239">
        <v>0</v>
      </c>
      <c r="H34" s="238">
        <f t="shared" si="8"/>
        <v>0</v>
      </c>
      <c r="I34" s="239">
        <v>0</v>
      </c>
      <c r="J34" s="238">
        <f t="shared" si="9"/>
        <v>0</v>
      </c>
      <c r="K34" s="239">
        <v>0</v>
      </c>
      <c r="L34" s="238">
        <f t="shared" si="10"/>
        <v>0</v>
      </c>
      <c r="M34" s="239">
        <v>0</v>
      </c>
      <c r="N34" s="238">
        <f t="shared" si="11"/>
        <v>0</v>
      </c>
      <c r="O34" s="239">
        <v>0</v>
      </c>
      <c r="P34" s="238">
        <f t="shared" si="12"/>
        <v>0</v>
      </c>
      <c r="Q34" s="239">
        <v>0</v>
      </c>
      <c r="R34" s="238">
        <f t="shared" si="13"/>
        <v>0</v>
      </c>
      <c r="S34" s="239">
        <v>48402.150000000001</v>
      </c>
      <c r="T34" s="238">
        <f t="shared" si="14"/>
        <v>2686319.3250000002</v>
      </c>
      <c r="U34" s="239">
        <v>0</v>
      </c>
      <c r="V34" s="238">
        <f t="shared" si="15"/>
        <v>0</v>
      </c>
      <c r="W34" s="239">
        <v>0</v>
      </c>
      <c r="X34" s="238">
        <f t="shared" si="16"/>
        <v>0</v>
      </c>
      <c r="Y34" s="239">
        <v>0</v>
      </c>
      <c r="Z34" s="238">
        <f t="shared" si="17"/>
        <v>0</v>
      </c>
      <c r="AA34" s="239">
        <v>0</v>
      </c>
      <c r="AB34" s="238">
        <f t="shared" si="18"/>
        <v>0</v>
      </c>
      <c r="AC34" s="239">
        <v>0</v>
      </c>
      <c r="AD34" s="238">
        <f t="shared" si="19"/>
        <v>0</v>
      </c>
      <c r="AE34" s="239">
        <v>0</v>
      </c>
      <c r="AF34" s="238">
        <f t="shared" si="20"/>
        <v>0</v>
      </c>
      <c r="AG34" s="239">
        <v>0</v>
      </c>
      <c r="AH34" s="238">
        <f t="shared" si="21"/>
        <v>0</v>
      </c>
      <c r="AI34" s="239">
        <v>0</v>
      </c>
      <c r="AJ34" s="238">
        <f t="shared" si="22"/>
        <v>0</v>
      </c>
      <c r="AK34" s="239">
        <v>0</v>
      </c>
      <c r="AL34" s="238">
        <f t="shared" si="23"/>
        <v>0</v>
      </c>
      <c r="AM34" s="239">
        <v>0</v>
      </c>
      <c r="AN34" s="238">
        <f t="shared" si="24"/>
        <v>0</v>
      </c>
      <c r="AO34" s="239">
        <v>0</v>
      </c>
      <c r="AP34" s="238">
        <f t="shared" si="25"/>
        <v>0</v>
      </c>
      <c r="AQ34" s="239">
        <v>0</v>
      </c>
      <c r="AR34" s="238">
        <f t="shared" si="26"/>
        <v>0</v>
      </c>
      <c r="AS34" s="239">
        <v>0</v>
      </c>
      <c r="AT34" s="238">
        <f t="shared" si="27"/>
        <v>0</v>
      </c>
      <c r="AU34" s="239">
        <v>0</v>
      </c>
      <c r="AV34" s="238">
        <f t="shared" si="28"/>
        <v>0</v>
      </c>
      <c r="AW34" s="239">
        <v>0</v>
      </c>
      <c r="AX34" s="238">
        <f t="shared" si="29"/>
        <v>0</v>
      </c>
      <c r="AY34" s="239">
        <v>0</v>
      </c>
      <c r="AZ34" s="238">
        <f t="shared" si="30"/>
        <v>0</v>
      </c>
      <c r="BA34" s="239">
        <v>0</v>
      </c>
      <c r="BB34" s="238">
        <f t="shared" si="31"/>
        <v>0</v>
      </c>
      <c r="BC34" s="239">
        <v>0</v>
      </c>
      <c r="BD34" s="238">
        <f t="shared" si="32"/>
        <v>0</v>
      </c>
      <c r="BE34" s="239">
        <v>0</v>
      </c>
      <c r="BF34" s="238">
        <f t="shared" si="33"/>
        <v>0</v>
      </c>
      <c r="BG34" s="239">
        <v>0</v>
      </c>
      <c r="BH34" s="238">
        <f t="shared" si="34"/>
        <v>0</v>
      </c>
      <c r="BI34" s="239">
        <v>0</v>
      </c>
      <c r="BJ34" s="238">
        <f t="shared" si="35"/>
        <v>0</v>
      </c>
      <c r="BK34" s="239">
        <v>0</v>
      </c>
      <c r="BL34" s="238">
        <f t="shared" si="36"/>
        <v>0</v>
      </c>
      <c r="BM34" s="239">
        <v>0</v>
      </c>
      <c r="BN34" s="238">
        <f t="shared" si="37"/>
        <v>0</v>
      </c>
      <c r="BO34" s="239">
        <v>0</v>
      </c>
      <c r="BP34" s="238">
        <f t="shared" si="38"/>
        <v>0</v>
      </c>
      <c r="BQ34" s="239">
        <v>0</v>
      </c>
      <c r="BR34" s="238">
        <f t="shared" si="39"/>
        <v>0</v>
      </c>
      <c r="BS34" s="225"/>
      <c r="BT34" s="239">
        <f t="shared" si="4"/>
        <v>48402</v>
      </c>
      <c r="BU34" s="238">
        <f t="shared" si="5"/>
        <v>2686311</v>
      </c>
    </row>
    <row r="35" spans="1:73" ht="14.25">
      <c r="A35" s="241">
        <v>1968</v>
      </c>
      <c r="B35" s="240">
        <f t="shared" si="3"/>
        <v>54.5</v>
      </c>
      <c r="C35" s="239">
        <v>0</v>
      </c>
      <c r="D35" s="238">
        <f t="shared" si="6"/>
        <v>0</v>
      </c>
      <c r="E35" s="239">
        <v>0</v>
      </c>
      <c r="F35" s="238">
        <f t="shared" si="7"/>
        <v>0</v>
      </c>
      <c r="G35" s="239">
        <v>0</v>
      </c>
      <c r="H35" s="238">
        <f t="shared" si="8"/>
        <v>0</v>
      </c>
      <c r="I35" s="239">
        <v>0</v>
      </c>
      <c r="J35" s="238">
        <f t="shared" si="9"/>
        <v>0</v>
      </c>
      <c r="K35" s="239">
        <v>0</v>
      </c>
      <c r="L35" s="238">
        <f t="shared" si="10"/>
        <v>0</v>
      </c>
      <c r="M35" s="239">
        <v>0</v>
      </c>
      <c r="N35" s="238">
        <f t="shared" si="11"/>
        <v>0</v>
      </c>
      <c r="O35" s="239">
        <v>0</v>
      </c>
      <c r="P35" s="238">
        <f t="shared" si="12"/>
        <v>0</v>
      </c>
      <c r="Q35" s="239">
        <v>0</v>
      </c>
      <c r="R35" s="238">
        <f t="shared" si="13"/>
        <v>0</v>
      </c>
      <c r="S35" s="239">
        <v>27825.369999999999</v>
      </c>
      <c r="T35" s="238">
        <f t="shared" si="14"/>
        <v>1516482.665</v>
      </c>
      <c r="U35" s="239">
        <v>0</v>
      </c>
      <c r="V35" s="238">
        <f t="shared" si="15"/>
        <v>0</v>
      </c>
      <c r="W35" s="239">
        <v>5829.6700000000001</v>
      </c>
      <c r="X35" s="238">
        <f t="shared" si="16"/>
        <v>317717.01500000001</v>
      </c>
      <c r="Y35" s="239">
        <v>0</v>
      </c>
      <c r="Z35" s="238">
        <f t="shared" si="17"/>
        <v>0</v>
      </c>
      <c r="AA35" s="239">
        <v>0</v>
      </c>
      <c r="AB35" s="238">
        <f t="shared" si="18"/>
        <v>0</v>
      </c>
      <c r="AC35" s="239">
        <v>0</v>
      </c>
      <c r="AD35" s="238">
        <f t="shared" si="19"/>
        <v>0</v>
      </c>
      <c r="AE35" s="239">
        <v>0</v>
      </c>
      <c r="AF35" s="238">
        <f t="shared" si="20"/>
        <v>0</v>
      </c>
      <c r="AG35" s="239">
        <v>0</v>
      </c>
      <c r="AH35" s="238">
        <f t="shared" si="21"/>
        <v>0</v>
      </c>
      <c r="AI35" s="239">
        <v>0</v>
      </c>
      <c r="AJ35" s="238">
        <f t="shared" si="22"/>
        <v>0</v>
      </c>
      <c r="AK35" s="239">
        <v>0</v>
      </c>
      <c r="AL35" s="238">
        <f t="shared" si="23"/>
        <v>0</v>
      </c>
      <c r="AM35" s="239">
        <v>0</v>
      </c>
      <c r="AN35" s="238">
        <f t="shared" si="24"/>
        <v>0</v>
      </c>
      <c r="AO35" s="239">
        <v>0</v>
      </c>
      <c r="AP35" s="238">
        <f t="shared" si="25"/>
        <v>0</v>
      </c>
      <c r="AQ35" s="239">
        <v>0</v>
      </c>
      <c r="AR35" s="238">
        <f t="shared" si="26"/>
        <v>0</v>
      </c>
      <c r="AS35" s="239">
        <v>0</v>
      </c>
      <c r="AT35" s="238">
        <f t="shared" si="27"/>
        <v>0</v>
      </c>
      <c r="AU35" s="239">
        <v>0</v>
      </c>
      <c r="AV35" s="238">
        <f t="shared" si="28"/>
        <v>0</v>
      </c>
      <c r="AW35" s="239">
        <v>0</v>
      </c>
      <c r="AX35" s="238">
        <f t="shared" si="29"/>
        <v>0</v>
      </c>
      <c r="AY35" s="239">
        <v>0</v>
      </c>
      <c r="AZ35" s="238">
        <f t="shared" si="30"/>
        <v>0</v>
      </c>
      <c r="BA35" s="239">
        <v>0</v>
      </c>
      <c r="BB35" s="238">
        <f t="shared" si="31"/>
        <v>0</v>
      </c>
      <c r="BC35" s="239">
        <v>0</v>
      </c>
      <c r="BD35" s="238">
        <f t="shared" si="32"/>
        <v>0</v>
      </c>
      <c r="BE35" s="239">
        <v>0</v>
      </c>
      <c r="BF35" s="238">
        <f t="shared" si="33"/>
        <v>0</v>
      </c>
      <c r="BG35" s="239">
        <v>0</v>
      </c>
      <c r="BH35" s="238">
        <f t="shared" si="34"/>
        <v>0</v>
      </c>
      <c r="BI35" s="239">
        <v>0</v>
      </c>
      <c r="BJ35" s="238">
        <f t="shared" si="35"/>
        <v>0</v>
      </c>
      <c r="BK35" s="239">
        <v>0</v>
      </c>
      <c r="BL35" s="238">
        <f t="shared" si="36"/>
        <v>0</v>
      </c>
      <c r="BM35" s="239">
        <v>0</v>
      </c>
      <c r="BN35" s="238">
        <f t="shared" si="37"/>
        <v>0</v>
      </c>
      <c r="BO35" s="239">
        <v>0</v>
      </c>
      <c r="BP35" s="238">
        <f t="shared" si="38"/>
        <v>0</v>
      </c>
      <c r="BQ35" s="239">
        <v>0</v>
      </c>
      <c r="BR35" s="238">
        <f t="shared" si="39"/>
        <v>0</v>
      </c>
      <c r="BS35" s="225"/>
      <c r="BT35" s="239">
        <f t="shared" si="4"/>
        <v>33655</v>
      </c>
      <c r="BU35" s="238">
        <f t="shared" si="5"/>
        <v>1834197.5</v>
      </c>
    </row>
    <row r="36" spans="1:73" ht="14.25">
      <c r="A36" s="241">
        <v>1969</v>
      </c>
      <c r="B36" s="240">
        <f t="shared" si="3"/>
        <v>53.5</v>
      </c>
      <c r="C36" s="239">
        <v>0</v>
      </c>
      <c r="D36" s="238">
        <f t="shared" si="6"/>
        <v>0</v>
      </c>
      <c r="E36" s="239">
        <v>0</v>
      </c>
      <c r="F36" s="238">
        <f t="shared" si="7"/>
        <v>0</v>
      </c>
      <c r="G36" s="239">
        <v>0</v>
      </c>
      <c r="H36" s="238">
        <f t="shared" si="8"/>
        <v>0</v>
      </c>
      <c r="I36" s="239">
        <v>0</v>
      </c>
      <c r="J36" s="238">
        <f t="shared" si="9"/>
        <v>0</v>
      </c>
      <c r="K36" s="239">
        <v>0</v>
      </c>
      <c r="L36" s="238">
        <f t="shared" si="10"/>
        <v>0</v>
      </c>
      <c r="M36" s="239">
        <v>0</v>
      </c>
      <c r="N36" s="238">
        <f t="shared" si="11"/>
        <v>0</v>
      </c>
      <c r="O36" s="239">
        <v>0</v>
      </c>
      <c r="P36" s="238">
        <f t="shared" si="12"/>
        <v>0</v>
      </c>
      <c r="Q36" s="239">
        <v>0</v>
      </c>
      <c r="R36" s="238">
        <f t="shared" si="13"/>
        <v>0</v>
      </c>
      <c r="S36" s="239">
        <v>2429.4400000000001</v>
      </c>
      <c r="T36" s="238">
        <f t="shared" si="14"/>
        <v>129975.04000000001</v>
      </c>
      <c r="U36" s="239">
        <v>0</v>
      </c>
      <c r="V36" s="238">
        <f t="shared" si="15"/>
        <v>0</v>
      </c>
      <c r="W36" s="239">
        <v>5352.9400000000005</v>
      </c>
      <c r="X36" s="238">
        <f t="shared" si="16"/>
        <v>286382.29000000004</v>
      </c>
      <c r="Y36" s="239">
        <v>0</v>
      </c>
      <c r="Z36" s="238">
        <f t="shared" si="17"/>
        <v>0</v>
      </c>
      <c r="AA36" s="239">
        <v>0</v>
      </c>
      <c r="AB36" s="238">
        <f t="shared" si="18"/>
        <v>0</v>
      </c>
      <c r="AC36" s="239">
        <v>0</v>
      </c>
      <c r="AD36" s="238">
        <f t="shared" si="19"/>
        <v>0</v>
      </c>
      <c r="AE36" s="239">
        <v>0</v>
      </c>
      <c r="AF36" s="238">
        <f t="shared" si="20"/>
        <v>0</v>
      </c>
      <c r="AG36" s="239">
        <v>0</v>
      </c>
      <c r="AH36" s="238">
        <f t="shared" si="21"/>
        <v>0</v>
      </c>
      <c r="AI36" s="239">
        <v>0</v>
      </c>
      <c r="AJ36" s="238">
        <f t="shared" si="22"/>
        <v>0</v>
      </c>
      <c r="AK36" s="239">
        <v>0</v>
      </c>
      <c r="AL36" s="238">
        <f t="shared" si="23"/>
        <v>0</v>
      </c>
      <c r="AM36" s="239">
        <v>0</v>
      </c>
      <c r="AN36" s="238">
        <f t="shared" si="24"/>
        <v>0</v>
      </c>
      <c r="AO36" s="239">
        <v>0</v>
      </c>
      <c r="AP36" s="238">
        <f t="shared" si="25"/>
        <v>0</v>
      </c>
      <c r="AQ36" s="239">
        <v>0</v>
      </c>
      <c r="AR36" s="238">
        <f t="shared" si="26"/>
        <v>0</v>
      </c>
      <c r="AS36" s="239">
        <v>0</v>
      </c>
      <c r="AT36" s="238">
        <f t="shared" si="27"/>
        <v>0</v>
      </c>
      <c r="AU36" s="239">
        <v>0</v>
      </c>
      <c r="AV36" s="238">
        <f t="shared" si="28"/>
        <v>0</v>
      </c>
      <c r="AW36" s="239">
        <v>0</v>
      </c>
      <c r="AX36" s="238">
        <f t="shared" si="29"/>
        <v>0</v>
      </c>
      <c r="AY36" s="239">
        <v>0</v>
      </c>
      <c r="AZ36" s="238">
        <f t="shared" si="30"/>
        <v>0</v>
      </c>
      <c r="BA36" s="239">
        <v>0</v>
      </c>
      <c r="BB36" s="238">
        <f t="shared" si="31"/>
        <v>0</v>
      </c>
      <c r="BC36" s="239">
        <v>0</v>
      </c>
      <c r="BD36" s="238">
        <f t="shared" si="32"/>
        <v>0</v>
      </c>
      <c r="BE36" s="239">
        <v>0</v>
      </c>
      <c r="BF36" s="238">
        <f t="shared" si="33"/>
        <v>0</v>
      </c>
      <c r="BG36" s="239">
        <v>0</v>
      </c>
      <c r="BH36" s="238">
        <f t="shared" si="34"/>
        <v>0</v>
      </c>
      <c r="BI36" s="239">
        <v>0</v>
      </c>
      <c r="BJ36" s="238">
        <f t="shared" si="35"/>
        <v>0</v>
      </c>
      <c r="BK36" s="239">
        <v>0</v>
      </c>
      <c r="BL36" s="238">
        <f t="shared" si="36"/>
        <v>0</v>
      </c>
      <c r="BM36" s="239">
        <v>0</v>
      </c>
      <c r="BN36" s="238">
        <f t="shared" si="37"/>
        <v>0</v>
      </c>
      <c r="BO36" s="239">
        <v>0</v>
      </c>
      <c r="BP36" s="238">
        <f t="shared" si="38"/>
        <v>0</v>
      </c>
      <c r="BQ36" s="239">
        <v>0</v>
      </c>
      <c r="BR36" s="238">
        <f t="shared" si="39"/>
        <v>0</v>
      </c>
      <c r="BS36" s="225"/>
      <c r="BT36" s="239">
        <f t="shared" si="4"/>
        <v>7782</v>
      </c>
      <c r="BU36" s="238">
        <f t="shared" si="5"/>
        <v>416337</v>
      </c>
    </row>
    <row r="37" spans="1:73" ht="14.25">
      <c r="A37" s="241">
        <v>1970</v>
      </c>
      <c r="B37" s="240">
        <f t="shared" si="3"/>
        <v>52.5</v>
      </c>
      <c r="C37" s="239">
        <v>0</v>
      </c>
      <c r="D37" s="238">
        <f t="shared" si="6"/>
        <v>0</v>
      </c>
      <c r="E37" s="239">
        <v>0</v>
      </c>
      <c r="F37" s="238">
        <f t="shared" si="7"/>
        <v>0</v>
      </c>
      <c r="G37" s="239">
        <v>0</v>
      </c>
      <c r="H37" s="238">
        <f t="shared" si="8"/>
        <v>0</v>
      </c>
      <c r="I37" s="239">
        <v>0</v>
      </c>
      <c r="J37" s="238">
        <f t="shared" si="9"/>
        <v>0</v>
      </c>
      <c r="K37" s="239">
        <v>0</v>
      </c>
      <c r="L37" s="238">
        <f t="shared" si="10"/>
        <v>0</v>
      </c>
      <c r="M37" s="239">
        <v>0</v>
      </c>
      <c r="N37" s="238">
        <f t="shared" si="11"/>
        <v>0</v>
      </c>
      <c r="O37" s="239">
        <v>0</v>
      </c>
      <c r="P37" s="238">
        <f t="shared" si="12"/>
        <v>0</v>
      </c>
      <c r="Q37" s="239">
        <v>0</v>
      </c>
      <c r="R37" s="238">
        <f t="shared" si="13"/>
        <v>0</v>
      </c>
      <c r="S37" s="239">
        <v>1052.1300000000001</v>
      </c>
      <c r="T37" s="238">
        <f t="shared" si="14"/>
        <v>55236.825000000004</v>
      </c>
      <c r="U37" s="239">
        <v>0</v>
      </c>
      <c r="V37" s="238">
        <f t="shared" si="15"/>
        <v>0</v>
      </c>
      <c r="W37" s="239">
        <v>0</v>
      </c>
      <c r="X37" s="238">
        <f t="shared" si="16"/>
        <v>0</v>
      </c>
      <c r="Y37" s="239">
        <v>0</v>
      </c>
      <c r="Z37" s="238">
        <f t="shared" si="17"/>
        <v>0</v>
      </c>
      <c r="AA37" s="239">
        <v>0</v>
      </c>
      <c r="AB37" s="238">
        <f t="shared" si="18"/>
        <v>0</v>
      </c>
      <c r="AC37" s="239">
        <v>0</v>
      </c>
      <c r="AD37" s="238">
        <f t="shared" si="19"/>
        <v>0</v>
      </c>
      <c r="AE37" s="239">
        <v>0</v>
      </c>
      <c r="AF37" s="238">
        <f t="shared" si="20"/>
        <v>0</v>
      </c>
      <c r="AG37" s="239">
        <v>0</v>
      </c>
      <c r="AH37" s="238">
        <f t="shared" si="21"/>
        <v>0</v>
      </c>
      <c r="AI37" s="239">
        <v>0</v>
      </c>
      <c r="AJ37" s="238">
        <f t="shared" si="22"/>
        <v>0</v>
      </c>
      <c r="AK37" s="239">
        <v>0</v>
      </c>
      <c r="AL37" s="238">
        <f t="shared" si="23"/>
        <v>0</v>
      </c>
      <c r="AM37" s="239">
        <v>0</v>
      </c>
      <c r="AN37" s="238">
        <f t="shared" si="24"/>
        <v>0</v>
      </c>
      <c r="AO37" s="239">
        <v>0</v>
      </c>
      <c r="AP37" s="238">
        <f t="shared" si="25"/>
        <v>0</v>
      </c>
      <c r="AQ37" s="239">
        <v>0</v>
      </c>
      <c r="AR37" s="238">
        <f t="shared" si="26"/>
        <v>0</v>
      </c>
      <c r="AS37" s="239">
        <v>0</v>
      </c>
      <c r="AT37" s="238">
        <f t="shared" si="27"/>
        <v>0</v>
      </c>
      <c r="AU37" s="239">
        <v>0</v>
      </c>
      <c r="AV37" s="238">
        <f t="shared" si="28"/>
        <v>0</v>
      </c>
      <c r="AW37" s="239">
        <v>0</v>
      </c>
      <c r="AX37" s="238">
        <f t="shared" si="29"/>
        <v>0</v>
      </c>
      <c r="AY37" s="239">
        <v>0</v>
      </c>
      <c r="AZ37" s="238">
        <f t="shared" si="30"/>
        <v>0</v>
      </c>
      <c r="BA37" s="239">
        <v>0</v>
      </c>
      <c r="BB37" s="238">
        <f t="shared" si="31"/>
        <v>0</v>
      </c>
      <c r="BC37" s="239">
        <v>0</v>
      </c>
      <c r="BD37" s="238">
        <f t="shared" si="32"/>
        <v>0</v>
      </c>
      <c r="BE37" s="239">
        <v>0</v>
      </c>
      <c r="BF37" s="238">
        <f t="shared" si="33"/>
        <v>0</v>
      </c>
      <c r="BG37" s="239">
        <v>0</v>
      </c>
      <c r="BH37" s="238">
        <f t="shared" si="34"/>
        <v>0</v>
      </c>
      <c r="BI37" s="239">
        <v>0</v>
      </c>
      <c r="BJ37" s="238">
        <f t="shared" si="35"/>
        <v>0</v>
      </c>
      <c r="BK37" s="239">
        <v>0</v>
      </c>
      <c r="BL37" s="238">
        <f t="shared" si="36"/>
        <v>0</v>
      </c>
      <c r="BM37" s="239">
        <v>0</v>
      </c>
      <c r="BN37" s="238">
        <f t="shared" si="37"/>
        <v>0</v>
      </c>
      <c r="BO37" s="239">
        <v>0</v>
      </c>
      <c r="BP37" s="238">
        <f t="shared" si="38"/>
        <v>0</v>
      </c>
      <c r="BQ37" s="239">
        <v>0</v>
      </c>
      <c r="BR37" s="238">
        <f t="shared" si="39"/>
        <v>0</v>
      </c>
      <c r="BS37" s="225"/>
      <c r="BT37" s="239">
        <f t="shared" si="4"/>
        <v>1052</v>
      </c>
      <c r="BU37" s="238">
        <f t="shared" si="5"/>
        <v>55230</v>
      </c>
    </row>
    <row r="38" spans="1:73" ht="14.25">
      <c r="A38" s="241">
        <v>1971</v>
      </c>
      <c r="B38" s="240">
        <f t="shared" si="3"/>
        <v>51.5</v>
      </c>
      <c r="C38" s="239">
        <v>0</v>
      </c>
      <c r="D38" s="238">
        <f t="shared" si="6"/>
        <v>0</v>
      </c>
      <c r="E38" s="239">
        <v>0</v>
      </c>
      <c r="F38" s="238">
        <f t="shared" si="7"/>
        <v>0</v>
      </c>
      <c r="G38" s="239">
        <v>0</v>
      </c>
      <c r="H38" s="238">
        <f t="shared" si="8"/>
        <v>0</v>
      </c>
      <c r="I38" s="239">
        <v>0</v>
      </c>
      <c r="J38" s="238">
        <f t="shared" si="9"/>
        <v>0</v>
      </c>
      <c r="K38" s="239">
        <v>0</v>
      </c>
      <c r="L38" s="238">
        <f t="shared" si="10"/>
        <v>0</v>
      </c>
      <c r="M38" s="239">
        <v>0</v>
      </c>
      <c r="N38" s="238">
        <f t="shared" si="11"/>
        <v>0</v>
      </c>
      <c r="O38" s="239">
        <v>0</v>
      </c>
      <c r="P38" s="238">
        <f t="shared" si="12"/>
        <v>0</v>
      </c>
      <c r="Q38" s="239">
        <v>0</v>
      </c>
      <c r="R38" s="238">
        <f t="shared" si="13"/>
        <v>0</v>
      </c>
      <c r="S38" s="239">
        <v>6972.6000000000004</v>
      </c>
      <c r="T38" s="238">
        <f t="shared" si="14"/>
        <v>359088.90000000002</v>
      </c>
      <c r="U38" s="239">
        <v>0</v>
      </c>
      <c r="V38" s="238">
        <f t="shared" si="15"/>
        <v>0</v>
      </c>
      <c r="W38" s="239">
        <v>0</v>
      </c>
      <c r="X38" s="238">
        <f t="shared" si="16"/>
        <v>0</v>
      </c>
      <c r="Y38" s="239">
        <v>0</v>
      </c>
      <c r="Z38" s="238">
        <f t="shared" si="17"/>
        <v>0</v>
      </c>
      <c r="AA38" s="239">
        <v>0</v>
      </c>
      <c r="AB38" s="238">
        <f t="shared" si="18"/>
        <v>0</v>
      </c>
      <c r="AC38" s="239">
        <v>0</v>
      </c>
      <c r="AD38" s="238">
        <f t="shared" si="19"/>
        <v>0</v>
      </c>
      <c r="AE38" s="239">
        <v>0</v>
      </c>
      <c r="AF38" s="238">
        <f t="shared" si="20"/>
        <v>0</v>
      </c>
      <c r="AG38" s="239">
        <v>0</v>
      </c>
      <c r="AH38" s="238">
        <f t="shared" si="21"/>
        <v>0</v>
      </c>
      <c r="AI38" s="239">
        <v>0</v>
      </c>
      <c r="AJ38" s="238">
        <f t="shared" si="22"/>
        <v>0</v>
      </c>
      <c r="AK38" s="239">
        <v>0</v>
      </c>
      <c r="AL38" s="238">
        <f t="shared" si="23"/>
        <v>0</v>
      </c>
      <c r="AM38" s="239">
        <v>0</v>
      </c>
      <c r="AN38" s="238">
        <f t="shared" si="24"/>
        <v>0</v>
      </c>
      <c r="AO38" s="239">
        <v>0</v>
      </c>
      <c r="AP38" s="238">
        <f t="shared" si="25"/>
        <v>0</v>
      </c>
      <c r="AQ38" s="239">
        <v>0</v>
      </c>
      <c r="AR38" s="238">
        <f t="shared" si="26"/>
        <v>0</v>
      </c>
      <c r="AS38" s="239">
        <v>0</v>
      </c>
      <c r="AT38" s="238">
        <f t="shared" si="27"/>
        <v>0</v>
      </c>
      <c r="AU38" s="239">
        <v>0</v>
      </c>
      <c r="AV38" s="238">
        <f t="shared" si="28"/>
        <v>0</v>
      </c>
      <c r="AW38" s="239">
        <v>0</v>
      </c>
      <c r="AX38" s="238">
        <f t="shared" si="29"/>
        <v>0</v>
      </c>
      <c r="AY38" s="239">
        <v>0</v>
      </c>
      <c r="AZ38" s="238">
        <f t="shared" si="30"/>
        <v>0</v>
      </c>
      <c r="BA38" s="239">
        <v>0</v>
      </c>
      <c r="BB38" s="238">
        <f t="shared" si="31"/>
        <v>0</v>
      </c>
      <c r="BC38" s="239">
        <v>0</v>
      </c>
      <c r="BD38" s="238">
        <f t="shared" si="32"/>
        <v>0</v>
      </c>
      <c r="BE38" s="239">
        <v>0</v>
      </c>
      <c r="BF38" s="238">
        <f t="shared" si="33"/>
        <v>0</v>
      </c>
      <c r="BG38" s="239">
        <v>0</v>
      </c>
      <c r="BH38" s="238">
        <f t="shared" si="34"/>
        <v>0</v>
      </c>
      <c r="BI38" s="239">
        <v>0</v>
      </c>
      <c r="BJ38" s="238">
        <f t="shared" si="35"/>
        <v>0</v>
      </c>
      <c r="BK38" s="239">
        <v>0</v>
      </c>
      <c r="BL38" s="238">
        <f t="shared" si="36"/>
        <v>0</v>
      </c>
      <c r="BM38" s="239">
        <v>0</v>
      </c>
      <c r="BN38" s="238">
        <f t="shared" si="37"/>
        <v>0</v>
      </c>
      <c r="BO38" s="239">
        <v>0</v>
      </c>
      <c r="BP38" s="238">
        <f t="shared" si="38"/>
        <v>0</v>
      </c>
      <c r="BQ38" s="239">
        <v>0</v>
      </c>
      <c r="BR38" s="238">
        <f t="shared" si="39"/>
        <v>0</v>
      </c>
      <c r="BS38" s="225"/>
      <c r="BT38" s="239">
        <f t="shared" si="4"/>
        <v>6973</v>
      </c>
      <c r="BU38" s="238">
        <f t="shared" si="5"/>
        <v>359109.5</v>
      </c>
    </row>
    <row r="39" spans="1:73" ht="14.25">
      <c r="A39" s="241">
        <v>1972</v>
      </c>
      <c r="B39" s="240">
        <f t="shared" si="3"/>
        <v>50.5</v>
      </c>
      <c r="C39" s="239">
        <v>0</v>
      </c>
      <c r="D39" s="238">
        <f t="shared" si="6"/>
        <v>0</v>
      </c>
      <c r="E39" s="239">
        <v>0</v>
      </c>
      <c r="F39" s="238">
        <f t="shared" si="7"/>
        <v>0</v>
      </c>
      <c r="G39" s="239">
        <v>0</v>
      </c>
      <c r="H39" s="238">
        <f t="shared" si="8"/>
        <v>0</v>
      </c>
      <c r="I39" s="239">
        <v>0</v>
      </c>
      <c r="J39" s="238">
        <f t="shared" si="9"/>
        <v>0</v>
      </c>
      <c r="K39" s="239">
        <v>0</v>
      </c>
      <c r="L39" s="238">
        <f t="shared" si="10"/>
        <v>0</v>
      </c>
      <c r="M39" s="239">
        <v>0</v>
      </c>
      <c r="N39" s="238">
        <f t="shared" si="11"/>
        <v>0</v>
      </c>
      <c r="O39" s="239">
        <v>0</v>
      </c>
      <c r="P39" s="238">
        <f t="shared" si="12"/>
        <v>0</v>
      </c>
      <c r="Q39" s="239">
        <v>0</v>
      </c>
      <c r="R39" s="238">
        <f t="shared" si="13"/>
        <v>0</v>
      </c>
      <c r="S39" s="239">
        <v>9038.4000000000015</v>
      </c>
      <c r="T39" s="238">
        <f t="shared" si="14"/>
        <v>456439.20000000007</v>
      </c>
      <c r="U39" s="239">
        <v>0</v>
      </c>
      <c r="V39" s="238">
        <f t="shared" si="15"/>
        <v>0</v>
      </c>
      <c r="W39" s="239">
        <v>4078.2399999999998</v>
      </c>
      <c r="X39" s="238">
        <f t="shared" si="16"/>
        <v>205951.12</v>
      </c>
      <c r="Y39" s="239">
        <v>0</v>
      </c>
      <c r="Z39" s="238">
        <f t="shared" si="17"/>
        <v>0</v>
      </c>
      <c r="AA39" s="239">
        <v>0</v>
      </c>
      <c r="AB39" s="238">
        <f t="shared" si="18"/>
        <v>0</v>
      </c>
      <c r="AC39" s="239">
        <v>0</v>
      </c>
      <c r="AD39" s="238">
        <f t="shared" si="19"/>
        <v>0</v>
      </c>
      <c r="AE39" s="239">
        <v>0</v>
      </c>
      <c r="AF39" s="238">
        <f t="shared" si="20"/>
        <v>0</v>
      </c>
      <c r="AG39" s="239">
        <v>0</v>
      </c>
      <c r="AH39" s="238">
        <f t="shared" si="21"/>
        <v>0</v>
      </c>
      <c r="AI39" s="239">
        <v>0</v>
      </c>
      <c r="AJ39" s="238">
        <f t="shared" si="22"/>
        <v>0</v>
      </c>
      <c r="AK39" s="239">
        <v>0</v>
      </c>
      <c r="AL39" s="238">
        <f t="shared" si="23"/>
        <v>0</v>
      </c>
      <c r="AM39" s="239">
        <v>0</v>
      </c>
      <c r="AN39" s="238">
        <f t="shared" si="24"/>
        <v>0</v>
      </c>
      <c r="AO39" s="239">
        <v>0</v>
      </c>
      <c r="AP39" s="238">
        <f t="shared" si="25"/>
        <v>0</v>
      </c>
      <c r="AQ39" s="239">
        <v>0</v>
      </c>
      <c r="AR39" s="238">
        <f t="shared" si="26"/>
        <v>0</v>
      </c>
      <c r="AS39" s="239">
        <v>0</v>
      </c>
      <c r="AT39" s="238">
        <f t="shared" si="27"/>
        <v>0</v>
      </c>
      <c r="AU39" s="239">
        <v>0</v>
      </c>
      <c r="AV39" s="238">
        <f t="shared" si="28"/>
        <v>0</v>
      </c>
      <c r="AW39" s="239">
        <v>0</v>
      </c>
      <c r="AX39" s="238">
        <f t="shared" si="29"/>
        <v>0</v>
      </c>
      <c r="AY39" s="239">
        <v>0</v>
      </c>
      <c r="AZ39" s="238">
        <f t="shared" si="30"/>
        <v>0</v>
      </c>
      <c r="BA39" s="239">
        <v>0</v>
      </c>
      <c r="BB39" s="238">
        <f t="shared" si="31"/>
        <v>0</v>
      </c>
      <c r="BC39" s="239">
        <v>0</v>
      </c>
      <c r="BD39" s="238">
        <f t="shared" si="32"/>
        <v>0</v>
      </c>
      <c r="BE39" s="239">
        <v>0</v>
      </c>
      <c r="BF39" s="238">
        <f t="shared" si="33"/>
        <v>0</v>
      </c>
      <c r="BG39" s="239">
        <v>0</v>
      </c>
      <c r="BH39" s="238">
        <f t="shared" si="34"/>
        <v>0</v>
      </c>
      <c r="BI39" s="239">
        <v>0</v>
      </c>
      <c r="BJ39" s="238">
        <f t="shared" si="35"/>
        <v>0</v>
      </c>
      <c r="BK39" s="239">
        <v>0</v>
      </c>
      <c r="BL39" s="238">
        <f t="shared" si="36"/>
        <v>0</v>
      </c>
      <c r="BM39" s="239">
        <v>0</v>
      </c>
      <c r="BN39" s="238">
        <f t="shared" si="37"/>
        <v>0</v>
      </c>
      <c r="BO39" s="239">
        <v>0</v>
      </c>
      <c r="BP39" s="238">
        <f t="shared" si="38"/>
        <v>0</v>
      </c>
      <c r="BQ39" s="239">
        <v>0</v>
      </c>
      <c r="BR39" s="238">
        <f t="shared" si="39"/>
        <v>0</v>
      </c>
      <c r="BS39" s="225"/>
      <c r="BT39" s="239">
        <f t="shared" si="4"/>
        <v>13117</v>
      </c>
      <c r="BU39" s="238">
        <f t="shared" si="5"/>
        <v>662408.5</v>
      </c>
    </row>
    <row r="40" spans="1:73" ht="14.25">
      <c r="A40" s="241">
        <v>1973</v>
      </c>
      <c r="B40" s="240">
        <f t="shared" si="3"/>
        <v>49.5</v>
      </c>
      <c r="C40" s="239">
        <v>0</v>
      </c>
      <c r="D40" s="238">
        <f t="shared" si="6"/>
        <v>0</v>
      </c>
      <c r="E40" s="239">
        <v>0</v>
      </c>
      <c r="F40" s="238">
        <f t="shared" si="7"/>
        <v>0</v>
      </c>
      <c r="G40" s="239">
        <v>0</v>
      </c>
      <c r="H40" s="238">
        <f t="shared" si="8"/>
        <v>0</v>
      </c>
      <c r="I40" s="239">
        <v>0</v>
      </c>
      <c r="J40" s="238">
        <f t="shared" si="9"/>
        <v>0</v>
      </c>
      <c r="K40" s="239">
        <v>0</v>
      </c>
      <c r="L40" s="238">
        <f t="shared" si="10"/>
        <v>0</v>
      </c>
      <c r="M40" s="239">
        <v>0</v>
      </c>
      <c r="N40" s="238">
        <f t="shared" si="11"/>
        <v>0</v>
      </c>
      <c r="O40" s="239">
        <v>0</v>
      </c>
      <c r="P40" s="238">
        <f t="shared" si="12"/>
        <v>0</v>
      </c>
      <c r="Q40" s="239">
        <v>0</v>
      </c>
      <c r="R40" s="238">
        <f t="shared" si="13"/>
        <v>0</v>
      </c>
      <c r="S40" s="239">
        <v>14924.410000000002</v>
      </c>
      <c r="T40" s="238">
        <f t="shared" si="14"/>
        <v>738758.29500000004</v>
      </c>
      <c r="U40" s="239">
        <v>0</v>
      </c>
      <c r="V40" s="238">
        <f t="shared" si="15"/>
        <v>0</v>
      </c>
      <c r="W40" s="239">
        <v>12040.52</v>
      </c>
      <c r="X40" s="238">
        <f t="shared" si="16"/>
        <v>596005.73999999999</v>
      </c>
      <c r="Y40" s="239">
        <v>0</v>
      </c>
      <c r="Z40" s="238">
        <f t="shared" si="17"/>
        <v>0</v>
      </c>
      <c r="AA40" s="239">
        <v>0</v>
      </c>
      <c r="AB40" s="238">
        <f t="shared" si="18"/>
        <v>0</v>
      </c>
      <c r="AC40" s="239">
        <v>0</v>
      </c>
      <c r="AD40" s="238">
        <f t="shared" si="19"/>
        <v>0</v>
      </c>
      <c r="AE40" s="239">
        <v>0</v>
      </c>
      <c r="AF40" s="238">
        <f t="shared" si="20"/>
        <v>0</v>
      </c>
      <c r="AG40" s="239">
        <v>0</v>
      </c>
      <c r="AH40" s="238">
        <f t="shared" si="21"/>
        <v>0</v>
      </c>
      <c r="AI40" s="239">
        <v>0</v>
      </c>
      <c r="AJ40" s="238">
        <f t="shared" si="22"/>
        <v>0</v>
      </c>
      <c r="AK40" s="239">
        <v>0</v>
      </c>
      <c r="AL40" s="238">
        <f t="shared" si="23"/>
        <v>0</v>
      </c>
      <c r="AM40" s="239">
        <v>0</v>
      </c>
      <c r="AN40" s="238">
        <f t="shared" si="24"/>
        <v>0</v>
      </c>
      <c r="AO40" s="239">
        <v>0</v>
      </c>
      <c r="AP40" s="238">
        <f t="shared" si="25"/>
        <v>0</v>
      </c>
      <c r="AQ40" s="239">
        <v>0</v>
      </c>
      <c r="AR40" s="238">
        <f t="shared" si="26"/>
        <v>0</v>
      </c>
      <c r="AS40" s="239">
        <v>0</v>
      </c>
      <c r="AT40" s="238">
        <f t="shared" si="27"/>
        <v>0</v>
      </c>
      <c r="AU40" s="239">
        <v>0</v>
      </c>
      <c r="AV40" s="238">
        <f t="shared" si="28"/>
        <v>0</v>
      </c>
      <c r="AW40" s="239">
        <v>0</v>
      </c>
      <c r="AX40" s="238">
        <f t="shared" si="29"/>
        <v>0</v>
      </c>
      <c r="AY40" s="239">
        <v>0</v>
      </c>
      <c r="AZ40" s="238">
        <f t="shared" si="30"/>
        <v>0</v>
      </c>
      <c r="BA40" s="239">
        <v>0</v>
      </c>
      <c r="BB40" s="238">
        <f t="shared" si="31"/>
        <v>0</v>
      </c>
      <c r="BC40" s="239">
        <v>0</v>
      </c>
      <c r="BD40" s="238">
        <f t="shared" si="32"/>
        <v>0</v>
      </c>
      <c r="BE40" s="239">
        <v>0</v>
      </c>
      <c r="BF40" s="238">
        <f t="shared" si="33"/>
        <v>0</v>
      </c>
      <c r="BG40" s="239">
        <v>0</v>
      </c>
      <c r="BH40" s="238">
        <f t="shared" si="34"/>
        <v>0</v>
      </c>
      <c r="BI40" s="239">
        <v>0</v>
      </c>
      <c r="BJ40" s="238">
        <f t="shared" si="35"/>
        <v>0</v>
      </c>
      <c r="BK40" s="239">
        <v>0</v>
      </c>
      <c r="BL40" s="238">
        <f t="shared" si="36"/>
        <v>0</v>
      </c>
      <c r="BM40" s="239">
        <v>0</v>
      </c>
      <c r="BN40" s="238">
        <f t="shared" si="37"/>
        <v>0</v>
      </c>
      <c r="BO40" s="239">
        <v>0</v>
      </c>
      <c r="BP40" s="238">
        <f t="shared" si="38"/>
        <v>0</v>
      </c>
      <c r="BQ40" s="239">
        <v>0</v>
      </c>
      <c r="BR40" s="238">
        <f t="shared" si="39"/>
        <v>0</v>
      </c>
      <c r="BS40" s="225"/>
      <c r="BT40" s="239">
        <f t="shared" si="4"/>
        <v>26965</v>
      </c>
      <c r="BU40" s="238">
        <f t="shared" si="5"/>
        <v>1334767.5</v>
      </c>
    </row>
    <row r="41" spans="1:73" ht="14.25">
      <c r="A41" s="241">
        <v>1974</v>
      </c>
      <c r="B41" s="240">
        <f t="shared" si="3"/>
        <v>48.5</v>
      </c>
      <c r="C41" s="239">
        <v>0</v>
      </c>
      <c r="D41" s="238">
        <f t="shared" si="6"/>
        <v>0</v>
      </c>
      <c r="E41" s="239">
        <v>0</v>
      </c>
      <c r="F41" s="238">
        <f t="shared" si="7"/>
        <v>0</v>
      </c>
      <c r="G41" s="239">
        <v>0</v>
      </c>
      <c r="H41" s="238">
        <f t="shared" si="8"/>
        <v>0</v>
      </c>
      <c r="I41" s="239">
        <v>0</v>
      </c>
      <c r="J41" s="238">
        <f t="shared" si="9"/>
        <v>0</v>
      </c>
      <c r="K41" s="239">
        <v>0</v>
      </c>
      <c r="L41" s="238">
        <f t="shared" si="10"/>
        <v>0</v>
      </c>
      <c r="M41" s="239">
        <v>0</v>
      </c>
      <c r="N41" s="238">
        <f t="shared" si="11"/>
        <v>0</v>
      </c>
      <c r="O41" s="239">
        <v>0</v>
      </c>
      <c r="P41" s="238">
        <f t="shared" si="12"/>
        <v>0</v>
      </c>
      <c r="Q41" s="239">
        <v>0</v>
      </c>
      <c r="R41" s="238">
        <f t="shared" si="13"/>
        <v>0</v>
      </c>
      <c r="S41" s="239">
        <v>28635.75</v>
      </c>
      <c r="T41" s="238">
        <f t="shared" si="14"/>
        <v>1388833.875</v>
      </c>
      <c r="U41" s="239">
        <v>0</v>
      </c>
      <c r="V41" s="238">
        <f t="shared" si="15"/>
        <v>0</v>
      </c>
      <c r="W41" s="239">
        <v>19543.380000000005</v>
      </c>
      <c r="X41" s="238">
        <f t="shared" si="16"/>
        <v>947853.93000000017</v>
      </c>
      <c r="Y41" s="239">
        <v>0</v>
      </c>
      <c r="Z41" s="238">
        <f t="shared" si="17"/>
        <v>0</v>
      </c>
      <c r="AA41" s="239">
        <v>0</v>
      </c>
      <c r="AB41" s="238">
        <f t="shared" si="18"/>
        <v>0</v>
      </c>
      <c r="AC41" s="239">
        <v>0</v>
      </c>
      <c r="AD41" s="238">
        <f t="shared" si="19"/>
        <v>0</v>
      </c>
      <c r="AE41" s="239">
        <v>0</v>
      </c>
      <c r="AF41" s="238">
        <f t="shared" si="20"/>
        <v>0</v>
      </c>
      <c r="AG41" s="239">
        <v>0</v>
      </c>
      <c r="AH41" s="238">
        <f t="shared" si="21"/>
        <v>0</v>
      </c>
      <c r="AI41" s="239">
        <v>0</v>
      </c>
      <c r="AJ41" s="238">
        <f t="shared" si="22"/>
        <v>0</v>
      </c>
      <c r="AK41" s="239">
        <v>0</v>
      </c>
      <c r="AL41" s="238">
        <f t="shared" si="23"/>
        <v>0</v>
      </c>
      <c r="AM41" s="239">
        <v>0</v>
      </c>
      <c r="AN41" s="238">
        <f t="shared" si="24"/>
        <v>0</v>
      </c>
      <c r="AO41" s="239">
        <v>0</v>
      </c>
      <c r="AP41" s="238">
        <f t="shared" si="25"/>
        <v>0</v>
      </c>
      <c r="AQ41" s="239">
        <v>0</v>
      </c>
      <c r="AR41" s="238">
        <f t="shared" si="26"/>
        <v>0</v>
      </c>
      <c r="AS41" s="239">
        <v>0</v>
      </c>
      <c r="AT41" s="238">
        <f t="shared" si="27"/>
        <v>0</v>
      </c>
      <c r="AU41" s="239">
        <v>0</v>
      </c>
      <c r="AV41" s="238">
        <f t="shared" si="28"/>
        <v>0</v>
      </c>
      <c r="AW41" s="239">
        <v>0</v>
      </c>
      <c r="AX41" s="238">
        <f t="shared" si="29"/>
        <v>0</v>
      </c>
      <c r="AY41" s="239">
        <v>0</v>
      </c>
      <c r="AZ41" s="238">
        <f t="shared" si="30"/>
        <v>0</v>
      </c>
      <c r="BA41" s="239">
        <v>0</v>
      </c>
      <c r="BB41" s="238">
        <f t="shared" si="31"/>
        <v>0</v>
      </c>
      <c r="BC41" s="239">
        <v>0</v>
      </c>
      <c r="BD41" s="238">
        <f t="shared" si="32"/>
        <v>0</v>
      </c>
      <c r="BE41" s="239">
        <v>0</v>
      </c>
      <c r="BF41" s="238">
        <f t="shared" si="33"/>
        <v>0</v>
      </c>
      <c r="BG41" s="239">
        <v>0</v>
      </c>
      <c r="BH41" s="238">
        <f t="shared" si="34"/>
        <v>0</v>
      </c>
      <c r="BI41" s="239">
        <v>0</v>
      </c>
      <c r="BJ41" s="238">
        <f t="shared" si="35"/>
        <v>0</v>
      </c>
      <c r="BK41" s="239">
        <v>0</v>
      </c>
      <c r="BL41" s="238">
        <f t="shared" si="36"/>
        <v>0</v>
      </c>
      <c r="BM41" s="239">
        <v>0</v>
      </c>
      <c r="BN41" s="238">
        <f t="shared" si="37"/>
        <v>0</v>
      </c>
      <c r="BO41" s="239">
        <v>0</v>
      </c>
      <c r="BP41" s="238">
        <f t="shared" si="38"/>
        <v>0</v>
      </c>
      <c r="BQ41" s="239">
        <v>0</v>
      </c>
      <c r="BR41" s="238">
        <f t="shared" si="39"/>
        <v>0</v>
      </c>
      <c r="BS41" s="225"/>
      <c r="BT41" s="239">
        <f t="shared" si="4"/>
        <v>48179</v>
      </c>
      <c r="BU41" s="238">
        <f t="shared" si="5"/>
        <v>2336681.5</v>
      </c>
    </row>
    <row r="42" spans="1:73" ht="14.25">
      <c r="A42" s="241">
        <v>1975</v>
      </c>
      <c r="B42" s="240">
        <f t="shared" si="3"/>
        <v>47.5</v>
      </c>
      <c r="C42" s="239">
        <v>0</v>
      </c>
      <c r="D42" s="238">
        <f t="shared" si="6"/>
        <v>0</v>
      </c>
      <c r="E42" s="239">
        <v>0</v>
      </c>
      <c r="F42" s="238">
        <f t="shared" si="7"/>
        <v>0</v>
      </c>
      <c r="G42" s="239">
        <v>0</v>
      </c>
      <c r="H42" s="238">
        <f t="shared" si="8"/>
        <v>0</v>
      </c>
      <c r="I42" s="239">
        <v>0</v>
      </c>
      <c r="J42" s="238">
        <f t="shared" si="9"/>
        <v>0</v>
      </c>
      <c r="K42" s="239">
        <v>0</v>
      </c>
      <c r="L42" s="238">
        <f t="shared" si="10"/>
        <v>0</v>
      </c>
      <c r="M42" s="239">
        <v>0</v>
      </c>
      <c r="N42" s="238">
        <f t="shared" si="11"/>
        <v>0</v>
      </c>
      <c r="O42" s="239">
        <v>0</v>
      </c>
      <c r="P42" s="238">
        <f t="shared" si="12"/>
        <v>0</v>
      </c>
      <c r="Q42" s="239">
        <v>0</v>
      </c>
      <c r="R42" s="238">
        <f t="shared" si="13"/>
        <v>0</v>
      </c>
      <c r="S42" s="239">
        <v>28172.27</v>
      </c>
      <c r="T42" s="238">
        <f t="shared" si="14"/>
        <v>1338182.825</v>
      </c>
      <c r="U42" s="239">
        <v>0</v>
      </c>
      <c r="V42" s="238">
        <f t="shared" si="15"/>
        <v>0</v>
      </c>
      <c r="W42" s="239">
        <v>9977.9400000000023</v>
      </c>
      <c r="X42" s="238">
        <f t="shared" si="16"/>
        <v>473952.15000000014</v>
      </c>
      <c r="Y42" s="239">
        <v>0</v>
      </c>
      <c r="Z42" s="238">
        <f t="shared" si="17"/>
        <v>0</v>
      </c>
      <c r="AA42" s="239">
        <v>0</v>
      </c>
      <c r="AB42" s="238">
        <f t="shared" si="18"/>
        <v>0</v>
      </c>
      <c r="AC42" s="239">
        <v>0</v>
      </c>
      <c r="AD42" s="238">
        <f t="shared" si="19"/>
        <v>0</v>
      </c>
      <c r="AE42" s="239">
        <v>0</v>
      </c>
      <c r="AF42" s="238">
        <f t="shared" si="20"/>
        <v>0</v>
      </c>
      <c r="AG42" s="239">
        <v>0</v>
      </c>
      <c r="AH42" s="238">
        <f t="shared" si="21"/>
        <v>0</v>
      </c>
      <c r="AI42" s="239">
        <v>0</v>
      </c>
      <c r="AJ42" s="238">
        <f t="shared" si="22"/>
        <v>0</v>
      </c>
      <c r="AK42" s="239">
        <v>0</v>
      </c>
      <c r="AL42" s="238">
        <f t="shared" si="23"/>
        <v>0</v>
      </c>
      <c r="AM42" s="239">
        <v>0</v>
      </c>
      <c r="AN42" s="238">
        <f t="shared" si="24"/>
        <v>0</v>
      </c>
      <c r="AO42" s="239">
        <v>0</v>
      </c>
      <c r="AP42" s="238">
        <f t="shared" si="25"/>
        <v>0</v>
      </c>
      <c r="AQ42" s="239">
        <v>0</v>
      </c>
      <c r="AR42" s="238">
        <f t="shared" si="26"/>
        <v>0</v>
      </c>
      <c r="AS42" s="239">
        <v>0</v>
      </c>
      <c r="AT42" s="238">
        <f t="shared" si="27"/>
        <v>0</v>
      </c>
      <c r="AU42" s="239">
        <v>0</v>
      </c>
      <c r="AV42" s="238">
        <f t="shared" si="28"/>
        <v>0</v>
      </c>
      <c r="AW42" s="239">
        <v>0</v>
      </c>
      <c r="AX42" s="238">
        <f t="shared" si="29"/>
        <v>0</v>
      </c>
      <c r="AY42" s="239">
        <v>0</v>
      </c>
      <c r="AZ42" s="238">
        <f t="shared" si="30"/>
        <v>0</v>
      </c>
      <c r="BA42" s="239">
        <v>0</v>
      </c>
      <c r="BB42" s="238">
        <f t="shared" si="31"/>
        <v>0</v>
      </c>
      <c r="BC42" s="239">
        <v>0</v>
      </c>
      <c r="BD42" s="238">
        <f t="shared" si="32"/>
        <v>0</v>
      </c>
      <c r="BE42" s="239">
        <v>0</v>
      </c>
      <c r="BF42" s="238">
        <f t="shared" si="33"/>
        <v>0</v>
      </c>
      <c r="BG42" s="239">
        <v>0</v>
      </c>
      <c r="BH42" s="238">
        <f t="shared" si="34"/>
        <v>0</v>
      </c>
      <c r="BI42" s="239">
        <v>0</v>
      </c>
      <c r="BJ42" s="238">
        <f t="shared" si="35"/>
        <v>0</v>
      </c>
      <c r="BK42" s="239">
        <v>0</v>
      </c>
      <c r="BL42" s="238">
        <f t="shared" si="36"/>
        <v>0</v>
      </c>
      <c r="BM42" s="239">
        <v>0</v>
      </c>
      <c r="BN42" s="238">
        <f t="shared" si="37"/>
        <v>0</v>
      </c>
      <c r="BO42" s="239">
        <v>0</v>
      </c>
      <c r="BP42" s="238">
        <f t="shared" si="38"/>
        <v>0</v>
      </c>
      <c r="BQ42" s="239">
        <v>0</v>
      </c>
      <c r="BR42" s="238">
        <f t="shared" si="39"/>
        <v>0</v>
      </c>
      <c r="BS42" s="225"/>
      <c r="BT42" s="239">
        <f t="shared" si="4"/>
        <v>38150</v>
      </c>
      <c r="BU42" s="238">
        <f t="shared" si="5"/>
        <v>1812125</v>
      </c>
    </row>
    <row r="43" spans="1:73" ht="14.25">
      <c r="A43" s="241">
        <v>1976</v>
      </c>
      <c r="B43" s="240">
        <f t="shared" si="3"/>
        <v>46.5</v>
      </c>
      <c r="C43" s="239">
        <v>0</v>
      </c>
      <c r="D43" s="238">
        <f t="shared" si="6"/>
        <v>0</v>
      </c>
      <c r="E43" s="239">
        <v>0</v>
      </c>
      <c r="F43" s="238">
        <f t="shared" si="7"/>
        <v>0</v>
      </c>
      <c r="G43" s="239">
        <v>0</v>
      </c>
      <c r="H43" s="238">
        <f t="shared" si="8"/>
        <v>0</v>
      </c>
      <c r="I43" s="239">
        <v>0</v>
      </c>
      <c r="J43" s="238">
        <f t="shared" si="9"/>
        <v>0</v>
      </c>
      <c r="K43" s="239">
        <v>0</v>
      </c>
      <c r="L43" s="238">
        <f t="shared" si="10"/>
        <v>0</v>
      </c>
      <c r="M43" s="239">
        <v>0</v>
      </c>
      <c r="N43" s="238">
        <f t="shared" si="11"/>
        <v>0</v>
      </c>
      <c r="O43" s="239">
        <v>0</v>
      </c>
      <c r="P43" s="238">
        <f t="shared" si="12"/>
        <v>0</v>
      </c>
      <c r="Q43" s="239">
        <v>1634.95</v>
      </c>
      <c r="R43" s="238">
        <f t="shared" si="13"/>
        <v>76025.175000000003</v>
      </c>
      <c r="S43" s="239">
        <v>27651.080000000002</v>
      </c>
      <c r="T43" s="238">
        <f t="shared" si="14"/>
        <v>1285775.22</v>
      </c>
      <c r="U43" s="239">
        <v>0</v>
      </c>
      <c r="V43" s="238">
        <f t="shared" si="15"/>
        <v>0</v>
      </c>
      <c r="W43" s="239">
        <v>11094.649999999998</v>
      </c>
      <c r="X43" s="238">
        <f t="shared" si="16"/>
        <v>515901.22499999992</v>
      </c>
      <c r="Y43" s="239">
        <v>0</v>
      </c>
      <c r="Z43" s="238">
        <f t="shared" si="17"/>
        <v>0</v>
      </c>
      <c r="AA43" s="239">
        <v>0</v>
      </c>
      <c r="AB43" s="238">
        <f t="shared" si="18"/>
        <v>0</v>
      </c>
      <c r="AC43" s="239">
        <v>0</v>
      </c>
      <c r="AD43" s="238">
        <f t="shared" si="19"/>
        <v>0</v>
      </c>
      <c r="AE43" s="239">
        <v>0</v>
      </c>
      <c r="AF43" s="238">
        <f t="shared" si="20"/>
        <v>0</v>
      </c>
      <c r="AG43" s="239">
        <v>0</v>
      </c>
      <c r="AH43" s="238">
        <f t="shared" si="21"/>
        <v>0</v>
      </c>
      <c r="AI43" s="239">
        <v>0</v>
      </c>
      <c r="AJ43" s="238">
        <f t="shared" si="22"/>
        <v>0</v>
      </c>
      <c r="AK43" s="239">
        <v>0</v>
      </c>
      <c r="AL43" s="238">
        <f t="shared" si="23"/>
        <v>0</v>
      </c>
      <c r="AM43" s="239">
        <v>0</v>
      </c>
      <c r="AN43" s="238">
        <f t="shared" si="24"/>
        <v>0</v>
      </c>
      <c r="AO43" s="239">
        <v>0</v>
      </c>
      <c r="AP43" s="238">
        <f t="shared" si="25"/>
        <v>0</v>
      </c>
      <c r="AQ43" s="239">
        <v>0</v>
      </c>
      <c r="AR43" s="238">
        <f t="shared" si="26"/>
        <v>0</v>
      </c>
      <c r="AS43" s="239">
        <v>0</v>
      </c>
      <c r="AT43" s="238">
        <f t="shared" si="27"/>
        <v>0</v>
      </c>
      <c r="AU43" s="239">
        <v>0</v>
      </c>
      <c r="AV43" s="238">
        <f t="shared" si="28"/>
        <v>0</v>
      </c>
      <c r="AW43" s="239">
        <v>0</v>
      </c>
      <c r="AX43" s="238">
        <f t="shared" si="29"/>
        <v>0</v>
      </c>
      <c r="AY43" s="239">
        <v>0</v>
      </c>
      <c r="AZ43" s="238">
        <f t="shared" si="30"/>
        <v>0</v>
      </c>
      <c r="BA43" s="239">
        <v>0</v>
      </c>
      <c r="BB43" s="238">
        <f t="shared" si="31"/>
        <v>0</v>
      </c>
      <c r="BC43" s="239">
        <v>0</v>
      </c>
      <c r="BD43" s="238">
        <f t="shared" si="32"/>
        <v>0</v>
      </c>
      <c r="BE43" s="239">
        <v>0</v>
      </c>
      <c r="BF43" s="238">
        <f t="shared" si="33"/>
        <v>0</v>
      </c>
      <c r="BG43" s="239">
        <v>0</v>
      </c>
      <c r="BH43" s="238">
        <f t="shared" si="34"/>
        <v>0</v>
      </c>
      <c r="BI43" s="239">
        <v>0</v>
      </c>
      <c r="BJ43" s="238">
        <f t="shared" si="35"/>
        <v>0</v>
      </c>
      <c r="BK43" s="239">
        <v>0</v>
      </c>
      <c r="BL43" s="238">
        <f t="shared" si="36"/>
        <v>0</v>
      </c>
      <c r="BM43" s="239">
        <v>0</v>
      </c>
      <c r="BN43" s="238">
        <f t="shared" si="37"/>
        <v>0</v>
      </c>
      <c r="BO43" s="239">
        <v>0</v>
      </c>
      <c r="BP43" s="238">
        <f t="shared" si="38"/>
        <v>0</v>
      </c>
      <c r="BQ43" s="239">
        <v>0</v>
      </c>
      <c r="BR43" s="238">
        <f t="shared" si="39"/>
        <v>0</v>
      </c>
      <c r="BS43" s="225"/>
      <c r="BT43" s="239">
        <f t="shared" si="4"/>
        <v>40381</v>
      </c>
      <c r="BU43" s="238">
        <f t="shared" si="5"/>
        <v>1877716.5</v>
      </c>
    </row>
    <row r="44" spans="1:73" ht="14.25">
      <c r="A44" s="241">
        <v>1977</v>
      </c>
      <c r="B44" s="240">
        <f t="shared" si="3"/>
        <v>45.5</v>
      </c>
      <c r="C44" s="239">
        <v>0</v>
      </c>
      <c r="D44" s="238">
        <f t="shared" si="6"/>
        <v>0</v>
      </c>
      <c r="E44" s="239">
        <v>0</v>
      </c>
      <c r="F44" s="238">
        <f t="shared" si="7"/>
        <v>0</v>
      </c>
      <c r="G44" s="239">
        <v>4669.8299999999999</v>
      </c>
      <c r="H44" s="238">
        <f t="shared" si="8"/>
        <v>212477.26499999998</v>
      </c>
      <c r="I44" s="239">
        <v>0</v>
      </c>
      <c r="J44" s="238">
        <f t="shared" si="9"/>
        <v>0</v>
      </c>
      <c r="K44" s="239">
        <v>0</v>
      </c>
      <c r="L44" s="238">
        <f t="shared" si="10"/>
        <v>0</v>
      </c>
      <c r="M44" s="239">
        <v>0</v>
      </c>
      <c r="N44" s="238">
        <f t="shared" si="11"/>
        <v>0</v>
      </c>
      <c r="O44" s="239">
        <v>0</v>
      </c>
      <c r="P44" s="238">
        <f t="shared" si="12"/>
        <v>0</v>
      </c>
      <c r="Q44" s="239">
        <v>19151.969999999998</v>
      </c>
      <c r="R44" s="238">
        <f t="shared" si="13"/>
        <v>871414.63499999989</v>
      </c>
      <c r="S44" s="239">
        <v>24473.66</v>
      </c>
      <c r="T44" s="238">
        <f t="shared" si="14"/>
        <v>1113551.53</v>
      </c>
      <c r="U44" s="239">
        <v>0</v>
      </c>
      <c r="V44" s="238">
        <f t="shared" si="15"/>
        <v>0</v>
      </c>
      <c r="W44" s="239">
        <v>17796.32</v>
      </c>
      <c r="X44" s="238">
        <f t="shared" si="16"/>
        <v>809732.55999999994</v>
      </c>
      <c r="Y44" s="239">
        <v>0</v>
      </c>
      <c r="Z44" s="238">
        <f t="shared" si="17"/>
        <v>0</v>
      </c>
      <c r="AA44" s="239">
        <v>0</v>
      </c>
      <c r="AB44" s="238">
        <f t="shared" si="18"/>
        <v>0</v>
      </c>
      <c r="AC44" s="239">
        <v>0</v>
      </c>
      <c r="AD44" s="238">
        <f t="shared" si="19"/>
        <v>0</v>
      </c>
      <c r="AE44" s="239">
        <v>0</v>
      </c>
      <c r="AF44" s="238">
        <f t="shared" si="20"/>
        <v>0</v>
      </c>
      <c r="AG44" s="239">
        <v>0</v>
      </c>
      <c r="AH44" s="238">
        <f t="shared" si="21"/>
        <v>0</v>
      </c>
      <c r="AI44" s="239">
        <v>0</v>
      </c>
      <c r="AJ44" s="238">
        <f t="shared" si="22"/>
        <v>0</v>
      </c>
      <c r="AK44" s="239">
        <v>0</v>
      </c>
      <c r="AL44" s="238">
        <f t="shared" si="23"/>
        <v>0</v>
      </c>
      <c r="AM44" s="239">
        <v>0</v>
      </c>
      <c r="AN44" s="238">
        <f t="shared" si="24"/>
        <v>0</v>
      </c>
      <c r="AO44" s="239">
        <v>0</v>
      </c>
      <c r="AP44" s="238">
        <f t="shared" si="25"/>
        <v>0</v>
      </c>
      <c r="AQ44" s="239">
        <v>0</v>
      </c>
      <c r="AR44" s="238">
        <f t="shared" si="26"/>
        <v>0</v>
      </c>
      <c r="AS44" s="239">
        <v>0</v>
      </c>
      <c r="AT44" s="238">
        <f t="shared" si="27"/>
        <v>0</v>
      </c>
      <c r="AU44" s="239">
        <v>0</v>
      </c>
      <c r="AV44" s="238">
        <f t="shared" si="28"/>
        <v>0</v>
      </c>
      <c r="AW44" s="239">
        <v>0</v>
      </c>
      <c r="AX44" s="238">
        <f t="shared" si="29"/>
        <v>0</v>
      </c>
      <c r="AY44" s="239">
        <v>0</v>
      </c>
      <c r="AZ44" s="238">
        <f t="shared" si="30"/>
        <v>0</v>
      </c>
      <c r="BA44" s="239">
        <v>0</v>
      </c>
      <c r="BB44" s="238">
        <f t="shared" si="31"/>
        <v>0</v>
      </c>
      <c r="BC44" s="239">
        <v>0</v>
      </c>
      <c r="BD44" s="238">
        <f t="shared" si="32"/>
        <v>0</v>
      </c>
      <c r="BE44" s="239">
        <v>0</v>
      </c>
      <c r="BF44" s="238">
        <f t="shared" si="33"/>
        <v>0</v>
      </c>
      <c r="BG44" s="239">
        <v>0</v>
      </c>
      <c r="BH44" s="238">
        <f t="shared" si="34"/>
        <v>0</v>
      </c>
      <c r="BI44" s="239">
        <v>0</v>
      </c>
      <c r="BJ44" s="238">
        <f t="shared" si="35"/>
        <v>0</v>
      </c>
      <c r="BK44" s="239">
        <v>0</v>
      </c>
      <c r="BL44" s="238">
        <f t="shared" si="36"/>
        <v>0</v>
      </c>
      <c r="BM44" s="239">
        <v>0</v>
      </c>
      <c r="BN44" s="238">
        <f t="shared" si="37"/>
        <v>0</v>
      </c>
      <c r="BO44" s="239">
        <v>0</v>
      </c>
      <c r="BP44" s="238">
        <f t="shared" si="38"/>
        <v>0</v>
      </c>
      <c r="BQ44" s="239">
        <v>0</v>
      </c>
      <c r="BR44" s="238">
        <f t="shared" si="39"/>
        <v>0</v>
      </c>
      <c r="BS44" s="225"/>
      <c r="BT44" s="239">
        <f t="shared" si="4"/>
        <v>66092</v>
      </c>
      <c r="BU44" s="238">
        <f t="shared" si="5"/>
        <v>3007186</v>
      </c>
    </row>
    <row r="45" spans="1:73" ht="14.25">
      <c r="A45" s="241">
        <v>1978</v>
      </c>
      <c r="B45" s="240">
        <f t="shared" si="3"/>
        <v>44.5</v>
      </c>
      <c r="C45" s="239">
        <v>0</v>
      </c>
      <c r="D45" s="238">
        <f t="shared" si="6"/>
        <v>0</v>
      </c>
      <c r="E45" s="239">
        <v>0</v>
      </c>
      <c r="F45" s="238">
        <f t="shared" si="7"/>
        <v>0</v>
      </c>
      <c r="G45" s="239">
        <v>0</v>
      </c>
      <c r="H45" s="238">
        <f t="shared" si="8"/>
        <v>0</v>
      </c>
      <c r="I45" s="239">
        <v>2734.2500000000005</v>
      </c>
      <c r="J45" s="238">
        <f t="shared" si="9"/>
        <v>121674.12500000001</v>
      </c>
      <c r="K45" s="239">
        <v>0</v>
      </c>
      <c r="L45" s="238">
        <f t="shared" si="10"/>
        <v>0</v>
      </c>
      <c r="M45" s="239">
        <v>0</v>
      </c>
      <c r="N45" s="238">
        <f t="shared" si="11"/>
        <v>0</v>
      </c>
      <c r="O45" s="239">
        <v>0</v>
      </c>
      <c r="P45" s="238">
        <f t="shared" si="12"/>
        <v>0</v>
      </c>
      <c r="Q45" s="239">
        <v>54357.089999999997</v>
      </c>
      <c r="R45" s="238">
        <f t="shared" si="13"/>
        <v>2418890.5049999999</v>
      </c>
      <c r="S45" s="239">
        <v>11358.709999999999</v>
      </c>
      <c r="T45" s="238">
        <f t="shared" si="14"/>
        <v>505462.59499999997</v>
      </c>
      <c r="U45" s="239">
        <v>0</v>
      </c>
      <c r="V45" s="238">
        <f t="shared" si="15"/>
        <v>0</v>
      </c>
      <c r="W45" s="239">
        <v>1599.3400000000001</v>
      </c>
      <c r="X45" s="238">
        <f t="shared" si="16"/>
        <v>71170.630000000005</v>
      </c>
      <c r="Y45" s="239">
        <v>0</v>
      </c>
      <c r="Z45" s="238">
        <f t="shared" si="17"/>
        <v>0</v>
      </c>
      <c r="AA45" s="239">
        <v>0</v>
      </c>
      <c r="AB45" s="238">
        <f t="shared" si="18"/>
        <v>0</v>
      </c>
      <c r="AC45" s="239">
        <v>0</v>
      </c>
      <c r="AD45" s="238">
        <f t="shared" si="19"/>
        <v>0</v>
      </c>
      <c r="AE45" s="239">
        <v>3271</v>
      </c>
      <c r="AF45" s="238">
        <f t="shared" si="20"/>
        <v>145559.5</v>
      </c>
      <c r="AG45" s="239">
        <v>0</v>
      </c>
      <c r="AH45" s="238">
        <f t="shared" si="21"/>
        <v>0</v>
      </c>
      <c r="AI45" s="239">
        <v>0</v>
      </c>
      <c r="AJ45" s="238">
        <f t="shared" si="22"/>
        <v>0</v>
      </c>
      <c r="AK45" s="239">
        <v>0</v>
      </c>
      <c r="AL45" s="238">
        <f t="shared" si="23"/>
        <v>0</v>
      </c>
      <c r="AM45" s="239">
        <v>0</v>
      </c>
      <c r="AN45" s="238">
        <f t="shared" si="24"/>
        <v>0</v>
      </c>
      <c r="AO45" s="239">
        <v>0</v>
      </c>
      <c r="AP45" s="238">
        <f t="shared" si="25"/>
        <v>0</v>
      </c>
      <c r="AQ45" s="239">
        <v>0</v>
      </c>
      <c r="AR45" s="238">
        <f t="shared" si="26"/>
        <v>0</v>
      </c>
      <c r="AS45" s="239">
        <v>0</v>
      </c>
      <c r="AT45" s="238">
        <f t="shared" si="27"/>
        <v>0</v>
      </c>
      <c r="AU45" s="239">
        <v>0</v>
      </c>
      <c r="AV45" s="238">
        <f t="shared" si="28"/>
        <v>0</v>
      </c>
      <c r="AW45" s="239">
        <v>0</v>
      </c>
      <c r="AX45" s="238">
        <f t="shared" si="29"/>
        <v>0</v>
      </c>
      <c r="AY45" s="239">
        <v>0</v>
      </c>
      <c r="AZ45" s="238">
        <f t="shared" si="30"/>
        <v>0</v>
      </c>
      <c r="BA45" s="239">
        <v>0</v>
      </c>
      <c r="BB45" s="238">
        <f t="shared" si="31"/>
        <v>0</v>
      </c>
      <c r="BC45" s="239">
        <v>0</v>
      </c>
      <c r="BD45" s="238">
        <f t="shared" si="32"/>
        <v>0</v>
      </c>
      <c r="BE45" s="239">
        <v>0</v>
      </c>
      <c r="BF45" s="238">
        <f t="shared" si="33"/>
        <v>0</v>
      </c>
      <c r="BG45" s="239">
        <v>0</v>
      </c>
      <c r="BH45" s="238">
        <f t="shared" si="34"/>
        <v>0</v>
      </c>
      <c r="BI45" s="239">
        <v>0</v>
      </c>
      <c r="BJ45" s="238">
        <f t="shared" si="35"/>
        <v>0</v>
      </c>
      <c r="BK45" s="239">
        <v>0</v>
      </c>
      <c r="BL45" s="238">
        <f t="shared" si="36"/>
        <v>0</v>
      </c>
      <c r="BM45" s="239">
        <v>0</v>
      </c>
      <c r="BN45" s="238">
        <f t="shared" si="37"/>
        <v>0</v>
      </c>
      <c r="BO45" s="239">
        <v>0</v>
      </c>
      <c r="BP45" s="238">
        <f t="shared" si="38"/>
        <v>0</v>
      </c>
      <c r="BQ45" s="239">
        <v>0</v>
      </c>
      <c r="BR45" s="238">
        <f t="shared" si="39"/>
        <v>0</v>
      </c>
      <c r="BS45" s="225"/>
      <c r="BT45" s="239">
        <f t="shared" si="4"/>
        <v>73320</v>
      </c>
      <c r="BU45" s="238">
        <f t="shared" si="5"/>
        <v>3262740</v>
      </c>
    </row>
    <row r="46" spans="1:73" ht="14.25">
      <c r="A46" s="241">
        <v>1979</v>
      </c>
      <c r="B46" s="240">
        <f t="shared" si="3"/>
        <v>43.5</v>
      </c>
      <c r="C46" s="239">
        <v>0</v>
      </c>
      <c r="D46" s="238">
        <f t="shared" si="6"/>
        <v>0</v>
      </c>
      <c r="E46" s="239">
        <v>0</v>
      </c>
      <c r="F46" s="238">
        <f t="shared" si="7"/>
        <v>0</v>
      </c>
      <c r="G46" s="239">
        <v>59539.120000000003</v>
      </c>
      <c r="H46" s="238">
        <f t="shared" si="8"/>
        <v>2589951.7200000002</v>
      </c>
      <c r="I46" s="239">
        <v>3091.75</v>
      </c>
      <c r="J46" s="238">
        <f t="shared" si="9"/>
        <v>134491.125</v>
      </c>
      <c r="K46" s="239">
        <v>0</v>
      </c>
      <c r="L46" s="238">
        <f t="shared" si="10"/>
        <v>0</v>
      </c>
      <c r="M46" s="239">
        <v>0</v>
      </c>
      <c r="N46" s="238">
        <f t="shared" si="11"/>
        <v>0</v>
      </c>
      <c r="O46" s="239">
        <v>0</v>
      </c>
      <c r="P46" s="238">
        <f t="shared" si="12"/>
        <v>0</v>
      </c>
      <c r="Q46" s="239">
        <v>43979.389999999999</v>
      </c>
      <c r="R46" s="238">
        <f t="shared" si="13"/>
        <v>1913103.4650000001</v>
      </c>
      <c r="S46" s="239">
        <v>24792.709999999992</v>
      </c>
      <c r="T46" s="238">
        <f t="shared" si="14"/>
        <v>1078482.8849999995</v>
      </c>
      <c r="U46" s="239">
        <v>0</v>
      </c>
      <c r="V46" s="238">
        <f t="shared" si="15"/>
        <v>0</v>
      </c>
      <c r="W46" s="239">
        <v>0</v>
      </c>
      <c r="X46" s="238">
        <f t="shared" si="16"/>
        <v>0</v>
      </c>
      <c r="Y46" s="239">
        <v>0</v>
      </c>
      <c r="Z46" s="238">
        <f t="shared" si="17"/>
        <v>0</v>
      </c>
      <c r="AA46" s="239">
        <v>0</v>
      </c>
      <c r="AB46" s="238">
        <f t="shared" si="18"/>
        <v>0</v>
      </c>
      <c r="AC46" s="239">
        <v>0</v>
      </c>
      <c r="AD46" s="238">
        <f t="shared" si="19"/>
        <v>0</v>
      </c>
      <c r="AE46" s="239">
        <v>0</v>
      </c>
      <c r="AF46" s="238">
        <f t="shared" si="20"/>
        <v>0</v>
      </c>
      <c r="AG46" s="239">
        <v>0</v>
      </c>
      <c r="AH46" s="238">
        <f t="shared" si="21"/>
        <v>0</v>
      </c>
      <c r="AI46" s="239">
        <v>0</v>
      </c>
      <c r="AJ46" s="238">
        <f t="shared" si="22"/>
        <v>0</v>
      </c>
      <c r="AK46" s="239">
        <v>0</v>
      </c>
      <c r="AL46" s="238">
        <f t="shared" si="23"/>
        <v>0</v>
      </c>
      <c r="AM46" s="239">
        <v>0</v>
      </c>
      <c r="AN46" s="238">
        <f t="shared" si="24"/>
        <v>0</v>
      </c>
      <c r="AO46" s="239">
        <v>0</v>
      </c>
      <c r="AP46" s="238">
        <f t="shared" si="25"/>
        <v>0</v>
      </c>
      <c r="AQ46" s="239">
        <v>0</v>
      </c>
      <c r="AR46" s="238">
        <f t="shared" si="26"/>
        <v>0</v>
      </c>
      <c r="AS46" s="239">
        <v>0</v>
      </c>
      <c r="AT46" s="238">
        <f t="shared" si="27"/>
        <v>0</v>
      </c>
      <c r="AU46" s="239">
        <v>0</v>
      </c>
      <c r="AV46" s="238">
        <f t="shared" si="28"/>
        <v>0</v>
      </c>
      <c r="AW46" s="239">
        <v>0</v>
      </c>
      <c r="AX46" s="238">
        <f t="shared" si="29"/>
        <v>0</v>
      </c>
      <c r="AY46" s="239">
        <v>0</v>
      </c>
      <c r="AZ46" s="238">
        <f t="shared" si="30"/>
        <v>0</v>
      </c>
      <c r="BA46" s="239">
        <v>0</v>
      </c>
      <c r="BB46" s="238">
        <f t="shared" si="31"/>
        <v>0</v>
      </c>
      <c r="BC46" s="239">
        <v>0</v>
      </c>
      <c r="BD46" s="238">
        <f t="shared" si="32"/>
        <v>0</v>
      </c>
      <c r="BE46" s="239">
        <v>0</v>
      </c>
      <c r="BF46" s="238">
        <f t="shared" si="33"/>
        <v>0</v>
      </c>
      <c r="BG46" s="239">
        <v>0</v>
      </c>
      <c r="BH46" s="238">
        <f t="shared" si="34"/>
        <v>0</v>
      </c>
      <c r="BI46" s="239">
        <v>0</v>
      </c>
      <c r="BJ46" s="238">
        <f t="shared" si="35"/>
        <v>0</v>
      </c>
      <c r="BK46" s="239">
        <v>0</v>
      </c>
      <c r="BL46" s="238">
        <f t="shared" si="36"/>
        <v>0</v>
      </c>
      <c r="BM46" s="239">
        <v>0</v>
      </c>
      <c r="BN46" s="238">
        <f t="shared" si="37"/>
        <v>0</v>
      </c>
      <c r="BO46" s="239">
        <v>0</v>
      </c>
      <c r="BP46" s="238">
        <f t="shared" si="38"/>
        <v>0</v>
      </c>
      <c r="BQ46" s="239">
        <v>0</v>
      </c>
      <c r="BR46" s="238">
        <f t="shared" si="39"/>
        <v>0</v>
      </c>
      <c r="BS46" s="225"/>
      <c r="BT46" s="239">
        <f t="shared" si="4"/>
        <v>131403</v>
      </c>
      <c r="BU46" s="238">
        <f t="shared" si="5"/>
        <v>5716030.5</v>
      </c>
    </row>
    <row r="47" spans="1:73" ht="14.25">
      <c r="A47" s="241">
        <v>1980</v>
      </c>
      <c r="B47" s="240">
        <f t="shared" si="3"/>
        <v>42.5</v>
      </c>
      <c r="C47" s="239">
        <v>0</v>
      </c>
      <c r="D47" s="238">
        <f t="shared" si="6"/>
        <v>0</v>
      </c>
      <c r="E47" s="239">
        <v>0</v>
      </c>
      <c r="F47" s="238">
        <f t="shared" si="7"/>
        <v>0</v>
      </c>
      <c r="G47" s="239">
        <v>54612.919999999998</v>
      </c>
      <c r="H47" s="238">
        <f t="shared" si="8"/>
        <v>2321049.1000000001</v>
      </c>
      <c r="I47" s="239">
        <v>0</v>
      </c>
      <c r="J47" s="238">
        <f t="shared" si="9"/>
        <v>0</v>
      </c>
      <c r="K47" s="239">
        <v>0</v>
      </c>
      <c r="L47" s="238">
        <f t="shared" si="10"/>
        <v>0</v>
      </c>
      <c r="M47" s="239">
        <v>0</v>
      </c>
      <c r="N47" s="238">
        <f t="shared" si="11"/>
        <v>0</v>
      </c>
      <c r="O47" s="239">
        <v>0</v>
      </c>
      <c r="P47" s="238">
        <f t="shared" si="12"/>
        <v>0</v>
      </c>
      <c r="Q47" s="239">
        <v>78588.260000000009</v>
      </c>
      <c r="R47" s="238">
        <f t="shared" si="13"/>
        <v>3340001.0500000003</v>
      </c>
      <c r="S47" s="239">
        <v>0</v>
      </c>
      <c r="T47" s="238">
        <f t="shared" si="14"/>
        <v>0</v>
      </c>
      <c r="U47" s="239">
        <v>0</v>
      </c>
      <c r="V47" s="238">
        <f t="shared" si="15"/>
        <v>0</v>
      </c>
      <c r="W47" s="239">
        <v>0</v>
      </c>
      <c r="X47" s="238">
        <f t="shared" si="16"/>
        <v>0</v>
      </c>
      <c r="Y47" s="239">
        <v>0</v>
      </c>
      <c r="Z47" s="238">
        <f t="shared" si="17"/>
        <v>0</v>
      </c>
      <c r="AA47" s="239">
        <v>0</v>
      </c>
      <c r="AB47" s="238">
        <f t="shared" si="18"/>
        <v>0</v>
      </c>
      <c r="AC47" s="239">
        <v>0</v>
      </c>
      <c r="AD47" s="238">
        <f t="shared" si="19"/>
        <v>0</v>
      </c>
      <c r="AE47" s="239">
        <v>0</v>
      </c>
      <c r="AF47" s="238">
        <f t="shared" si="20"/>
        <v>0</v>
      </c>
      <c r="AG47" s="239">
        <v>0</v>
      </c>
      <c r="AH47" s="238">
        <f t="shared" si="21"/>
        <v>0</v>
      </c>
      <c r="AI47" s="239">
        <v>0</v>
      </c>
      <c r="AJ47" s="238">
        <f t="shared" si="22"/>
        <v>0</v>
      </c>
      <c r="AK47" s="239">
        <v>0</v>
      </c>
      <c r="AL47" s="238">
        <f t="shared" si="23"/>
        <v>0</v>
      </c>
      <c r="AM47" s="239">
        <v>0</v>
      </c>
      <c r="AN47" s="238">
        <f t="shared" si="24"/>
        <v>0</v>
      </c>
      <c r="AO47" s="239">
        <v>0</v>
      </c>
      <c r="AP47" s="238">
        <f t="shared" si="25"/>
        <v>0</v>
      </c>
      <c r="AQ47" s="239">
        <v>0</v>
      </c>
      <c r="AR47" s="238">
        <f t="shared" si="26"/>
        <v>0</v>
      </c>
      <c r="AS47" s="239">
        <v>0</v>
      </c>
      <c r="AT47" s="238">
        <f t="shared" si="27"/>
        <v>0</v>
      </c>
      <c r="AU47" s="239">
        <v>0</v>
      </c>
      <c r="AV47" s="238">
        <f t="shared" si="28"/>
        <v>0</v>
      </c>
      <c r="AW47" s="239">
        <v>0</v>
      </c>
      <c r="AX47" s="238">
        <f t="shared" si="29"/>
        <v>0</v>
      </c>
      <c r="AY47" s="239">
        <v>0</v>
      </c>
      <c r="AZ47" s="238">
        <f t="shared" si="30"/>
        <v>0</v>
      </c>
      <c r="BA47" s="239">
        <v>0</v>
      </c>
      <c r="BB47" s="238">
        <f t="shared" si="31"/>
        <v>0</v>
      </c>
      <c r="BC47" s="239">
        <v>0</v>
      </c>
      <c r="BD47" s="238">
        <f t="shared" si="32"/>
        <v>0</v>
      </c>
      <c r="BE47" s="239">
        <v>0</v>
      </c>
      <c r="BF47" s="238">
        <f t="shared" si="33"/>
        <v>0</v>
      </c>
      <c r="BG47" s="239">
        <v>0</v>
      </c>
      <c r="BH47" s="238">
        <f t="shared" si="34"/>
        <v>0</v>
      </c>
      <c r="BI47" s="239">
        <v>0</v>
      </c>
      <c r="BJ47" s="238">
        <f t="shared" si="35"/>
        <v>0</v>
      </c>
      <c r="BK47" s="239">
        <v>0</v>
      </c>
      <c r="BL47" s="238">
        <f t="shared" si="36"/>
        <v>0</v>
      </c>
      <c r="BM47" s="239">
        <v>0</v>
      </c>
      <c r="BN47" s="238">
        <f t="shared" si="37"/>
        <v>0</v>
      </c>
      <c r="BO47" s="239">
        <v>0</v>
      </c>
      <c r="BP47" s="238">
        <f t="shared" si="38"/>
        <v>0</v>
      </c>
      <c r="BQ47" s="239">
        <v>0</v>
      </c>
      <c r="BR47" s="238">
        <f t="shared" si="39"/>
        <v>0</v>
      </c>
      <c r="BS47" s="225"/>
      <c r="BT47" s="239">
        <f t="shared" si="4"/>
        <v>133201</v>
      </c>
      <c r="BU47" s="238">
        <f t="shared" si="5"/>
        <v>5661042.5</v>
      </c>
    </row>
    <row r="48" spans="1:73" ht="14.25">
      <c r="A48" s="241">
        <v>1981</v>
      </c>
      <c r="B48" s="240">
        <f t="shared" si="3"/>
        <v>41.5</v>
      </c>
      <c r="C48" s="239">
        <v>0</v>
      </c>
      <c r="D48" s="238">
        <f t="shared" si="6"/>
        <v>0</v>
      </c>
      <c r="E48" s="239">
        <v>0</v>
      </c>
      <c r="F48" s="238">
        <f t="shared" si="7"/>
        <v>0</v>
      </c>
      <c r="G48" s="239">
        <v>125704.67000000001</v>
      </c>
      <c r="H48" s="238">
        <f t="shared" si="8"/>
        <v>5216743.8050000006</v>
      </c>
      <c r="I48" s="239">
        <v>0</v>
      </c>
      <c r="J48" s="238">
        <f t="shared" si="9"/>
        <v>0</v>
      </c>
      <c r="K48" s="239">
        <v>0</v>
      </c>
      <c r="L48" s="238">
        <f t="shared" si="10"/>
        <v>0</v>
      </c>
      <c r="M48" s="239">
        <v>0</v>
      </c>
      <c r="N48" s="238">
        <f t="shared" si="11"/>
        <v>0</v>
      </c>
      <c r="O48" s="239">
        <v>0</v>
      </c>
      <c r="P48" s="238">
        <f t="shared" si="12"/>
        <v>0</v>
      </c>
      <c r="Q48" s="239">
        <v>43386.270000000004</v>
      </c>
      <c r="R48" s="238">
        <f t="shared" si="13"/>
        <v>1800530.2050000001</v>
      </c>
      <c r="S48" s="239">
        <v>0</v>
      </c>
      <c r="T48" s="238">
        <f t="shared" si="14"/>
        <v>0</v>
      </c>
      <c r="U48" s="239">
        <v>0</v>
      </c>
      <c r="V48" s="238">
        <f t="shared" si="15"/>
        <v>0</v>
      </c>
      <c r="W48" s="239">
        <v>0</v>
      </c>
      <c r="X48" s="238">
        <f t="shared" si="16"/>
        <v>0</v>
      </c>
      <c r="Y48" s="239">
        <v>0</v>
      </c>
      <c r="Z48" s="238">
        <f t="shared" si="17"/>
        <v>0</v>
      </c>
      <c r="AA48" s="239">
        <v>0</v>
      </c>
      <c r="AB48" s="238">
        <f t="shared" si="18"/>
        <v>0</v>
      </c>
      <c r="AC48" s="239">
        <v>0</v>
      </c>
      <c r="AD48" s="238">
        <f t="shared" si="19"/>
        <v>0</v>
      </c>
      <c r="AE48" s="239">
        <v>0</v>
      </c>
      <c r="AF48" s="238">
        <f t="shared" si="20"/>
        <v>0</v>
      </c>
      <c r="AG48" s="239">
        <v>0</v>
      </c>
      <c r="AH48" s="238">
        <f t="shared" si="21"/>
        <v>0</v>
      </c>
      <c r="AI48" s="239">
        <v>0</v>
      </c>
      <c r="AJ48" s="238">
        <f t="shared" si="22"/>
        <v>0</v>
      </c>
      <c r="AK48" s="239">
        <v>0</v>
      </c>
      <c r="AL48" s="238">
        <f t="shared" si="23"/>
        <v>0</v>
      </c>
      <c r="AM48" s="239">
        <v>0</v>
      </c>
      <c r="AN48" s="238">
        <f t="shared" si="24"/>
        <v>0</v>
      </c>
      <c r="AO48" s="239">
        <v>0</v>
      </c>
      <c r="AP48" s="238">
        <f t="shared" si="25"/>
        <v>0</v>
      </c>
      <c r="AQ48" s="239">
        <v>0</v>
      </c>
      <c r="AR48" s="238">
        <f t="shared" si="26"/>
        <v>0</v>
      </c>
      <c r="AS48" s="239">
        <v>0</v>
      </c>
      <c r="AT48" s="238">
        <f t="shared" si="27"/>
        <v>0</v>
      </c>
      <c r="AU48" s="239">
        <v>0</v>
      </c>
      <c r="AV48" s="238">
        <f t="shared" si="28"/>
        <v>0</v>
      </c>
      <c r="AW48" s="239">
        <v>0</v>
      </c>
      <c r="AX48" s="238">
        <f t="shared" si="29"/>
        <v>0</v>
      </c>
      <c r="AY48" s="239">
        <v>0</v>
      </c>
      <c r="AZ48" s="238">
        <f t="shared" si="30"/>
        <v>0</v>
      </c>
      <c r="BA48" s="239">
        <v>0</v>
      </c>
      <c r="BB48" s="238">
        <f t="shared" si="31"/>
        <v>0</v>
      </c>
      <c r="BC48" s="239">
        <v>0</v>
      </c>
      <c r="BD48" s="238">
        <f t="shared" si="32"/>
        <v>0</v>
      </c>
      <c r="BE48" s="239">
        <v>0</v>
      </c>
      <c r="BF48" s="238">
        <f t="shared" si="33"/>
        <v>0</v>
      </c>
      <c r="BG48" s="239">
        <v>0</v>
      </c>
      <c r="BH48" s="238">
        <f t="shared" si="34"/>
        <v>0</v>
      </c>
      <c r="BI48" s="239">
        <v>0</v>
      </c>
      <c r="BJ48" s="238">
        <f t="shared" si="35"/>
        <v>0</v>
      </c>
      <c r="BK48" s="239">
        <v>0</v>
      </c>
      <c r="BL48" s="238">
        <f t="shared" si="36"/>
        <v>0</v>
      </c>
      <c r="BM48" s="239">
        <v>0</v>
      </c>
      <c r="BN48" s="238">
        <f t="shared" si="37"/>
        <v>0</v>
      </c>
      <c r="BO48" s="239">
        <v>0</v>
      </c>
      <c r="BP48" s="238">
        <f t="shared" si="38"/>
        <v>0</v>
      </c>
      <c r="BQ48" s="239">
        <v>0</v>
      </c>
      <c r="BR48" s="238">
        <f t="shared" si="39"/>
        <v>0</v>
      </c>
      <c r="BS48" s="225"/>
      <c r="BT48" s="239">
        <f t="shared" si="4"/>
        <v>169091</v>
      </c>
      <c r="BU48" s="238">
        <f t="shared" si="5"/>
        <v>7017276.5</v>
      </c>
    </row>
    <row r="49" spans="1:73" ht="14.25">
      <c r="A49" s="241">
        <v>1982</v>
      </c>
      <c r="B49" s="240">
        <f t="shared" si="3"/>
        <v>40.5</v>
      </c>
      <c r="C49" s="239">
        <v>0</v>
      </c>
      <c r="D49" s="238">
        <f t="shared" si="6"/>
        <v>0</v>
      </c>
      <c r="E49" s="239">
        <v>0</v>
      </c>
      <c r="F49" s="238">
        <f t="shared" si="7"/>
        <v>0</v>
      </c>
      <c r="G49" s="239">
        <v>92730.100000000006</v>
      </c>
      <c r="H49" s="238">
        <f t="shared" si="8"/>
        <v>3755569.0500000003</v>
      </c>
      <c r="I49" s="239">
        <v>0</v>
      </c>
      <c r="J49" s="238">
        <f t="shared" si="9"/>
        <v>0</v>
      </c>
      <c r="K49" s="239">
        <v>0</v>
      </c>
      <c r="L49" s="238">
        <f t="shared" si="10"/>
        <v>0</v>
      </c>
      <c r="M49" s="239">
        <v>0</v>
      </c>
      <c r="N49" s="238">
        <f t="shared" si="11"/>
        <v>0</v>
      </c>
      <c r="O49" s="239">
        <v>0</v>
      </c>
      <c r="P49" s="238">
        <f t="shared" si="12"/>
        <v>0</v>
      </c>
      <c r="Q49" s="239">
        <v>59279.070000000007</v>
      </c>
      <c r="R49" s="238">
        <f t="shared" si="13"/>
        <v>2400802.3350000004</v>
      </c>
      <c r="S49" s="239">
        <v>0</v>
      </c>
      <c r="T49" s="238">
        <f t="shared" si="14"/>
        <v>0</v>
      </c>
      <c r="U49" s="239">
        <v>0</v>
      </c>
      <c r="V49" s="238">
        <f t="shared" si="15"/>
        <v>0</v>
      </c>
      <c r="W49" s="239">
        <v>0</v>
      </c>
      <c r="X49" s="238">
        <f t="shared" si="16"/>
        <v>0</v>
      </c>
      <c r="Y49" s="239">
        <v>0</v>
      </c>
      <c r="Z49" s="238">
        <f t="shared" si="17"/>
        <v>0</v>
      </c>
      <c r="AA49" s="239">
        <v>0</v>
      </c>
      <c r="AB49" s="238">
        <f t="shared" si="18"/>
        <v>0</v>
      </c>
      <c r="AC49" s="239">
        <v>0</v>
      </c>
      <c r="AD49" s="238">
        <f t="shared" si="19"/>
        <v>0</v>
      </c>
      <c r="AE49" s="239">
        <v>0</v>
      </c>
      <c r="AF49" s="238">
        <f t="shared" si="20"/>
        <v>0</v>
      </c>
      <c r="AG49" s="239">
        <v>0</v>
      </c>
      <c r="AH49" s="238">
        <f t="shared" si="21"/>
        <v>0</v>
      </c>
      <c r="AI49" s="239">
        <v>0</v>
      </c>
      <c r="AJ49" s="238">
        <f t="shared" si="22"/>
        <v>0</v>
      </c>
      <c r="AK49" s="239">
        <v>0</v>
      </c>
      <c r="AL49" s="238">
        <f t="shared" si="23"/>
        <v>0</v>
      </c>
      <c r="AM49" s="239">
        <v>0</v>
      </c>
      <c r="AN49" s="238">
        <f t="shared" si="24"/>
        <v>0</v>
      </c>
      <c r="AO49" s="239">
        <v>0</v>
      </c>
      <c r="AP49" s="238">
        <f t="shared" si="25"/>
        <v>0</v>
      </c>
      <c r="AQ49" s="239">
        <v>0</v>
      </c>
      <c r="AR49" s="238">
        <f t="shared" si="26"/>
        <v>0</v>
      </c>
      <c r="AS49" s="239">
        <v>0</v>
      </c>
      <c r="AT49" s="238">
        <f t="shared" si="27"/>
        <v>0</v>
      </c>
      <c r="AU49" s="239">
        <v>0</v>
      </c>
      <c r="AV49" s="238">
        <f t="shared" si="28"/>
        <v>0</v>
      </c>
      <c r="AW49" s="239">
        <v>0</v>
      </c>
      <c r="AX49" s="238">
        <f t="shared" si="29"/>
        <v>0</v>
      </c>
      <c r="AY49" s="239">
        <v>0</v>
      </c>
      <c r="AZ49" s="238">
        <f t="shared" si="30"/>
        <v>0</v>
      </c>
      <c r="BA49" s="239">
        <v>0</v>
      </c>
      <c r="BB49" s="238">
        <f t="shared" si="31"/>
        <v>0</v>
      </c>
      <c r="BC49" s="239">
        <v>0</v>
      </c>
      <c r="BD49" s="238">
        <f t="shared" si="32"/>
        <v>0</v>
      </c>
      <c r="BE49" s="239">
        <v>0</v>
      </c>
      <c r="BF49" s="238">
        <f t="shared" si="33"/>
        <v>0</v>
      </c>
      <c r="BG49" s="239">
        <v>0</v>
      </c>
      <c r="BH49" s="238">
        <f t="shared" si="34"/>
        <v>0</v>
      </c>
      <c r="BI49" s="239">
        <v>0</v>
      </c>
      <c r="BJ49" s="238">
        <f t="shared" si="35"/>
        <v>0</v>
      </c>
      <c r="BK49" s="239">
        <v>0</v>
      </c>
      <c r="BL49" s="238">
        <f t="shared" si="36"/>
        <v>0</v>
      </c>
      <c r="BM49" s="239">
        <v>0</v>
      </c>
      <c r="BN49" s="238">
        <f t="shared" si="37"/>
        <v>0</v>
      </c>
      <c r="BO49" s="239">
        <v>0</v>
      </c>
      <c r="BP49" s="238">
        <f t="shared" si="38"/>
        <v>0</v>
      </c>
      <c r="BQ49" s="239">
        <v>0</v>
      </c>
      <c r="BR49" s="238">
        <f t="shared" si="39"/>
        <v>0</v>
      </c>
      <c r="BS49" s="225"/>
      <c r="BT49" s="239">
        <f t="shared" si="4"/>
        <v>152009</v>
      </c>
      <c r="BU49" s="238">
        <f t="shared" si="5"/>
        <v>6156364.5</v>
      </c>
    </row>
    <row r="50" spans="1:73" ht="14.25">
      <c r="A50" s="241">
        <v>1983</v>
      </c>
      <c r="B50" s="240">
        <f t="shared" si="3"/>
        <v>39.5</v>
      </c>
      <c r="C50" s="239">
        <v>0</v>
      </c>
      <c r="D50" s="238">
        <f t="shared" si="6"/>
        <v>0</v>
      </c>
      <c r="E50" s="239">
        <v>0</v>
      </c>
      <c r="F50" s="238">
        <f t="shared" si="7"/>
        <v>0</v>
      </c>
      <c r="G50" s="239">
        <v>125458.11</v>
      </c>
      <c r="H50" s="238">
        <f t="shared" si="8"/>
        <v>4955595.3449999997</v>
      </c>
      <c r="I50" s="239">
        <v>0</v>
      </c>
      <c r="J50" s="238">
        <f t="shared" si="9"/>
        <v>0</v>
      </c>
      <c r="K50" s="239">
        <v>0</v>
      </c>
      <c r="L50" s="238">
        <f t="shared" si="10"/>
        <v>0</v>
      </c>
      <c r="M50" s="239">
        <v>0</v>
      </c>
      <c r="N50" s="238">
        <f t="shared" si="11"/>
        <v>0</v>
      </c>
      <c r="O50" s="239">
        <v>0</v>
      </c>
      <c r="P50" s="238">
        <f t="shared" si="12"/>
        <v>0</v>
      </c>
      <c r="Q50" s="239">
        <v>0</v>
      </c>
      <c r="R50" s="238">
        <f t="shared" si="13"/>
        <v>0</v>
      </c>
      <c r="S50" s="239">
        <v>0</v>
      </c>
      <c r="T50" s="238">
        <f t="shared" si="14"/>
        <v>0</v>
      </c>
      <c r="U50" s="239">
        <v>0</v>
      </c>
      <c r="V50" s="238">
        <f t="shared" si="15"/>
        <v>0</v>
      </c>
      <c r="W50" s="239">
        <v>0</v>
      </c>
      <c r="X50" s="238">
        <f t="shared" si="16"/>
        <v>0</v>
      </c>
      <c r="Y50" s="239">
        <v>0</v>
      </c>
      <c r="Z50" s="238">
        <f t="shared" si="17"/>
        <v>0</v>
      </c>
      <c r="AA50" s="239">
        <v>0</v>
      </c>
      <c r="AB50" s="238">
        <f t="shared" si="18"/>
        <v>0</v>
      </c>
      <c r="AC50" s="239">
        <v>0</v>
      </c>
      <c r="AD50" s="238">
        <f t="shared" si="19"/>
        <v>0</v>
      </c>
      <c r="AE50" s="239">
        <v>0</v>
      </c>
      <c r="AF50" s="238">
        <f t="shared" si="20"/>
        <v>0</v>
      </c>
      <c r="AG50" s="239">
        <v>0</v>
      </c>
      <c r="AH50" s="238">
        <f t="shared" si="21"/>
        <v>0</v>
      </c>
      <c r="AI50" s="239">
        <v>0</v>
      </c>
      <c r="AJ50" s="238">
        <f t="shared" si="22"/>
        <v>0</v>
      </c>
      <c r="AK50" s="239">
        <v>0</v>
      </c>
      <c r="AL50" s="238">
        <f t="shared" si="23"/>
        <v>0</v>
      </c>
      <c r="AM50" s="239">
        <v>0</v>
      </c>
      <c r="AN50" s="238">
        <f t="shared" si="24"/>
        <v>0</v>
      </c>
      <c r="AO50" s="239">
        <v>0</v>
      </c>
      <c r="AP50" s="238">
        <f t="shared" si="25"/>
        <v>0</v>
      </c>
      <c r="AQ50" s="239">
        <v>0</v>
      </c>
      <c r="AR50" s="238">
        <f t="shared" si="26"/>
        <v>0</v>
      </c>
      <c r="AS50" s="239">
        <v>0</v>
      </c>
      <c r="AT50" s="238">
        <f t="shared" si="27"/>
        <v>0</v>
      </c>
      <c r="AU50" s="239">
        <v>0</v>
      </c>
      <c r="AV50" s="238">
        <f t="shared" si="28"/>
        <v>0</v>
      </c>
      <c r="AW50" s="239">
        <v>0</v>
      </c>
      <c r="AX50" s="238">
        <f t="shared" si="29"/>
        <v>0</v>
      </c>
      <c r="AY50" s="239">
        <v>0</v>
      </c>
      <c r="AZ50" s="238">
        <f t="shared" si="30"/>
        <v>0</v>
      </c>
      <c r="BA50" s="239">
        <v>0</v>
      </c>
      <c r="BB50" s="238">
        <f t="shared" si="31"/>
        <v>0</v>
      </c>
      <c r="BC50" s="239">
        <v>0</v>
      </c>
      <c r="BD50" s="238">
        <f t="shared" si="32"/>
        <v>0</v>
      </c>
      <c r="BE50" s="239">
        <v>0</v>
      </c>
      <c r="BF50" s="238">
        <f t="shared" si="33"/>
        <v>0</v>
      </c>
      <c r="BG50" s="239">
        <v>0</v>
      </c>
      <c r="BH50" s="238">
        <f t="shared" si="34"/>
        <v>0</v>
      </c>
      <c r="BI50" s="239">
        <v>0</v>
      </c>
      <c r="BJ50" s="238">
        <f t="shared" si="35"/>
        <v>0</v>
      </c>
      <c r="BK50" s="239">
        <v>0</v>
      </c>
      <c r="BL50" s="238">
        <f t="shared" si="36"/>
        <v>0</v>
      </c>
      <c r="BM50" s="239">
        <v>0</v>
      </c>
      <c r="BN50" s="238">
        <f t="shared" si="37"/>
        <v>0</v>
      </c>
      <c r="BO50" s="239">
        <v>0</v>
      </c>
      <c r="BP50" s="238">
        <f t="shared" si="38"/>
        <v>0</v>
      </c>
      <c r="BQ50" s="239">
        <v>0</v>
      </c>
      <c r="BR50" s="238">
        <f t="shared" si="39"/>
        <v>0</v>
      </c>
      <c r="BS50" s="225"/>
      <c r="BT50" s="239">
        <f t="shared" si="4"/>
        <v>125458</v>
      </c>
      <c r="BU50" s="238">
        <f t="shared" si="5"/>
        <v>4955591</v>
      </c>
    </row>
    <row r="51" spans="1:73" ht="14.25">
      <c r="A51" s="241">
        <v>1984</v>
      </c>
      <c r="B51" s="240">
        <f t="shared" si="3"/>
        <v>38.5</v>
      </c>
      <c r="C51" s="239">
        <v>0</v>
      </c>
      <c r="D51" s="238">
        <f t="shared" si="6"/>
        <v>0</v>
      </c>
      <c r="E51" s="239">
        <v>0</v>
      </c>
      <c r="F51" s="238">
        <f t="shared" si="7"/>
        <v>0</v>
      </c>
      <c r="G51" s="239">
        <v>150317.57999999999</v>
      </c>
      <c r="H51" s="238">
        <f t="shared" si="8"/>
        <v>5787226.8299999991</v>
      </c>
      <c r="I51" s="239">
        <v>0</v>
      </c>
      <c r="J51" s="238">
        <f t="shared" si="9"/>
        <v>0</v>
      </c>
      <c r="K51" s="239">
        <v>0</v>
      </c>
      <c r="L51" s="238">
        <f t="shared" si="10"/>
        <v>0</v>
      </c>
      <c r="M51" s="239">
        <v>0</v>
      </c>
      <c r="N51" s="238">
        <f t="shared" si="11"/>
        <v>0</v>
      </c>
      <c r="O51" s="239">
        <v>0</v>
      </c>
      <c r="P51" s="238">
        <f t="shared" si="12"/>
        <v>0</v>
      </c>
      <c r="Q51" s="239">
        <v>0</v>
      </c>
      <c r="R51" s="238">
        <f t="shared" si="13"/>
        <v>0</v>
      </c>
      <c r="S51" s="239">
        <v>0</v>
      </c>
      <c r="T51" s="238">
        <f t="shared" si="14"/>
        <v>0</v>
      </c>
      <c r="U51" s="239">
        <v>0</v>
      </c>
      <c r="V51" s="238">
        <f t="shared" si="15"/>
        <v>0</v>
      </c>
      <c r="W51" s="239">
        <v>0</v>
      </c>
      <c r="X51" s="238">
        <f t="shared" si="16"/>
        <v>0</v>
      </c>
      <c r="Y51" s="239">
        <v>0</v>
      </c>
      <c r="Z51" s="238">
        <f t="shared" si="17"/>
        <v>0</v>
      </c>
      <c r="AA51" s="239">
        <v>0</v>
      </c>
      <c r="AB51" s="238">
        <f t="shared" si="18"/>
        <v>0</v>
      </c>
      <c r="AC51" s="239">
        <v>0</v>
      </c>
      <c r="AD51" s="238">
        <f t="shared" si="19"/>
        <v>0</v>
      </c>
      <c r="AE51" s="239">
        <v>0</v>
      </c>
      <c r="AF51" s="238">
        <f t="shared" si="20"/>
        <v>0</v>
      </c>
      <c r="AG51" s="239">
        <v>0</v>
      </c>
      <c r="AH51" s="238">
        <f t="shared" si="21"/>
        <v>0</v>
      </c>
      <c r="AI51" s="239">
        <v>0</v>
      </c>
      <c r="AJ51" s="238">
        <f t="shared" si="22"/>
        <v>0</v>
      </c>
      <c r="AK51" s="239">
        <v>0</v>
      </c>
      <c r="AL51" s="238">
        <f t="shared" si="23"/>
        <v>0</v>
      </c>
      <c r="AM51" s="239">
        <v>0</v>
      </c>
      <c r="AN51" s="238">
        <f t="shared" si="24"/>
        <v>0</v>
      </c>
      <c r="AO51" s="239">
        <v>0</v>
      </c>
      <c r="AP51" s="238">
        <f t="shared" si="25"/>
        <v>0</v>
      </c>
      <c r="AQ51" s="239">
        <v>0</v>
      </c>
      <c r="AR51" s="238">
        <f t="shared" si="26"/>
        <v>0</v>
      </c>
      <c r="AS51" s="239">
        <v>0</v>
      </c>
      <c r="AT51" s="238">
        <f t="shared" si="27"/>
        <v>0</v>
      </c>
      <c r="AU51" s="239">
        <v>0</v>
      </c>
      <c r="AV51" s="238">
        <f t="shared" si="28"/>
        <v>0</v>
      </c>
      <c r="AW51" s="239">
        <v>0</v>
      </c>
      <c r="AX51" s="238">
        <f t="shared" si="29"/>
        <v>0</v>
      </c>
      <c r="AY51" s="239">
        <v>0</v>
      </c>
      <c r="AZ51" s="238">
        <f t="shared" si="30"/>
        <v>0</v>
      </c>
      <c r="BA51" s="239">
        <v>0</v>
      </c>
      <c r="BB51" s="238">
        <f t="shared" si="31"/>
        <v>0</v>
      </c>
      <c r="BC51" s="239">
        <v>0</v>
      </c>
      <c r="BD51" s="238">
        <f t="shared" si="32"/>
        <v>0</v>
      </c>
      <c r="BE51" s="239">
        <v>0</v>
      </c>
      <c r="BF51" s="238">
        <f t="shared" si="33"/>
        <v>0</v>
      </c>
      <c r="BG51" s="239">
        <v>0</v>
      </c>
      <c r="BH51" s="238">
        <f t="shared" si="34"/>
        <v>0</v>
      </c>
      <c r="BI51" s="239">
        <v>0</v>
      </c>
      <c r="BJ51" s="238">
        <f t="shared" si="35"/>
        <v>0</v>
      </c>
      <c r="BK51" s="239">
        <v>0</v>
      </c>
      <c r="BL51" s="238">
        <f t="shared" si="36"/>
        <v>0</v>
      </c>
      <c r="BM51" s="239">
        <v>0</v>
      </c>
      <c r="BN51" s="238">
        <f t="shared" si="37"/>
        <v>0</v>
      </c>
      <c r="BO51" s="239">
        <v>0</v>
      </c>
      <c r="BP51" s="238">
        <f t="shared" si="38"/>
        <v>0</v>
      </c>
      <c r="BQ51" s="239">
        <v>0</v>
      </c>
      <c r="BR51" s="238">
        <f t="shared" si="39"/>
        <v>0</v>
      </c>
      <c r="BS51" s="225"/>
      <c r="BT51" s="239">
        <f t="shared" si="4"/>
        <v>150318</v>
      </c>
      <c r="BU51" s="238">
        <f t="shared" si="5"/>
        <v>5787243</v>
      </c>
    </row>
    <row r="52" spans="1:73" ht="14.25">
      <c r="A52" s="241">
        <v>1985</v>
      </c>
      <c r="B52" s="240">
        <f t="shared" si="3"/>
        <v>37.5</v>
      </c>
      <c r="C52" s="239">
        <v>0</v>
      </c>
      <c r="D52" s="238">
        <f t="shared" si="6"/>
        <v>0</v>
      </c>
      <c r="E52" s="239">
        <v>0</v>
      </c>
      <c r="F52" s="238">
        <f t="shared" si="7"/>
        <v>0</v>
      </c>
      <c r="G52" s="239">
        <v>164117.60000000003</v>
      </c>
      <c r="H52" s="238">
        <f t="shared" si="8"/>
        <v>6154410.0000000009</v>
      </c>
      <c r="I52" s="239">
        <v>0</v>
      </c>
      <c r="J52" s="238">
        <f t="shared" si="9"/>
        <v>0</v>
      </c>
      <c r="K52" s="239">
        <v>0</v>
      </c>
      <c r="L52" s="238">
        <f t="shared" si="10"/>
        <v>0</v>
      </c>
      <c r="M52" s="239">
        <v>0</v>
      </c>
      <c r="N52" s="238">
        <f t="shared" si="11"/>
        <v>0</v>
      </c>
      <c r="O52" s="239">
        <v>0</v>
      </c>
      <c r="P52" s="238">
        <f t="shared" si="12"/>
        <v>0</v>
      </c>
      <c r="Q52" s="239">
        <v>0</v>
      </c>
      <c r="R52" s="238">
        <f t="shared" si="13"/>
        <v>0</v>
      </c>
      <c r="S52" s="239">
        <v>0</v>
      </c>
      <c r="T52" s="238">
        <f t="shared" si="14"/>
        <v>0</v>
      </c>
      <c r="U52" s="239">
        <v>0</v>
      </c>
      <c r="V52" s="238">
        <f t="shared" si="15"/>
        <v>0</v>
      </c>
      <c r="W52" s="239">
        <v>0</v>
      </c>
      <c r="X52" s="238">
        <f t="shared" si="16"/>
        <v>0</v>
      </c>
      <c r="Y52" s="239">
        <v>0</v>
      </c>
      <c r="Z52" s="238">
        <f t="shared" si="17"/>
        <v>0</v>
      </c>
      <c r="AA52" s="239">
        <v>0</v>
      </c>
      <c r="AB52" s="238">
        <f t="shared" si="18"/>
        <v>0</v>
      </c>
      <c r="AC52" s="239">
        <v>0</v>
      </c>
      <c r="AD52" s="238">
        <f t="shared" si="19"/>
        <v>0</v>
      </c>
      <c r="AE52" s="239">
        <v>0</v>
      </c>
      <c r="AF52" s="238">
        <f t="shared" si="20"/>
        <v>0</v>
      </c>
      <c r="AG52" s="239">
        <v>0</v>
      </c>
      <c r="AH52" s="238">
        <f t="shared" si="21"/>
        <v>0</v>
      </c>
      <c r="AI52" s="239">
        <v>0</v>
      </c>
      <c r="AJ52" s="238">
        <f t="shared" si="22"/>
        <v>0</v>
      </c>
      <c r="AK52" s="239">
        <v>0</v>
      </c>
      <c r="AL52" s="238">
        <f t="shared" si="23"/>
        <v>0</v>
      </c>
      <c r="AM52" s="239">
        <v>0</v>
      </c>
      <c r="AN52" s="238">
        <f t="shared" si="24"/>
        <v>0</v>
      </c>
      <c r="AO52" s="239">
        <v>0</v>
      </c>
      <c r="AP52" s="238">
        <f t="shared" si="25"/>
        <v>0</v>
      </c>
      <c r="AQ52" s="239">
        <v>0</v>
      </c>
      <c r="AR52" s="238">
        <f t="shared" si="26"/>
        <v>0</v>
      </c>
      <c r="AS52" s="239">
        <v>0</v>
      </c>
      <c r="AT52" s="238">
        <f t="shared" si="27"/>
        <v>0</v>
      </c>
      <c r="AU52" s="239">
        <v>0</v>
      </c>
      <c r="AV52" s="238">
        <f t="shared" si="28"/>
        <v>0</v>
      </c>
      <c r="AW52" s="239">
        <v>0</v>
      </c>
      <c r="AX52" s="238">
        <f t="shared" si="29"/>
        <v>0</v>
      </c>
      <c r="AY52" s="239">
        <v>0</v>
      </c>
      <c r="AZ52" s="238">
        <f t="shared" si="30"/>
        <v>0</v>
      </c>
      <c r="BA52" s="239">
        <v>0</v>
      </c>
      <c r="BB52" s="238">
        <f t="shared" si="31"/>
        <v>0</v>
      </c>
      <c r="BC52" s="239">
        <v>0</v>
      </c>
      <c r="BD52" s="238">
        <f t="shared" si="32"/>
        <v>0</v>
      </c>
      <c r="BE52" s="239">
        <v>0</v>
      </c>
      <c r="BF52" s="238">
        <f t="shared" si="33"/>
        <v>0</v>
      </c>
      <c r="BG52" s="239">
        <v>0</v>
      </c>
      <c r="BH52" s="238">
        <f t="shared" si="34"/>
        <v>0</v>
      </c>
      <c r="BI52" s="239">
        <v>0</v>
      </c>
      <c r="BJ52" s="238">
        <f t="shared" si="35"/>
        <v>0</v>
      </c>
      <c r="BK52" s="239">
        <v>0</v>
      </c>
      <c r="BL52" s="238">
        <f t="shared" si="36"/>
        <v>0</v>
      </c>
      <c r="BM52" s="239">
        <v>0</v>
      </c>
      <c r="BN52" s="238">
        <f t="shared" si="37"/>
        <v>0</v>
      </c>
      <c r="BO52" s="239">
        <v>0</v>
      </c>
      <c r="BP52" s="238">
        <f t="shared" si="38"/>
        <v>0</v>
      </c>
      <c r="BQ52" s="239">
        <v>0</v>
      </c>
      <c r="BR52" s="238">
        <f t="shared" si="39"/>
        <v>0</v>
      </c>
      <c r="BS52" s="225"/>
      <c r="BT52" s="239">
        <f t="shared" si="4"/>
        <v>164118</v>
      </c>
      <c r="BU52" s="238">
        <f t="shared" si="5"/>
        <v>6154425</v>
      </c>
    </row>
    <row r="53" spans="1:73" ht="14.25">
      <c r="A53" s="241">
        <v>1986</v>
      </c>
      <c r="B53" s="240">
        <f t="shared" si="3"/>
        <v>36.5</v>
      </c>
      <c r="C53" s="239">
        <v>0</v>
      </c>
      <c r="D53" s="238">
        <f t="shared" si="6"/>
        <v>0</v>
      </c>
      <c r="E53" s="239">
        <v>0</v>
      </c>
      <c r="F53" s="238">
        <f t="shared" si="7"/>
        <v>0</v>
      </c>
      <c r="G53" s="239">
        <v>67027.679999999993</v>
      </c>
      <c r="H53" s="238">
        <f t="shared" si="8"/>
        <v>2446510.3199999998</v>
      </c>
      <c r="I53" s="239">
        <v>0</v>
      </c>
      <c r="J53" s="238">
        <f t="shared" si="9"/>
        <v>0</v>
      </c>
      <c r="K53" s="239">
        <v>0</v>
      </c>
      <c r="L53" s="238">
        <f t="shared" si="10"/>
        <v>0</v>
      </c>
      <c r="M53" s="239">
        <v>0</v>
      </c>
      <c r="N53" s="238">
        <f t="shared" si="11"/>
        <v>0</v>
      </c>
      <c r="O53" s="239">
        <v>0</v>
      </c>
      <c r="P53" s="238">
        <f t="shared" si="12"/>
        <v>0</v>
      </c>
      <c r="Q53" s="239">
        <v>0</v>
      </c>
      <c r="R53" s="238">
        <f t="shared" si="13"/>
        <v>0</v>
      </c>
      <c r="S53" s="239">
        <v>0</v>
      </c>
      <c r="T53" s="238">
        <f t="shared" si="14"/>
        <v>0</v>
      </c>
      <c r="U53" s="239">
        <v>0</v>
      </c>
      <c r="V53" s="238">
        <f t="shared" si="15"/>
        <v>0</v>
      </c>
      <c r="W53" s="239">
        <v>0</v>
      </c>
      <c r="X53" s="238">
        <f t="shared" si="16"/>
        <v>0</v>
      </c>
      <c r="Y53" s="239">
        <v>0</v>
      </c>
      <c r="Z53" s="238">
        <f t="shared" si="17"/>
        <v>0</v>
      </c>
      <c r="AA53" s="239">
        <v>0</v>
      </c>
      <c r="AB53" s="238">
        <f t="shared" si="18"/>
        <v>0</v>
      </c>
      <c r="AC53" s="239">
        <v>0</v>
      </c>
      <c r="AD53" s="238">
        <f t="shared" si="19"/>
        <v>0</v>
      </c>
      <c r="AE53" s="239">
        <v>0</v>
      </c>
      <c r="AF53" s="238">
        <f t="shared" si="20"/>
        <v>0</v>
      </c>
      <c r="AG53" s="239">
        <v>0</v>
      </c>
      <c r="AH53" s="238">
        <f t="shared" si="21"/>
        <v>0</v>
      </c>
      <c r="AI53" s="239">
        <v>0</v>
      </c>
      <c r="AJ53" s="238">
        <f t="shared" si="22"/>
        <v>0</v>
      </c>
      <c r="AK53" s="239">
        <v>0</v>
      </c>
      <c r="AL53" s="238">
        <f t="shared" si="23"/>
        <v>0</v>
      </c>
      <c r="AM53" s="239">
        <v>0</v>
      </c>
      <c r="AN53" s="238">
        <f t="shared" si="24"/>
        <v>0</v>
      </c>
      <c r="AO53" s="239">
        <v>0</v>
      </c>
      <c r="AP53" s="238">
        <f t="shared" si="25"/>
        <v>0</v>
      </c>
      <c r="AQ53" s="239">
        <v>0</v>
      </c>
      <c r="AR53" s="238">
        <f t="shared" si="26"/>
        <v>0</v>
      </c>
      <c r="AS53" s="239">
        <v>0</v>
      </c>
      <c r="AT53" s="238">
        <f t="shared" si="27"/>
        <v>0</v>
      </c>
      <c r="AU53" s="239">
        <v>0</v>
      </c>
      <c r="AV53" s="238">
        <f t="shared" si="28"/>
        <v>0</v>
      </c>
      <c r="AW53" s="239">
        <v>0</v>
      </c>
      <c r="AX53" s="238">
        <f t="shared" si="29"/>
        <v>0</v>
      </c>
      <c r="AY53" s="239">
        <v>0</v>
      </c>
      <c r="AZ53" s="238">
        <f t="shared" si="30"/>
        <v>0</v>
      </c>
      <c r="BA53" s="239">
        <v>0</v>
      </c>
      <c r="BB53" s="238">
        <f t="shared" si="31"/>
        <v>0</v>
      </c>
      <c r="BC53" s="239">
        <v>0</v>
      </c>
      <c r="BD53" s="238">
        <f t="shared" si="32"/>
        <v>0</v>
      </c>
      <c r="BE53" s="239">
        <v>0</v>
      </c>
      <c r="BF53" s="238">
        <f t="shared" si="33"/>
        <v>0</v>
      </c>
      <c r="BG53" s="239">
        <v>0</v>
      </c>
      <c r="BH53" s="238">
        <f t="shared" si="34"/>
        <v>0</v>
      </c>
      <c r="BI53" s="239">
        <v>0</v>
      </c>
      <c r="BJ53" s="238">
        <f t="shared" si="35"/>
        <v>0</v>
      </c>
      <c r="BK53" s="239">
        <v>0</v>
      </c>
      <c r="BL53" s="238">
        <f t="shared" si="36"/>
        <v>0</v>
      </c>
      <c r="BM53" s="239">
        <v>0</v>
      </c>
      <c r="BN53" s="238">
        <f t="shared" si="37"/>
        <v>0</v>
      </c>
      <c r="BO53" s="239">
        <v>0</v>
      </c>
      <c r="BP53" s="238">
        <f t="shared" si="38"/>
        <v>0</v>
      </c>
      <c r="BQ53" s="239">
        <v>0</v>
      </c>
      <c r="BR53" s="238">
        <f t="shared" si="39"/>
        <v>0</v>
      </c>
      <c r="BS53" s="225"/>
      <c r="BT53" s="239">
        <f t="shared" si="4"/>
        <v>67028</v>
      </c>
      <c r="BU53" s="238">
        <f t="shared" si="5"/>
        <v>2446522</v>
      </c>
    </row>
    <row r="54" spans="1:73" ht="14.25">
      <c r="A54" s="241">
        <v>1987</v>
      </c>
      <c r="B54" s="240">
        <f t="shared" si="3"/>
        <v>35.5</v>
      </c>
      <c r="C54" s="239">
        <v>0</v>
      </c>
      <c r="D54" s="238">
        <f t="shared" si="6"/>
        <v>0</v>
      </c>
      <c r="E54" s="239">
        <v>0</v>
      </c>
      <c r="F54" s="238">
        <f t="shared" si="7"/>
        <v>0</v>
      </c>
      <c r="G54" s="239">
        <v>6565.4900000000025</v>
      </c>
      <c r="H54" s="238">
        <f t="shared" si="8"/>
        <v>233074.89500000008</v>
      </c>
      <c r="I54" s="239">
        <v>0</v>
      </c>
      <c r="J54" s="238">
        <f t="shared" si="9"/>
        <v>0</v>
      </c>
      <c r="K54" s="239">
        <v>0</v>
      </c>
      <c r="L54" s="238">
        <f t="shared" si="10"/>
        <v>0</v>
      </c>
      <c r="M54" s="239">
        <v>0</v>
      </c>
      <c r="N54" s="238">
        <f t="shared" si="11"/>
        <v>0</v>
      </c>
      <c r="O54" s="239">
        <v>0</v>
      </c>
      <c r="P54" s="238">
        <f t="shared" si="12"/>
        <v>0</v>
      </c>
      <c r="Q54" s="239">
        <v>0</v>
      </c>
      <c r="R54" s="238">
        <f t="shared" si="13"/>
        <v>0</v>
      </c>
      <c r="S54" s="239">
        <v>0</v>
      </c>
      <c r="T54" s="238">
        <f t="shared" si="14"/>
        <v>0</v>
      </c>
      <c r="U54" s="239">
        <v>0</v>
      </c>
      <c r="V54" s="238">
        <f t="shared" si="15"/>
        <v>0</v>
      </c>
      <c r="W54" s="239">
        <v>0</v>
      </c>
      <c r="X54" s="238">
        <f t="shared" si="16"/>
        <v>0</v>
      </c>
      <c r="Y54" s="239">
        <v>0</v>
      </c>
      <c r="Z54" s="238">
        <f t="shared" si="17"/>
        <v>0</v>
      </c>
      <c r="AA54" s="239">
        <v>0</v>
      </c>
      <c r="AB54" s="238">
        <f t="shared" si="18"/>
        <v>0</v>
      </c>
      <c r="AC54" s="239">
        <v>0</v>
      </c>
      <c r="AD54" s="238">
        <f t="shared" si="19"/>
        <v>0</v>
      </c>
      <c r="AE54" s="239">
        <v>0</v>
      </c>
      <c r="AF54" s="238">
        <f t="shared" si="20"/>
        <v>0</v>
      </c>
      <c r="AG54" s="239">
        <v>0</v>
      </c>
      <c r="AH54" s="238">
        <f t="shared" si="21"/>
        <v>0</v>
      </c>
      <c r="AI54" s="239">
        <v>0</v>
      </c>
      <c r="AJ54" s="238">
        <f t="shared" si="22"/>
        <v>0</v>
      </c>
      <c r="AK54" s="239">
        <v>0</v>
      </c>
      <c r="AL54" s="238">
        <f t="shared" si="23"/>
        <v>0</v>
      </c>
      <c r="AM54" s="239">
        <v>0</v>
      </c>
      <c r="AN54" s="238">
        <f t="shared" si="24"/>
        <v>0</v>
      </c>
      <c r="AO54" s="239">
        <v>0</v>
      </c>
      <c r="AP54" s="238">
        <f t="shared" si="25"/>
        <v>0</v>
      </c>
      <c r="AQ54" s="239">
        <v>0</v>
      </c>
      <c r="AR54" s="238">
        <f t="shared" si="26"/>
        <v>0</v>
      </c>
      <c r="AS54" s="239">
        <v>0</v>
      </c>
      <c r="AT54" s="238">
        <f t="shared" si="27"/>
        <v>0</v>
      </c>
      <c r="AU54" s="239">
        <v>0</v>
      </c>
      <c r="AV54" s="238">
        <f t="shared" si="28"/>
        <v>0</v>
      </c>
      <c r="AW54" s="239">
        <v>0</v>
      </c>
      <c r="AX54" s="238">
        <f t="shared" si="29"/>
        <v>0</v>
      </c>
      <c r="AY54" s="239">
        <v>0</v>
      </c>
      <c r="AZ54" s="238">
        <f t="shared" si="30"/>
        <v>0</v>
      </c>
      <c r="BA54" s="239">
        <v>0</v>
      </c>
      <c r="BB54" s="238">
        <f t="shared" si="31"/>
        <v>0</v>
      </c>
      <c r="BC54" s="239">
        <v>0</v>
      </c>
      <c r="BD54" s="238">
        <f t="shared" si="32"/>
        <v>0</v>
      </c>
      <c r="BE54" s="239">
        <v>0</v>
      </c>
      <c r="BF54" s="238">
        <f t="shared" si="33"/>
        <v>0</v>
      </c>
      <c r="BG54" s="239">
        <v>0</v>
      </c>
      <c r="BH54" s="238">
        <f t="shared" si="34"/>
        <v>0</v>
      </c>
      <c r="BI54" s="239">
        <v>0</v>
      </c>
      <c r="BJ54" s="238">
        <f t="shared" si="35"/>
        <v>0</v>
      </c>
      <c r="BK54" s="239">
        <v>0</v>
      </c>
      <c r="BL54" s="238">
        <f t="shared" si="36"/>
        <v>0</v>
      </c>
      <c r="BM54" s="239">
        <v>0</v>
      </c>
      <c r="BN54" s="238">
        <f t="shared" si="37"/>
        <v>0</v>
      </c>
      <c r="BO54" s="239">
        <v>0</v>
      </c>
      <c r="BP54" s="238">
        <f t="shared" si="38"/>
        <v>0</v>
      </c>
      <c r="BQ54" s="239">
        <v>0</v>
      </c>
      <c r="BR54" s="238">
        <f t="shared" si="39"/>
        <v>0</v>
      </c>
      <c r="BS54" s="225"/>
      <c r="BT54" s="239">
        <f t="shared" si="4"/>
        <v>6565</v>
      </c>
      <c r="BU54" s="238">
        <f t="shared" si="5"/>
        <v>233057.5</v>
      </c>
    </row>
    <row r="55" spans="1:73" ht="14.25">
      <c r="A55" s="241">
        <v>1988</v>
      </c>
      <c r="B55" s="240">
        <f t="shared" si="3"/>
        <v>34.5</v>
      </c>
      <c r="C55" s="239">
        <v>0</v>
      </c>
      <c r="D55" s="238">
        <f t="shared" si="6"/>
        <v>0</v>
      </c>
      <c r="E55" s="239">
        <v>0</v>
      </c>
      <c r="F55" s="238">
        <f t="shared" si="7"/>
        <v>0</v>
      </c>
      <c r="G55" s="239">
        <v>90548.660000000018</v>
      </c>
      <c r="H55" s="238">
        <f t="shared" si="8"/>
        <v>3123928.7700000005</v>
      </c>
      <c r="I55" s="239">
        <v>0</v>
      </c>
      <c r="J55" s="238">
        <f t="shared" si="9"/>
        <v>0</v>
      </c>
      <c r="K55" s="239">
        <v>0</v>
      </c>
      <c r="L55" s="238">
        <f t="shared" si="10"/>
        <v>0</v>
      </c>
      <c r="M55" s="239">
        <v>0</v>
      </c>
      <c r="N55" s="238">
        <f t="shared" si="11"/>
        <v>0</v>
      </c>
      <c r="O55" s="239">
        <v>0</v>
      </c>
      <c r="P55" s="238">
        <f t="shared" si="12"/>
        <v>0</v>
      </c>
      <c r="Q55" s="239">
        <v>0</v>
      </c>
      <c r="R55" s="238">
        <f t="shared" si="13"/>
        <v>0</v>
      </c>
      <c r="S55" s="239">
        <v>0</v>
      </c>
      <c r="T55" s="238">
        <f t="shared" si="14"/>
        <v>0</v>
      </c>
      <c r="U55" s="239">
        <v>0</v>
      </c>
      <c r="V55" s="238">
        <f t="shared" si="15"/>
        <v>0</v>
      </c>
      <c r="W55" s="239">
        <v>0</v>
      </c>
      <c r="X55" s="238">
        <f t="shared" si="16"/>
        <v>0</v>
      </c>
      <c r="Y55" s="239">
        <v>0</v>
      </c>
      <c r="Z55" s="238">
        <f t="shared" si="17"/>
        <v>0</v>
      </c>
      <c r="AA55" s="239">
        <v>0</v>
      </c>
      <c r="AB55" s="238">
        <f t="shared" si="18"/>
        <v>0</v>
      </c>
      <c r="AC55" s="239">
        <v>0</v>
      </c>
      <c r="AD55" s="238">
        <f t="shared" si="19"/>
        <v>0</v>
      </c>
      <c r="AE55" s="239">
        <v>0</v>
      </c>
      <c r="AF55" s="238">
        <f t="shared" si="20"/>
        <v>0</v>
      </c>
      <c r="AG55" s="239">
        <v>0</v>
      </c>
      <c r="AH55" s="238">
        <f t="shared" si="21"/>
        <v>0</v>
      </c>
      <c r="AI55" s="239">
        <v>0</v>
      </c>
      <c r="AJ55" s="238">
        <f t="shared" si="22"/>
        <v>0</v>
      </c>
      <c r="AK55" s="239">
        <v>0</v>
      </c>
      <c r="AL55" s="238">
        <f t="shared" si="23"/>
        <v>0</v>
      </c>
      <c r="AM55" s="239">
        <v>0</v>
      </c>
      <c r="AN55" s="238">
        <f t="shared" si="24"/>
        <v>0</v>
      </c>
      <c r="AO55" s="239">
        <v>0</v>
      </c>
      <c r="AP55" s="238">
        <f t="shared" si="25"/>
        <v>0</v>
      </c>
      <c r="AQ55" s="239">
        <v>0</v>
      </c>
      <c r="AR55" s="238">
        <f t="shared" si="26"/>
        <v>0</v>
      </c>
      <c r="AS55" s="239">
        <v>0</v>
      </c>
      <c r="AT55" s="238">
        <f t="shared" si="27"/>
        <v>0</v>
      </c>
      <c r="AU55" s="239">
        <v>0</v>
      </c>
      <c r="AV55" s="238">
        <f t="shared" si="28"/>
        <v>0</v>
      </c>
      <c r="AW55" s="239">
        <v>0</v>
      </c>
      <c r="AX55" s="238">
        <f t="shared" si="29"/>
        <v>0</v>
      </c>
      <c r="AY55" s="239">
        <v>0</v>
      </c>
      <c r="AZ55" s="238">
        <f t="shared" si="30"/>
        <v>0</v>
      </c>
      <c r="BA55" s="239">
        <v>0</v>
      </c>
      <c r="BB55" s="238">
        <f t="shared" si="31"/>
        <v>0</v>
      </c>
      <c r="BC55" s="239">
        <v>0</v>
      </c>
      <c r="BD55" s="238">
        <f t="shared" si="32"/>
        <v>0</v>
      </c>
      <c r="BE55" s="239">
        <v>0</v>
      </c>
      <c r="BF55" s="238">
        <f t="shared" si="33"/>
        <v>0</v>
      </c>
      <c r="BG55" s="239">
        <v>0</v>
      </c>
      <c r="BH55" s="238">
        <f t="shared" si="34"/>
        <v>0</v>
      </c>
      <c r="BI55" s="239">
        <v>0</v>
      </c>
      <c r="BJ55" s="238">
        <f t="shared" si="35"/>
        <v>0</v>
      </c>
      <c r="BK55" s="239">
        <v>0</v>
      </c>
      <c r="BL55" s="238">
        <f t="shared" si="36"/>
        <v>0</v>
      </c>
      <c r="BM55" s="239">
        <v>0</v>
      </c>
      <c r="BN55" s="238">
        <f t="shared" si="37"/>
        <v>0</v>
      </c>
      <c r="BO55" s="239">
        <v>0</v>
      </c>
      <c r="BP55" s="238">
        <f t="shared" si="38"/>
        <v>0</v>
      </c>
      <c r="BQ55" s="239">
        <v>0</v>
      </c>
      <c r="BR55" s="238">
        <f t="shared" si="39"/>
        <v>0</v>
      </c>
      <c r="BS55" s="225"/>
      <c r="BT55" s="239">
        <f t="shared" si="4"/>
        <v>90549</v>
      </c>
      <c r="BU55" s="238">
        <f t="shared" si="5"/>
        <v>3123940.5</v>
      </c>
    </row>
    <row r="56" spans="1:73" ht="14.25">
      <c r="A56" s="241">
        <v>1989</v>
      </c>
      <c r="B56" s="240">
        <f t="shared" si="3"/>
        <v>33.5</v>
      </c>
      <c r="C56" s="239">
        <v>0</v>
      </c>
      <c r="D56" s="238">
        <f t="shared" si="6"/>
        <v>0</v>
      </c>
      <c r="E56" s="239">
        <v>0</v>
      </c>
      <c r="F56" s="238">
        <f t="shared" si="7"/>
        <v>0</v>
      </c>
      <c r="G56" s="239">
        <v>104362.23999999999</v>
      </c>
      <c r="H56" s="238">
        <f t="shared" si="8"/>
        <v>3496135.0399999996</v>
      </c>
      <c r="I56" s="239">
        <v>0</v>
      </c>
      <c r="J56" s="238">
        <f t="shared" si="9"/>
        <v>0</v>
      </c>
      <c r="K56" s="239">
        <v>0</v>
      </c>
      <c r="L56" s="238">
        <f t="shared" si="10"/>
        <v>0</v>
      </c>
      <c r="M56" s="239">
        <v>0</v>
      </c>
      <c r="N56" s="238">
        <f t="shared" si="11"/>
        <v>0</v>
      </c>
      <c r="O56" s="239">
        <v>0</v>
      </c>
      <c r="P56" s="238">
        <f t="shared" si="12"/>
        <v>0</v>
      </c>
      <c r="Q56" s="239">
        <v>0</v>
      </c>
      <c r="R56" s="238">
        <f t="shared" si="13"/>
        <v>0</v>
      </c>
      <c r="S56" s="239">
        <v>0</v>
      </c>
      <c r="T56" s="238">
        <f t="shared" si="14"/>
        <v>0</v>
      </c>
      <c r="U56" s="239">
        <v>0</v>
      </c>
      <c r="V56" s="238">
        <f t="shared" si="15"/>
        <v>0</v>
      </c>
      <c r="W56" s="239">
        <v>0</v>
      </c>
      <c r="X56" s="238">
        <f t="shared" si="16"/>
        <v>0</v>
      </c>
      <c r="Y56" s="239">
        <v>0</v>
      </c>
      <c r="Z56" s="238">
        <f t="shared" si="17"/>
        <v>0</v>
      </c>
      <c r="AA56" s="239">
        <v>0</v>
      </c>
      <c r="AB56" s="238">
        <f t="shared" si="18"/>
        <v>0</v>
      </c>
      <c r="AC56" s="239">
        <v>0</v>
      </c>
      <c r="AD56" s="238">
        <f t="shared" si="19"/>
        <v>0</v>
      </c>
      <c r="AE56" s="239">
        <v>0</v>
      </c>
      <c r="AF56" s="238">
        <f t="shared" si="20"/>
        <v>0</v>
      </c>
      <c r="AG56" s="239">
        <v>0</v>
      </c>
      <c r="AH56" s="238">
        <f t="shared" si="21"/>
        <v>0</v>
      </c>
      <c r="AI56" s="239">
        <v>20596.560000000001</v>
      </c>
      <c r="AJ56" s="238">
        <f t="shared" si="22"/>
        <v>689984.76000000001</v>
      </c>
      <c r="AK56" s="239">
        <v>0</v>
      </c>
      <c r="AL56" s="238">
        <f t="shared" si="23"/>
        <v>0</v>
      </c>
      <c r="AM56" s="239">
        <v>0</v>
      </c>
      <c r="AN56" s="238">
        <f t="shared" si="24"/>
        <v>0</v>
      </c>
      <c r="AO56" s="239">
        <v>0</v>
      </c>
      <c r="AP56" s="238">
        <f t="shared" si="25"/>
        <v>0</v>
      </c>
      <c r="AQ56" s="239">
        <v>0</v>
      </c>
      <c r="AR56" s="238">
        <f t="shared" si="26"/>
        <v>0</v>
      </c>
      <c r="AS56" s="239">
        <v>0</v>
      </c>
      <c r="AT56" s="238">
        <f t="shared" si="27"/>
        <v>0</v>
      </c>
      <c r="AU56" s="239">
        <v>0</v>
      </c>
      <c r="AV56" s="238">
        <f t="shared" si="28"/>
        <v>0</v>
      </c>
      <c r="AW56" s="239">
        <v>0</v>
      </c>
      <c r="AX56" s="238">
        <f t="shared" si="29"/>
        <v>0</v>
      </c>
      <c r="AY56" s="239">
        <v>0</v>
      </c>
      <c r="AZ56" s="238">
        <f t="shared" si="30"/>
        <v>0</v>
      </c>
      <c r="BA56" s="239">
        <v>0</v>
      </c>
      <c r="BB56" s="238">
        <f t="shared" si="31"/>
        <v>0</v>
      </c>
      <c r="BC56" s="239">
        <v>0</v>
      </c>
      <c r="BD56" s="238">
        <f t="shared" si="32"/>
        <v>0</v>
      </c>
      <c r="BE56" s="239">
        <v>0</v>
      </c>
      <c r="BF56" s="238">
        <f t="shared" si="33"/>
        <v>0</v>
      </c>
      <c r="BG56" s="239">
        <v>0</v>
      </c>
      <c r="BH56" s="238">
        <f t="shared" si="34"/>
        <v>0</v>
      </c>
      <c r="BI56" s="239">
        <v>0</v>
      </c>
      <c r="BJ56" s="238">
        <f t="shared" si="35"/>
        <v>0</v>
      </c>
      <c r="BK56" s="239">
        <v>0</v>
      </c>
      <c r="BL56" s="238">
        <f t="shared" si="36"/>
        <v>0</v>
      </c>
      <c r="BM56" s="239">
        <v>0</v>
      </c>
      <c r="BN56" s="238">
        <f t="shared" si="37"/>
        <v>0</v>
      </c>
      <c r="BO56" s="239">
        <v>0</v>
      </c>
      <c r="BP56" s="238">
        <f t="shared" si="38"/>
        <v>0</v>
      </c>
      <c r="BQ56" s="239">
        <v>0</v>
      </c>
      <c r="BR56" s="238">
        <f t="shared" si="39"/>
        <v>0</v>
      </c>
      <c r="BS56" s="225"/>
      <c r="BT56" s="239">
        <f t="shared" si="4"/>
        <v>124959</v>
      </c>
      <c r="BU56" s="238">
        <f t="shared" si="5"/>
        <v>4186126.5</v>
      </c>
    </row>
    <row r="57" spans="1:73" ht="14.25">
      <c r="A57" s="241">
        <v>1990</v>
      </c>
      <c r="B57" s="240">
        <f t="shared" si="3"/>
        <v>32.5</v>
      </c>
      <c r="C57" s="239">
        <v>0</v>
      </c>
      <c r="D57" s="238">
        <f t="shared" si="6"/>
        <v>0</v>
      </c>
      <c r="E57" s="239">
        <v>0</v>
      </c>
      <c r="F57" s="238">
        <f t="shared" si="7"/>
        <v>0</v>
      </c>
      <c r="G57" s="239">
        <v>0</v>
      </c>
      <c r="H57" s="238">
        <f t="shared" si="8"/>
        <v>0</v>
      </c>
      <c r="I57" s="239">
        <v>0</v>
      </c>
      <c r="J57" s="238">
        <f t="shared" si="9"/>
        <v>0</v>
      </c>
      <c r="K57" s="239">
        <v>0</v>
      </c>
      <c r="L57" s="238">
        <f t="shared" si="10"/>
        <v>0</v>
      </c>
      <c r="M57" s="239">
        <v>0</v>
      </c>
      <c r="N57" s="238">
        <f t="shared" si="11"/>
        <v>0</v>
      </c>
      <c r="O57" s="239">
        <v>0</v>
      </c>
      <c r="P57" s="238">
        <f t="shared" si="12"/>
        <v>0</v>
      </c>
      <c r="Q57" s="239">
        <v>0</v>
      </c>
      <c r="R57" s="238">
        <f t="shared" si="13"/>
        <v>0</v>
      </c>
      <c r="S57" s="239">
        <v>0</v>
      </c>
      <c r="T57" s="238">
        <f t="shared" si="14"/>
        <v>0</v>
      </c>
      <c r="U57" s="239">
        <v>0</v>
      </c>
      <c r="V57" s="238">
        <f t="shared" si="15"/>
        <v>0</v>
      </c>
      <c r="W57" s="239">
        <v>0</v>
      </c>
      <c r="X57" s="238">
        <f t="shared" si="16"/>
        <v>0</v>
      </c>
      <c r="Y57" s="239">
        <v>0</v>
      </c>
      <c r="Z57" s="238">
        <f t="shared" si="17"/>
        <v>0</v>
      </c>
      <c r="AA57" s="239">
        <v>0</v>
      </c>
      <c r="AB57" s="238">
        <f t="shared" si="18"/>
        <v>0</v>
      </c>
      <c r="AC57" s="239">
        <v>0</v>
      </c>
      <c r="AD57" s="238">
        <f t="shared" si="19"/>
        <v>0</v>
      </c>
      <c r="AE57" s="239">
        <v>0</v>
      </c>
      <c r="AF57" s="238">
        <f t="shared" si="20"/>
        <v>0</v>
      </c>
      <c r="AG57" s="239">
        <v>0</v>
      </c>
      <c r="AH57" s="238">
        <f t="shared" si="21"/>
        <v>0</v>
      </c>
      <c r="AI57" s="239">
        <v>16087.860000000001</v>
      </c>
      <c r="AJ57" s="238">
        <f t="shared" si="22"/>
        <v>522855.45000000001</v>
      </c>
      <c r="AK57" s="239">
        <v>0</v>
      </c>
      <c r="AL57" s="238">
        <f t="shared" si="23"/>
        <v>0</v>
      </c>
      <c r="AM57" s="239">
        <v>0</v>
      </c>
      <c r="AN57" s="238">
        <f t="shared" si="24"/>
        <v>0</v>
      </c>
      <c r="AO57" s="239">
        <v>0</v>
      </c>
      <c r="AP57" s="238">
        <f t="shared" si="25"/>
        <v>0</v>
      </c>
      <c r="AQ57" s="239">
        <v>0</v>
      </c>
      <c r="AR57" s="238">
        <f t="shared" si="26"/>
        <v>0</v>
      </c>
      <c r="AS57" s="239">
        <v>0</v>
      </c>
      <c r="AT57" s="238">
        <f t="shared" si="27"/>
        <v>0</v>
      </c>
      <c r="AU57" s="239">
        <v>0</v>
      </c>
      <c r="AV57" s="238">
        <f t="shared" si="28"/>
        <v>0</v>
      </c>
      <c r="AW57" s="239">
        <v>0</v>
      </c>
      <c r="AX57" s="238">
        <f t="shared" si="29"/>
        <v>0</v>
      </c>
      <c r="AY57" s="239">
        <v>0</v>
      </c>
      <c r="AZ57" s="238">
        <f t="shared" si="30"/>
        <v>0</v>
      </c>
      <c r="BA57" s="239">
        <v>0</v>
      </c>
      <c r="BB57" s="238">
        <f t="shared" si="31"/>
        <v>0</v>
      </c>
      <c r="BC57" s="239">
        <v>0</v>
      </c>
      <c r="BD57" s="238">
        <f t="shared" si="32"/>
        <v>0</v>
      </c>
      <c r="BE57" s="239">
        <v>0</v>
      </c>
      <c r="BF57" s="238">
        <f t="shared" si="33"/>
        <v>0</v>
      </c>
      <c r="BG57" s="239">
        <v>0</v>
      </c>
      <c r="BH57" s="238">
        <f t="shared" si="34"/>
        <v>0</v>
      </c>
      <c r="BI57" s="239">
        <v>0</v>
      </c>
      <c r="BJ57" s="238">
        <f t="shared" si="35"/>
        <v>0</v>
      </c>
      <c r="BK57" s="239">
        <v>0</v>
      </c>
      <c r="BL57" s="238">
        <f t="shared" si="36"/>
        <v>0</v>
      </c>
      <c r="BM57" s="239">
        <v>0</v>
      </c>
      <c r="BN57" s="238">
        <f t="shared" si="37"/>
        <v>0</v>
      </c>
      <c r="BO57" s="239">
        <v>0</v>
      </c>
      <c r="BP57" s="238">
        <f t="shared" si="38"/>
        <v>0</v>
      </c>
      <c r="BQ57" s="239">
        <v>0</v>
      </c>
      <c r="BR57" s="238">
        <f t="shared" si="39"/>
        <v>0</v>
      </c>
      <c r="BS57" s="225"/>
      <c r="BT57" s="239">
        <f t="shared" si="4"/>
        <v>16088</v>
      </c>
      <c r="BU57" s="238">
        <f t="shared" si="5"/>
        <v>522860</v>
      </c>
    </row>
    <row r="58" spans="1:73" ht="14.25" hidden="1">
      <c r="A58" s="241">
        <v>1991</v>
      </c>
      <c r="B58" s="240">
        <f t="shared" si="3"/>
        <v>31.5</v>
      </c>
      <c r="C58" s="239">
        <v>0</v>
      </c>
      <c r="D58" s="238">
        <f t="shared" si="6"/>
        <v>0</v>
      </c>
      <c r="E58" s="239">
        <v>0</v>
      </c>
      <c r="F58" s="238">
        <f t="shared" si="7"/>
        <v>0</v>
      </c>
      <c r="G58" s="239">
        <v>0</v>
      </c>
      <c r="H58" s="238">
        <f t="shared" si="8"/>
        <v>0</v>
      </c>
      <c r="I58" s="239">
        <v>0</v>
      </c>
      <c r="J58" s="238">
        <f t="shared" si="9"/>
        <v>0</v>
      </c>
      <c r="K58" s="239">
        <v>0</v>
      </c>
      <c r="L58" s="238">
        <f t="shared" si="10"/>
        <v>0</v>
      </c>
      <c r="M58" s="239">
        <v>0</v>
      </c>
      <c r="N58" s="238">
        <f t="shared" si="11"/>
        <v>0</v>
      </c>
      <c r="O58" s="239">
        <v>0</v>
      </c>
      <c r="P58" s="238">
        <f t="shared" si="12"/>
        <v>0</v>
      </c>
      <c r="Q58" s="239">
        <v>0</v>
      </c>
      <c r="R58" s="238">
        <f t="shared" si="13"/>
        <v>0</v>
      </c>
      <c r="S58" s="239">
        <v>0</v>
      </c>
      <c r="T58" s="238">
        <f t="shared" si="14"/>
        <v>0</v>
      </c>
      <c r="U58" s="239">
        <v>0</v>
      </c>
      <c r="V58" s="238">
        <f t="shared" si="15"/>
        <v>0</v>
      </c>
      <c r="W58" s="239">
        <v>0</v>
      </c>
      <c r="X58" s="238">
        <f t="shared" si="16"/>
        <v>0</v>
      </c>
      <c r="Y58" s="239">
        <v>0</v>
      </c>
      <c r="Z58" s="238">
        <f t="shared" si="17"/>
        <v>0</v>
      </c>
      <c r="AA58" s="239">
        <v>0</v>
      </c>
      <c r="AB58" s="238">
        <f t="shared" si="18"/>
        <v>0</v>
      </c>
      <c r="AC58" s="239">
        <v>0</v>
      </c>
      <c r="AD58" s="238">
        <f t="shared" si="19"/>
        <v>0</v>
      </c>
      <c r="AE58" s="239">
        <v>0</v>
      </c>
      <c r="AF58" s="238">
        <f t="shared" si="20"/>
        <v>0</v>
      </c>
      <c r="AG58" s="239">
        <v>0</v>
      </c>
      <c r="AH58" s="238">
        <f t="shared" si="21"/>
        <v>0</v>
      </c>
      <c r="AI58" s="239">
        <v>0</v>
      </c>
      <c r="AJ58" s="238">
        <f t="shared" si="22"/>
        <v>0</v>
      </c>
      <c r="AK58" s="239">
        <v>0</v>
      </c>
      <c r="AL58" s="238">
        <f t="shared" si="23"/>
        <v>0</v>
      </c>
      <c r="AM58" s="239">
        <v>0</v>
      </c>
      <c r="AN58" s="238">
        <f t="shared" si="24"/>
        <v>0</v>
      </c>
      <c r="AO58" s="239">
        <v>0</v>
      </c>
      <c r="AP58" s="238">
        <f t="shared" si="25"/>
        <v>0</v>
      </c>
      <c r="AQ58" s="239">
        <v>0</v>
      </c>
      <c r="AR58" s="238">
        <f t="shared" si="26"/>
        <v>0</v>
      </c>
      <c r="AS58" s="239">
        <v>0</v>
      </c>
      <c r="AT58" s="238">
        <f t="shared" si="27"/>
        <v>0</v>
      </c>
      <c r="AU58" s="239">
        <v>0</v>
      </c>
      <c r="AV58" s="238">
        <f t="shared" si="28"/>
        <v>0</v>
      </c>
      <c r="AW58" s="239">
        <v>0</v>
      </c>
      <c r="AX58" s="238">
        <f t="shared" si="29"/>
        <v>0</v>
      </c>
      <c r="AY58" s="239">
        <v>0</v>
      </c>
      <c r="AZ58" s="238">
        <f t="shared" si="30"/>
        <v>0</v>
      </c>
      <c r="BA58" s="239">
        <v>0</v>
      </c>
      <c r="BB58" s="238">
        <f t="shared" si="31"/>
        <v>0</v>
      </c>
      <c r="BC58" s="239">
        <v>0</v>
      </c>
      <c r="BD58" s="238">
        <f t="shared" si="32"/>
        <v>0</v>
      </c>
      <c r="BE58" s="239">
        <v>0</v>
      </c>
      <c r="BF58" s="238">
        <f t="shared" si="33"/>
        <v>0</v>
      </c>
      <c r="BG58" s="239">
        <v>0</v>
      </c>
      <c r="BH58" s="238">
        <f t="shared" si="34"/>
        <v>0</v>
      </c>
      <c r="BI58" s="239">
        <v>0</v>
      </c>
      <c r="BJ58" s="238">
        <f t="shared" si="35"/>
        <v>0</v>
      </c>
      <c r="BK58" s="239">
        <v>0</v>
      </c>
      <c r="BL58" s="238">
        <f t="shared" si="36"/>
        <v>0</v>
      </c>
      <c r="BM58" s="239">
        <v>0</v>
      </c>
      <c r="BN58" s="238">
        <f t="shared" si="37"/>
        <v>0</v>
      </c>
      <c r="BO58" s="239">
        <v>0</v>
      </c>
      <c r="BP58" s="238">
        <f t="shared" si="38"/>
        <v>0</v>
      </c>
      <c r="BQ58" s="239">
        <v>0</v>
      </c>
      <c r="BR58" s="238">
        <f t="shared" si="39"/>
        <v>0</v>
      </c>
      <c r="BS58" s="225"/>
      <c r="BT58" s="239">
        <f t="shared" si="4"/>
        <v>0</v>
      </c>
      <c r="BU58" s="238">
        <f t="shared" si="5"/>
        <v>0</v>
      </c>
    </row>
    <row r="59" spans="1:73" ht="14.25" hidden="1">
      <c r="A59" s="241">
        <v>1992</v>
      </c>
      <c r="B59" s="240">
        <f t="shared" si="3"/>
        <v>30.5</v>
      </c>
      <c r="C59" s="239">
        <v>0</v>
      </c>
      <c r="D59" s="238">
        <f t="shared" si="6"/>
        <v>0</v>
      </c>
      <c r="E59" s="239">
        <v>0</v>
      </c>
      <c r="F59" s="238">
        <f t="shared" si="7"/>
        <v>0</v>
      </c>
      <c r="G59" s="239">
        <v>0</v>
      </c>
      <c r="H59" s="238">
        <f t="shared" si="8"/>
        <v>0</v>
      </c>
      <c r="I59" s="239">
        <v>0</v>
      </c>
      <c r="J59" s="238">
        <f t="shared" si="9"/>
        <v>0</v>
      </c>
      <c r="K59" s="239">
        <v>0</v>
      </c>
      <c r="L59" s="238">
        <f t="shared" si="10"/>
        <v>0</v>
      </c>
      <c r="M59" s="239">
        <v>0</v>
      </c>
      <c r="N59" s="238">
        <f t="shared" si="11"/>
        <v>0</v>
      </c>
      <c r="O59" s="239">
        <v>0</v>
      </c>
      <c r="P59" s="238">
        <f t="shared" si="12"/>
        <v>0</v>
      </c>
      <c r="Q59" s="239">
        <v>0</v>
      </c>
      <c r="R59" s="238">
        <f t="shared" si="13"/>
        <v>0</v>
      </c>
      <c r="S59" s="239">
        <v>0</v>
      </c>
      <c r="T59" s="238">
        <f t="shared" si="14"/>
        <v>0</v>
      </c>
      <c r="U59" s="239">
        <v>0</v>
      </c>
      <c r="V59" s="238">
        <f t="shared" si="15"/>
        <v>0</v>
      </c>
      <c r="W59" s="239">
        <v>0</v>
      </c>
      <c r="X59" s="238">
        <f t="shared" si="16"/>
        <v>0</v>
      </c>
      <c r="Y59" s="239">
        <v>0</v>
      </c>
      <c r="Z59" s="238">
        <f t="shared" si="17"/>
        <v>0</v>
      </c>
      <c r="AA59" s="239">
        <v>0</v>
      </c>
      <c r="AB59" s="238">
        <f t="shared" si="18"/>
        <v>0</v>
      </c>
      <c r="AC59" s="239">
        <v>0</v>
      </c>
      <c r="AD59" s="238">
        <f t="shared" si="19"/>
        <v>0</v>
      </c>
      <c r="AE59" s="239">
        <v>0</v>
      </c>
      <c r="AF59" s="238">
        <f t="shared" si="20"/>
        <v>0</v>
      </c>
      <c r="AG59" s="239">
        <v>0</v>
      </c>
      <c r="AH59" s="238">
        <f t="shared" si="21"/>
        <v>0</v>
      </c>
      <c r="AI59" s="239">
        <v>0</v>
      </c>
      <c r="AJ59" s="238">
        <f t="shared" si="22"/>
        <v>0</v>
      </c>
      <c r="AK59" s="239">
        <v>0</v>
      </c>
      <c r="AL59" s="238">
        <f t="shared" si="23"/>
        <v>0</v>
      </c>
      <c r="AM59" s="239">
        <v>0</v>
      </c>
      <c r="AN59" s="238">
        <f t="shared" si="24"/>
        <v>0</v>
      </c>
      <c r="AO59" s="239">
        <v>0</v>
      </c>
      <c r="AP59" s="238">
        <f t="shared" si="25"/>
        <v>0</v>
      </c>
      <c r="AQ59" s="239">
        <v>0</v>
      </c>
      <c r="AR59" s="238">
        <f t="shared" si="26"/>
        <v>0</v>
      </c>
      <c r="AS59" s="239">
        <v>0</v>
      </c>
      <c r="AT59" s="238">
        <f t="shared" si="27"/>
        <v>0</v>
      </c>
      <c r="AU59" s="239">
        <v>0</v>
      </c>
      <c r="AV59" s="238">
        <f t="shared" si="28"/>
        <v>0</v>
      </c>
      <c r="AW59" s="239">
        <v>0</v>
      </c>
      <c r="AX59" s="238">
        <f t="shared" si="29"/>
        <v>0</v>
      </c>
      <c r="AY59" s="239">
        <v>0</v>
      </c>
      <c r="AZ59" s="238">
        <f t="shared" si="30"/>
        <v>0</v>
      </c>
      <c r="BA59" s="239">
        <v>0</v>
      </c>
      <c r="BB59" s="238">
        <f t="shared" si="31"/>
        <v>0</v>
      </c>
      <c r="BC59" s="239">
        <v>0</v>
      </c>
      <c r="BD59" s="238">
        <f t="shared" si="32"/>
        <v>0</v>
      </c>
      <c r="BE59" s="239">
        <v>0</v>
      </c>
      <c r="BF59" s="238">
        <f t="shared" si="33"/>
        <v>0</v>
      </c>
      <c r="BG59" s="239">
        <v>0</v>
      </c>
      <c r="BH59" s="238">
        <f t="shared" si="34"/>
        <v>0</v>
      </c>
      <c r="BI59" s="239">
        <v>0</v>
      </c>
      <c r="BJ59" s="238">
        <f t="shared" si="35"/>
        <v>0</v>
      </c>
      <c r="BK59" s="239">
        <v>0</v>
      </c>
      <c r="BL59" s="238">
        <f t="shared" si="36"/>
        <v>0</v>
      </c>
      <c r="BM59" s="239">
        <v>0</v>
      </c>
      <c r="BN59" s="238">
        <f t="shared" si="37"/>
        <v>0</v>
      </c>
      <c r="BO59" s="239">
        <v>0</v>
      </c>
      <c r="BP59" s="238">
        <f t="shared" si="38"/>
        <v>0</v>
      </c>
      <c r="BQ59" s="239">
        <v>0</v>
      </c>
      <c r="BR59" s="238">
        <f t="shared" si="39"/>
        <v>0</v>
      </c>
      <c r="BS59" s="225"/>
      <c r="BT59" s="239">
        <f t="shared" si="40" ref="BT59:BT89">ROUND(+BO59+BM59+BK59+BG59+BE59+BC59+AY59+AW59+AS59+AQ59+AO59+AM59+AK59+AI59+AG59+AE59+AA59+C59+E59+G59+I59+M59+O59+Q59+S59+W59+BQ59+AC59+Y59+BI59+BA59+K59+U59+AU59,0)</f>
        <v>0</v>
      </c>
      <c r="BU59" s="238">
        <f t="shared" si="41" ref="BU59:BU89">+BT59*$B59</f>
        <v>0</v>
      </c>
    </row>
    <row r="60" spans="1:73" ht="14.25">
      <c r="A60" s="241">
        <v>1993</v>
      </c>
      <c r="B60" s="240">
        <f t="shared" si="3"/>
        <v>29.5</v>
      </c>
      <c r="C60" s="239">
        <v>0</v>
      </c>
      <c r="D60" s="238">
        <f t="shared" si="6"/>
        <v>0</v>
      </c>
      <c r="E60" s="239">
        <v>0</v>
      </c>
      <c r="F60" s="238">
        <f t="shared" si="7"/>
        <v>0</v>
      </c>
      <c r="G60" s="239">
        <v>0</v>
      </c>
      <c r="H60" s="238">
        <f t="shared" si="8"/>
        <v>0</v>
      </c>
      <c r="I60" s="239">
        <v>0</v>
      </c>
      <c r="J60" s="238">
        <f t="shared" si="9"/>
        <v>0</v>
      </c>
      <c r="K60" s="239">
        <v>0</v>
      </c>
      <c r="L60" s="238">
        <f t="shared" si="10"/>
        <v>0</v>
      </c>
      <c r="M60" s="239">
        <v>0</v>
      </c>
      <c r="N60" s="238">
        <f t="shared" si="11"/>
        <v>0</v>
      </c>
      <c r="O60" s="239">
        <v>0</v>
      </c>
      <c r="P60" s="238">
        <f t="shared" si="12"/>
        <v>0</v>
      </c>
      <c r="Q60" s="239">
        <v>0</v>
      </c>
      <c r="R60" s="238">
        <f t="shared" si="13"/>
        <v>0</v>
      </c>
      <c r="S60" s="239">
        <v>0</v>
      </c>
      <c r="T60" s="238">
        <f t="shared" si="14"/>
        <v>0</v>
      </c>
      <c r="U60" s="239">
        <v>0</v>
      </c>
      <c r="V60" s="238">
        <f t="shared" si="15"/>
        <v>0</v>
      </c>
      <c r="W60" s="239">
        <v>0</v>
      </c>
      <c r="X60" s="238">
        <f t="shared" si="16"/>
        <v>0</v>
      </c>
      <c r="Y60" s="239">
        <v>0</v>
      </c>
      <c r="Z60" s="238">
        <f t="shared" si="17"/>
        <v>0</v>
      </c>
      <c r="AA60" s="239">
        <v>0</v>
      </c>
      <c r="AB60" s="238">
        <f t="shared" si="18"/>
        <v>0</v>
      </c>
      <c r="AC60" s="239">
        <v>0</v>
      </c>
      <c r="AD60" s="238">
        <f t="shared" si="19"/>
        <v>0</v>
      </c>
      <c r="AE60" s="239">
        <v>0</v>
      </c>
      <c r="AF60" s="238">
        <f t="shared" si="20"/>
        <v>0</v>
      </c>
      <c r="AG60" s="239">
        <v>0</v>
      </c>
      <c r="AH60" s="238">
        <f t="shared" si="21"/>
        <v>0</v>
      </c>
      <c r="AI60" s="239">
        <v>960.01999999999998</v>
      </c>
      <c r="AJ60" s="238">
        <f t="shared" si="22"/>
        <v>28320.59</v>
      </c>
      <c r="AK60" s="239">
        <v>0</v>
      </c>
      <c r="AL60" s="238">
        <f t="shared" si="23"/>
        <v>0</v>
      </c>
      <c r="AM60" s="239">
        <v>0</v>
      </c>
      <c r="AN60" s="238">
        <f t="shared" si="24"/>
        <v>0</v>
      </c>
      <c r="AO60" s="239">
        <v>0</v>
      </c>
      <c r="AP60" s="238">
        <f t="shared" si="25"/>
        <v>0</v>
      </c>
      <c r="AQ60" s="239">
        <v>0</v>
      </c>
      <c r="AR60" s="238">
        <f t="shared" si="26"/>
        <v>0</v>
      </c>
      <c r="AS60" s="239">
        <v>0</v>
      </c>
      <c r="AT60" s="238">
        <f t="shared" si="27"/>
        <v>0</v>
      </c>
      <c r="AU60" s="239">
        <v>0</v>
      </c>
      <c r="AV60" s="238">
        <f t="shared" si="28"/>
        <v>0</v>
      </c>
      <c r="AW60" s="239">
        <v>0</v>
      </c>
      <c r="AX60" s="238">
        <f t="shared" si="29"/>
        <v>0</v>
      </c>
      <c r="AY60" s="239">
        <v>0</v>
      </c>
      <c r="AZ60" s="238">
        <f t="shared" si="30"/>
        <v>0</v>
      </c>
      <c r="BA60" s="239">
        <v>0</v>
      </c>
      <c r="BB60" s="238">
        <f t="shared" si="31"/>
        <v>0</v>
      </c>
      <c r="BC60" s="239">
        <v>0</v>
      </c>
      <c r="BD60" s="238">
        <f t="shared" si="32"/>
        <v>0</v>
      </c>
      <c r="BE60" s="239">
        <v>0</v>
      </c>
      <c r="BF60" s="238">
        <f t="shared" si="33"/>
        <v>0</v>
      </c>
      <c r="BG60" s="239">
        <v>0</v>
      </c>
      <c r="BH60" s="238">
        <f t="shared" si="34"/>
        <v>0</v>
      </c>
      <c r="BI60" s="239">
        <v>0</v>
      </c>
      <c r="BJ60" s="238">
        <f t="shared" si="35"/>
        <v>0</v>
      </c>
      <c r="BK60" s="239">
        <v>0</v>
      </c>
      <c r="BL60" s="238">
        <f t="shared" si="36"/>
        <v>0</v>
      </c>
      <c r="BM60" s="239">
        <v>0</v>
      </c>
      <c r="BN60" s="238">
        <f t="shared" si="37"/>
        <v>0</v>
      </c>
      <c r="BO60" s="239">
        <v>0</v>
      </c>
      <c r="BP60" s="238">
        <f t="shared" si="38"/>
        <v>0</v>
      </c>
      <c r="BQ60" s="239">
        <v>0</v>
      </c>
      <c r="BR60" s="238">
        <f t="shared" si="39"/>
        <v>0</v>
      </c>
      <c r="BS60" s="225"/>
      <c r="BT60" s="239">
        <f t="shared" si="40"/>
        <v>960</v>
      </c>
      <c r="BU60" s="238">
        <f t="shared" si="41"/>
        <v>28320</v>
      </c>
    </row>
    <row r="61" spans="1:73" ht="14.25">
      <c r="A61" s="241">
        <v>1994</v>
      </c>
      <c r="B61" s="240">
        <f t="shared" si="3"/>
        <v>28.5</v>
      </c>
      <c r="C61" s="239">
        <v>0</v>
      </c>
      <c r="D61" s="238">
        <f t="shared" si="6"/>
        <v>0</v>
      </c>
      <c r="E61" s="239">
        <v>0</v>
      </c>
      <c r="F61" s="238">
        <f t="shared" si="7"/>
        <v>0</v>
      </c>
      <c r="G61" s="239">
        <v>0</v>
      </c>
      <c r="H61" s="238">
        <f t="shared" si="8"/>
        <v>0</v>
      </c>
      <c r="I61" s="239">
        <v>0</v>
      </c>
      <c r="J61" s="238">
        <f t="shared" si="9"/>
        <v>0</v>
      </c>
      <c r="K61" s="239">
        <v>0</v>
      </c>
      <c r="L61" s="238">
        <f t="shared" si="10"/>
        <v>0</v>
      </c>
      <c r="M61" s="239">
        <v>0</v>
      </c>
      <c r="N61" s="238">
        <f t="shared" si="11"/>
        <v>0</v>
      </c>
      <c r="O61" s="239">
        <v>0</v>
      </c>
      <c r="P61" s="238">
        <f t="shared" si="12"/>
        <v>0</v>
      </c>
      <c r="Q61" s="239">
        <v>84973</v>
      </c>
      <c r="R61" s="238">
        <f t="shared" si="13"/>
        <v>2421730.5</v>
      </c>
      <c r="S61" s="239">
        <v>0</v>
      </c>
      <c r="T61" s="238">
        <f t="shared" si="14"/>
        <v>0</v>
      </c>
      <c r="U61" s="239">
        <v>0</v>
      </c>
      <c r="V61" s="238">
        <f t="shared" si="15"/>
        <v>0</v>
      </c>
      <c r="W61" s="239">
        <v>0</v>
      </c>
      <c r="X61" s="238">
        <f t="shared" si="16"/>
        <v>0</v>
      </c>
      <c r="Y61" s="239">
        <v>0</v>
      </c>
      <c r="Z61" s="238">
        <f t="shared" si="17"/>
        <v>0</v>
      </c>
      <c r="AA61" s="239">
        <v>0</v>
      </c>
      <c r="AB61" s="238">
        <f t="shared" si="18"/>
        <v>0</v>
      </c>
      <c r="AC61" s="239">
        <v>0</v>
      </c>
      <c r="AD61" s="238">
        <f t="shared" si="19"/>
        <v>0</v>
      </c>
      <c r="AE61" s="239">
        <v>0</v>
      </c>
      <c r="AF61" s="238">
        <f t="shared" si="20"/>
        <v>0</v>
      </c>
      <c r="AG61" s="239">
        <v>0</v>
      </c>
      <c r="AH61" s="238">
        <f t="shared" si="21"/>
        <v>0</v>
      </c>
      <c r="AI61" s="239">
        <v>160.21000000000001</v>
      </c>
      <c r="AJ61" s="238">
        <f t="shared" si="22"/>
        <v>4565.9850000000006</v>
      </c>
      <c r="AK61" s="239">
        <v>0</v>
      </c>
      <c r="AL61" s="238">
        <f t="shared" si="23"/>
        <v>0</v>
      </c>
      <c r="AM61" s="239">
        <v>0</v>
      </c>
      <c r="AN61" s="238">
        <f t="shared" si="24"/>
        <v>0</v>
      </c>
      <c r="AO61" s="239">
        <v>0</v>
      </c>
      <c r="AP61" s="238">
        <f t="shared" si="25"/>
        <v>0</v>
      </c>
      <c r="AQ61" s="239">
        <v>0</v>
      </c>
      <c r="AR61" s="238">
        <f t="shared" si="26"/>
        <v>0</v>
      </c>
      <c r="AS61" s="239">
        <v>0</v>
      </c>
      <c r="AT61" s="238">
        <f t="shared" si="27"/>
        <v>0</v>
      </c>
      <c r="AU61" s="239">
        <v>0</v>
      </c>
      <c r="AV61" s="238">
        <f t="shared" si="28"/>
        <v>0</v>
      </c>
      <c r="AW61" s="239">
        <v>0</v>
      </c>
      <c r="AX61" s="238">
        <f t="shared" si="29"/>
        <v>0</v>
      </c>
      <c r="AY61" s="239">
        <v>0</v>
      </c>
      <c r="AZ61" s="238">
        <f t="shared" si="30"/>
        <v>0</v>
      </c>
      <c r="BA61" s="239">
        <v>0</v>
      </c>
      <c r="BB61" s="238">
        <f t="shared" si="31"/>
        <v>0</v>
      </c>
      <c r="BC61" s="239">
        <v>0</v>
      </c>
      <c r="BD61" s="238">
        <f t="shared" si="32"/>
        <v>0</v>
      </c>
      <c r="BE61" s="239">
        <v>0</v>
      </c>
      <c r="BF61" s="238">
        <f t="shared" si="33"/>
        <v>0</v>
      </c>
      <c r="BG61" s="239">
        <v>0</v>
      </c>
      <c r="BH61" s="238">
        <f t="shared" si="34"/>
        <v>0</v>
      </c>
      <c r="BI61" s="239">
        <v>0</v>
      </c>
      <c r="BJ61" s="238">
        <f t="shared" si="35"/>
        <v>0</v>
      </c>
      <c r="BK61" s="239">
        <v>0</v>
      </c>
      <c r="BL61" s="238">
        <f t="shared" si="36"/>
        <v>0</v>
      </c>
      <c r="BM61" s="239">
        <v>0</v>
      </c>
      <c r="BN61" s="238">
        <f t="shared" si="37"/>
        <v>0</v>
      </c>
      <c r="BO61" s="239">
        <v>0</v>
      </c>
      <c r="BP61" s="238">
        <f t="shared" si="38"/>
        <v>0</v>
      </c>
      <c r="BQ61" s="239">
        <v>0</v>
      </c>
      <c r="BR61" s="238">
        <f t="shared" si="39"/>
        <v>0</v>
      </c>
      <c r="BS61" s="225"/>
      <c r="BT61" s="239">
        <f t="shared" si="40"/>
        <v>85133</v>
      </c>
      <c r="BU61" s="238">
        <f t="shared" si="41"/>
        <v>2426290.5</v>
      </c>
    </row>
    <row r="62" spans="1:73" ht="14.25">
      <c r="A62" s="241">
        <v>1995</v>
      </c>
      <c r="B62" s="240">
        <f t="shared" si="3"/>
        <v>27.5</v>
      </c>
      <c r="C62" s="239">
        <v>0</v>
      </c>
      <c r="D62" s="238">
        <f t="shared" si="6"/>
        <v>0</v>
      </c>
      <c r="E62" s="239">
        <v>0</v>
      </c>
      <c r="F62" s="238">
        <f t="shared" si="7"/>
        <v>0</v>
      </c>
      <c r="G62" s="239">
        <v>0</v>
      </c>
      <c r="H62" s="238">
        <f t="shared" si="8"/>
        <v>0</v>
      </c>
      <c r="I62" s="239">
        <v>0</v>
      </c>
      <c r="J62" s="238">
        <f t="shared" si="9"/>
        <v>0</v>
      </c>
      <c r="K62" s="239">
        <v>0</v>
      </c>
      <c r="L62" s="238">
        <f t="shared" si="10"/>
        <v>0</v>
      </c>
      <c r="M62" s="239">
        <v>0</v>
      </c>
      <c r="N62" s="238">
        <f t="shared" si="11"/>
        <v>0</v>
      </c>
      <c r="O62" s="239">
        <v>0</v>
      </c>
      <c r="P62" s="238">
        <f t="shared" si="12"/>
        <v>0</v>
      </c>
      <c r="Q62" s="239">
        <v>0</v>
      </c>
      <c r="R62" s="238">
        <f t="shared" si="13"/>
        <v>0</v>
      </c>
      <c r="S62" s="239">
        <v>0</v>
      </c>
      <c r="T62" s="238">
        <f t="shared" si="14"/>
        <v>0</v>
      </c>
      <c r="U62" s="239">
        <v>0</v>
      </c>
      <c r="V62" s="238">
        <f t="shared" si="15"/>
        <v>0</v>
      </c>
      <c r="W62" s="239">
        <v>0</v>
      </c>
      <c r="X62" s="238">
        <f t="shared" si="16"/>
        <v>0</v>
      </c>
      <c r="Y62" s="239">
        <v>0</v>
      </c>
      <c r="Z62" s="238">
        <f t="shared" si="17"/>
        <v>0</v>
      </c>
      <c r="AA62" s="239">
        <v>0</v>
      </c>
      <c r="AB62" s="238">
        <f t="shared" si="18"/>
        <v>0</v>
      </c>
      <c r="AC62" s="239">
        <v>0</v>
      </c>
      <c r="AD62" s="238">
        <f t="shared" si="19"/>
        <v>0</v>
      </c>
      <c r="AE62" s="239">
        <v>0</v>
      </c>
      <c r="AF62" s="238">
        <f t="shared" si="20"/>
        <v>0</v>
      </c>
      <c r="AG62" s="239">
        <v>0</v>
      </c>
      <c r="AH62" s="238">
        <f t="shared" si="21"/>
        <v>0</v>
      </c>
      <c r="AI62" s="239">
        <v>7682.3499999999995</v>
      </c>
      <c r="AJ62" s="238">
        <f t="shared" si="22"/>
        <v>211264.62499999997</v>
      </c>
      <c r="AK62" s="239">
        <v>0</v>
      </c>
      <c r="AL62" s="238">
        <f t="shared" si="23"/>
        <v>0</v>
      </c>
      <c r="AM62" s="239">
        <v>0</v>
      </c>
      <c r="AN62" s="238">
        <f t="shared" si="24"/>
        <v>0</v>
      </c>
      <c r="AO62" s="239">
        <v>0</v>
      </c>
      <c r="AP62" s="238">
        <f t="shared" si="25"/>
        <v>0</v>
      </c>
      <c r="AQ62" s="239">
        <v>0</v>
      </c>
      <c r="AR62" s="238">
        <f t="shared" si="26"/>
        <v>0</v>
      </c>
      <c r="AS62" s="239">
        <v>0</v>
      </c>
      <c r="AT62" s="238">
        <f t="shared" si="27"/>
        <v>0</v>
      </c>
      <c r="AU62" s="239">
        <v>0</v>
      </c>
      <c r="AV62" s="238">
        <f t="shared" si="28"/>
        <v>0</v>
      </c>
      <c r="AW62" s="239">
        <v>0</v>
      </c>
      <c r="AX62" s="238">
        <f t="shared" si="29"/>
        <v>0</v>
      </c>
      <c r="AY62" s="239">
        <v>0</v>
      </c>
      <c r="AZ62" s="238">
        <f t="shared" si="30"/>
        <v>0</v>
      </c>
      <c r="BA62" s="239">
        <v>0</v>
      </c>
      <c r="BB62" s="238">
        <f t="shared" si="31"/>
        <v>0</v>
      </c>
      <c r="BC62" s="239">
        <v>0</v>
      </c>
      <c r="BD62" s="238">
        <f t="shared" si="32"/>
        <v>0</v>
      </c>
      <c r="BE62" s="239">
        <v>0</v>
      </c>
      <c r="BF62" s="238">
        <f t="shared" si="33"/>
        <v>0</v>
      </c>
      <c r="BG62" s="239">
        <v>0</v>
      </c>
      <c r="BH62" s="238">
        <f t="shared" si="34"/>
        <v>0</v>
      </c>
      <c r="BI62" s="239">
        <v>0</v>
      </c>
      <c r="BJ62" s="238">
        <f t="shared" si="35"/>
        <v>0</v>
      </c>
      <c r="BK62" s="239">
        <v>0</v>
      </c>
      <c r="BL62" s="238">
        <f t="shared" si="36"/>
        <v>0</v>
      </c>
      <c r="BM62" s="239">
        <v>0</v>
      </c>
      <c r="BN62" s="238">
        <f t="shared" si="37"/>
        <v>0</v>
      </c>
      <c r="BO62" s="239">
        <v>0</v>
      </c>
      <c r="BP62" s="238">
        <f t="shared" si="38"/>
        <v>0</v>
      </c>
      <c r="BQ62" s="239">
        <v>0</v>
      </c>
      <c r="BR62" s="238">
        <f t="shared" si="39"/>
        <v>0</v>
      </c>
      <c r="BS62" s="225"/>
      <c r="BT62" s="239">
        <f t="shared" si="40"/>
        <v>7682</v>
      </c>
      <c r="BU62" s="238">
        <f t="shared" si="41"/>
        <v>211255</v>
      </c>
    </row>
    <row r="63" spans="1:73" ht="14.25">
      <c r="A63" s="241">
        <v>1996</v>
      </c>
      <c r="B63" s="240">
        <f t="shared" si="3"/>
        <v>26.5</v>
      </c>
      <c r="C63" s="239">
        <v>0</v>
      </c>
      <c r="D63" s="238">
        <f t="shared" si="6"/>
        <v>0</v>
      </c>
      <c r="E63" s="239">
        <v>0</v>
      </c>
      <c r="F63" s="238">
        <f t="shared" si="7"/>
        <v>0</v>
      </c>
      <c r="G63" s="239">
        <v>0</v>
      </c>
      <c r="H63" s="238">
        <f t="shared" si="8"/>
        <v>0</v>
      </c>
      <c r="I63" s="239">
        <v>0</v>
      </c>
      <c r="J63" s="238">
        <f t="shared" si="9"/>
        <v>0</v>
      </c>
      <c r="K63" s="239">
        <v>0</v>
      </c>
      <c r="L63" s="238">
        <f t="shared" si="10"/>
        <v>0</v>
      </c>
      <c r="M63" s="239">
        <v>0</v>
      </c>
      <c r="N63" s="238">
        <f t="shared" si="11"/>
        <v>0</v>
      </c>
      <c r="O63" s="239">
        <v>0</v>
      </c>
      <c r="P63" s="238">
        <f t="shared" si="12"/>
        <v>0</v>
      </c>
      <c r="Q63" s="239">
        <v>0</v>
      </c>
      <c r="R63" s="238">
        <f t="shared" si="13"/>
        <v>0</v>
      </c>
      <c r="S63" s="239">
        <v>0</v>
      </c>
      <c r="T63" s="238">
        <f t="shared" si="14"/>
        <v>0</v>
      </c>
      <c r="U63" s="239">
        <v>0</v>
      </c>
      <c r="V63" s="238">
        <f t="shared" si="15"/>
        <v>0</v>
      </c>
      <c r="W63" s="239">
        <v>0</v>
      </c>
      <c r="X63" s="238">
        <f t="shared" si="16"/>
        <v>0</v>
      </c>
      <c r="Y63" s="239">
        <v>0</v>
      </c>
      <c r="Z63" s="238">
        <f t="shared" si="17"/>
        <v>0</v>
      </c>
      <c r="AA63" s="239">
        <v>0</v>
      </c>
      <c r="AB63" s="238">
        <f t="shared" si="18"/>
        <v>0</v>
      </c>
      <c r="AC63" s="239">
        <v>0</v>
      </c>
      <c r="AD63" s="238">
        <f t="shared" si="19"/>
        <v>0</v>
      </c>
      <c r="AE63" s="239">
        <v>0</v>
      </c>
      <c r="AF63" s="238">
        <f t="shared" si="20"/>
        <v>0</v>
      </c>
      <c r="AG63" s="239">
        <v>0</v>
      </c>
      <c r="AH63" s="238">
        <f t="shared" si="21"/>
        <v>0</v>
      </c>
      <c r="AI63" s="239">
        <v>0</v>
      </c>
      <c r="AJ63" s="238">
        <f t="shared" si="22"/>
        <v>0</v>
      </c>
      <c r="AK63" s="239">
        <v>0</v>
      </c>
      <c r="AL63" s="238">
        <f t="shared" si="23"/>
        <v>0</v>
      </c>
      <c r="AM63" s="239">
        <v>0</v>
      </c>
      <c r="AN63" s="238">
        <f t="shared" si="24"/>
        <v>0</v>
      </c>
      <c r="AO63" s="239">
        <v>0</v>
      </c>
      <c r="AP63" s="238">
        <f t="shared" si="25"/>
        <v>0</v>
      </c>
      <c r="AQ63" s="239">
        <v>0</v>
      </c>
      <c r="AR63" s="238">
        <f t="shared" si="26"/>
        <v>0</v>
      </c>
      <c r="AS63" s="239">
        <v>0</v>
      </c>
      <c r="AT63" s="238">
        <f t="shared" si="27"/>
        <v>0</v>
      </c>
      <c r="AU63" s="239">
        <v>0</v>
      </c>
      <c r="AV63" s="238">
        <f t="shared" si="28"/>
        <v>0</v>
      </c>
      <c r="AW63" s="239">
        <v>0</v>
      </c>
      <c r="AX63" s="238">
        <f t="shared" si="29"/>
        <v>0</v>
      </c>
      <c r="AY63" s="239">
        <v>0</v>
      </c>
      <c r="AZ63" s="238">
        <f t="shared" si="30"/>
        <v>0</v>
      </c>
      <c r="BA63" s="239">
        <v>0</v>
      </c>
      <c r="BB63" s="238">
        <f t="shared" si="31"/>
        <v>0</v>
      </c>
      <c r="BC63" s="239">
        <v>0</v>
      </c>
      <c r="BD63" s="238">
        <f t="shared" si="32"/>
        <v>0</v>
      </c>
      <c r="BE63" s="239">
        <v>524.38999999999999</v>
      </c>
      <c r="BF63" s="238">
        <f t="shared" si="33"/>
        <v>13896.334999999999</v>
      </c>
      <c r="BG63" s="239">
        <v>0</v>
      </c>
      <c r="BH63" s="238">
        <f t="shared" si="34"/>
        <v>0</v>
      </c>
      <c r="BI63" s="239">
        <v>0</v>
      </c>
      <c r="BJ63" s="238">
        <f t="shared" si="35"/>
        <v>0</v>
      </c>
      <c r="BK63" s="239">
        <v>0</v>
      </c>
      <c r="BL63" s="238">
        <f t="shared" si="36"/>
        <v>0</v>
      </c>
      <c r="BM63" s="239">
        <v>0</v>
      </c>
      <c r="BN63" s="238">
        <f t="shared" si="37"/>
        <v>0</v>
      </c>
      <c r="BO63" s="239">
        <v>0</v>
      </c>
      <c r="BP63" s="238">
        <f t="shared" si="38"/>
        <v>0</v>
      </c>
      <c r="BQ63" s="239">
        <v>0</v>
      </c>
      <c r="BR63" s="238">
        <f t="shared" si="39"/>
        <v>0</v>
      </c>
      <c r="BS63" s="225"/>
      <c r="BT63" s="239">
        <f t="shared" si="40"/>
        <v>524</v>
      </c>
      <c r="BU63" s="238">
        <f t="shared" si="41"/>
        <v>13886</v>
      </c>
    </row>
    <row r="64" spans="1:73" ht="14.25" hidden="1">
      <c r="A64" s="241">
        <v>1997</v>
      </c>
      <c r="B64" s="240">
        <f t="shared" si="3"/>
        <v>25.5</v>
      </c>
      <c r="C64" s="239">
        <v>0</v>
      </c>
      <c r="D64" s="238">
        <f t="shared" si="6"/>
        <v>0</v>
      </c>
      <c r="E64" s="239">
        <v>0</v>
      </c>
      <c r="F64" s="238">
        <f t="shared" si="7"/>
        <v>0</v>
      </c>
      <c r="G64" s="239">
        <v>0</v>
      </c>
      <c r="H64" s="238">
        <f t="shared" si="8"/>
        <v>0</v>
      </c>
      <c r="I64" s="239">
        <v>0</v>
      </c>
      <c r="J64" s="238">
        <f t="shared" si="9"/>
        <v>0</v>
      </c>
      <c r="K64" s="239">
        <v>0</v>
      </c>
      <c r="L64" s="238">
        <f t="shared" si="10"/>
        <v>0</v>
      </c>
      <c r="M64" s="239">
        <v>0</v>
      </c>
      <c r="N64" s="238">
        <f t="shared" si="11"/>
        <v>0</v>
      </c>
      <c r="O64" s="239">
        <v>0</v>
      </c>
      <c r="P64" s="238">
        <f t="shared" si="12"/>
        <v>0</v>
      </c>
      <c r="Q64" s="239">
        <v>0</v>
      </c>
      <c r="R64" s="238">
        <f t="shared" si="13"/>
        <v>0</v>
      </c>
      <c r="S64" s="239">
        <v>0</v>
      </c>
      <c r="T64" s="238">
        <f t="shared" si="14"/>
        <v>0</v>
      </c>
      <c r="U64" s="239">
        <v>0</v>
      </c>
      <c r="V64" s="238">
        <f t="shared" si="15"/>
        <v>0</v>
      </c>
      <c r="W64" s="239">
        <v>0</v>
      </c>
      <c r="X64" s="238">
        <f t="shared" si="16"/>
        <v>0</v>
      </c>
      <c r="Y64" s="239">
        <v>0</v>
      </c>
      <c r="Z64" s="238">
        <f t="shared" si="17"/>
        <v>0</v>
      </c>
      <c r="AA64" s="239">
        <v>0</v>
      </c>
      <c r="AB64" s="238">
        <f t="shared" si="18"/>
        <v>0</v>
      </c>
      <c r="AC64" s="239">
        <v>0</v>
      </c>
      <c r="AD64" s="238">
        <f t="shared" si="19"/>
        <v>0</v>
      </c>
      <c r="AE64" s="239">
        <v>0</v>
      </c>
      <c r="AF64" s="238">
        <f t="shared" si="20"/>
        <v>0</v>
      </c>
      <c r="AG64" s="239">
        <v>0</v>
      </c>
      <c r="AH64" s="238">
        <f t="shared" si="21"/>
        <v>0</v>
      </c>
      <c r="AI64" s="239">
        <v>0</v>
      </c>
      <c r="AJ64" s="238">
        <f t="shared" si="22"/>
        <v>0</v>
      </c>
      <c r="AK64" s="239">
        <v>0</v>
      </c>
      <c r="AL64" s="238">
        <f t="shared" si="23"/>
        <v>0</v>
      </c>
      <c r="AM64" s="239">
        <v>0</v>
      </c>
      <c r="AN64" s="238">
        <f t="shared" si="24"/>
        <v>0</v>
      </c>
      <c r="AO64" s="239">
        <v>0</v>
      </c>
      <c r="AP64" s="238">
        <f t="shared" si="25"/>
        <v>0</v>
      </c>
      <c r="AQ64" s="239">
        <v>0</v>
      </c>
      <c r="AR64" s="238">
        <f t="shared" si="26"/>
        <v>0</v>
      </c>
      <c r="AS64" s="239">
        <v>0</v>
      </c>
      <c r="AT64" s="238">
        <f t="shared" si="27"/>
        <v>0</v>
      </c>
      <c r="AU64" s="239">
        <v>0</v>
      </c>
      <c r="AV64" s="238">
        <f t="shared" si="28"/>
        <v>0</v>
      </c>
      <c r="AW64" s="239">
        <v>0</v>
      </c>
      <c r="AX64" s="238">
        <f t="shared" si="29"/>
        <v>0</v>
      </c>
      <c r="AY64" s="239">
        <v>0</v>
      </c>
      <c r="AZ64" s="238">
        <f t="shared" si="30"/>
        <v>0</v>
      </c>
      <c r="BA64" s="239">
        <v>0</v>
      </c>
      <c r="BB64" s="238">
        <f t="shared" si="31"/>
        <v>0</v>
      </c>
      <c r="BC64" s="239">
        <v>0</v>
      </c>
      <c r="BD64" s="238">
        <f t="shared" si="32"/>
        <v>0</v>
      </c>
      <c r="BE64" s="239">
        <v>0</v>
      </c>
      <c r="BF64" s="238">
        <f t="shared" si="33"/>
        <v>0</v>
      </c>
      <c r="BG64" s="239">
        <v>0</v>
      </c>
      <c r="BH64" s="238">
        <f t="shared" si="34"/>
        <v>0</v>
      </c>
      <c r="BI64" s="239">
        <v>0</v>
      </c>
      <c r="BJ64" s="238">
        <f t="shared" si="35"/>
        <v>0</v>
      </c>
      <c r="BK64" s="239">
        <v>0</v>
      </c>
      <c r="BL64" s="238">
        <f t="shared" si="36"/>
        <v>0</v>
      </c>
      <c r="BM64" s="239">
        <v>0</v>
      </c>
      <c r="BN64" s="238">
        <f t="shared" si="37"/>
        <v>0</v>
      </c>
      <c r="BO64" s="239">
        <v>0</v>
      </c>
      <c r="BP64" s="238">
        <f t="shared" si="38"/>
        <v>0</v>
      </c>
      <c r="BQ64" s="239">
        <v>0</v>
      </c>
      <c r="BR64" s="238">
        <f t="shared" si="39"/>
        <v>0</v>
      </c>
      <c r="BS64" s="225"/>
      <c r="BT64" s="239">
        <f t="shared" si="40"/>
        <v>0</v>
      </c>
      <c r="BU64" s="238">
        <f t="shared" si="41"/>
        <v>0</v>
      </c>
    </row>
    <row r="65" spans="1:73" ht="14.25" hidden="1">
      <c r="A65" s="241">
        <v>1998</v>
      </c>
      <c r="B65" s="240">
        <f t="shared" si="3"/>
        <v>24.5</v>
      </c>
      <c r="C65" s="239">
        <v>0</v>
      </c>
      <c r="D65" s="238">
        <f t="shared" si="6"/>
        <v>0</v>
      </c>
      <c r="E65" s="239">
        <v>0</v>
      </c>
      <c r="F65" s="238">
        <f t="shared" si="7"/>
        <v>0</v>
      </c>
      <c r="G65" s="239">
        <v>0</v>
      </c>
      <c r="H65" s="238">
        <f t="shared" si="8"/>
        <v>0</v>
      </c>
      <c r="I65" s="239">
        <v>0</v>
      </c>
      <c r="J65" s="238">
        <f t="shared" si="9"/>
        <v>0</v>
      </c>
      <c r="K65" s="239">
        <v>0</v>
      </c>
      <c r="L65" s="238">
        <f t="shared" si="10"/>
        <v>0</v>
      </c>
      <c r="M65" s="239">
        <v>0</v>
      </c>
      <c r="N65" s="238">
        <f t="shared" si="11"/>
        <v>0</v>
      </c>
      <c r="O65" s="239">
        <v>0</v>
      </c>
      <c r="P65" s="238">
        <f t="shared" si="12"/>
        <v>0</v>
      </c>
      <c r="Q65" s="239">
        <v>0</v>
      </c>
      <c r="R65" s="238">
        <f t="shared" si="13"/>
        <v>0</v>
      </c>
      <c r="S65" s="239">
        <v>0</v>
      </c>
      <c r="T65" s="238">
        <f t="shared" si="14"/>
        <v>0</v>
      </c>
      <c r="U65" s="239">
        <v>0</v>
      </c>
      <c r="V65" s="238">
        <f t="shared" si="15"/>
        <v>0</v>
      </c>
      <c r="W65" s="239">
        <v>0</v>
      </c>
      <c r="X65" s="238">
        <f t="shared" si="16"/>
        <v>0</v>
      </c>
      <c r="Y65" s="239">
        <v>0</v>
      </c>
      <c r="Z65" s="238">
        <f t="shared" si="17"/>
        <v>0</v>
      </c>
      <c r="AA65" s="239">
        <v>0</v>
      </c>
      <c r="AB65" s="238">
        <f t="shared" si="18"/>
        <v>0</v>
      </c>
      <c r="AC65" s="239">
        <v>0</v>
      </c>
      <c r="AD65" s="238">
        <f t="shared" si="19"/>
        <v>0</v>
      </c>
      <c r="AE65" s="239">
        <v>0</v>
      </c>
      <c r="AF65" s="238">
        <f t="shared" si="20"/>
        <v>0</v>
      </c>
      <c r="AG65" s="239">
        <v>0</v>
      </c>
      <c r="AH65" s="238">
        <f t="shared" si="21"/>
        <v>0</v>
      </c>
      <c r="AI65" s="239">
        <v>0</v>
      </c>
      <c r="AJ65" s="238">
        <f t="shared" si="22"/>
        <v>0</v>
      </c>
      <c r="AK65" s="239">
        <v>0</v>
      </c>
      <c r="AL65" s="238">
        <f t="shared" si="23"/>
        <v>0</v>
      </c>
      <c r="AM65" s="239">
        <v>0</v>
      </c>
      <c r="AN65" s="238">
        <f t="shared" si="24"/>
        <v>0</v>
      </c>
      <c r="AO65" s="239">
        <v>0</v>
      </c>
      <c r="AP65" s="238">
        <f t="shared" si="25"/>
        <v>0</v>
      </c>
      <c r="AQ65" s="239">
        <v>0</v>
      </c>
      <c r="AR65" s="238">
        <f t="shared" si="26"/>
        <v>0</v>
      </c>
      <c r="AS65" s="239">
        <v>0</v>
      </c>
      <c r="AT65" s="238">
        <f t="shared" si="27"/>
        <v>0</v>
      </c>
      <c r="AU65" s="239">
        <v>0</v>
      </c>
      <c r="AV65" s="238">
        <f t="shared" si="28"/>
        <v>0</v>
      </c>
      <c r="AW65" s="239">
        <v>0</v>
      </c>
      <c r="AX65" s="238">
        <f t="shared" si="29"/>
        <v>0</v>
      </c>
      <c r="AY65" s="239">
        <v>0</v>
      </c>
      <c r="AZ65" s="238">
        <f t="shared" si="30"/>
        <v>0</v>
      </c>
      <c r="BA65" s="239">
        <v>0</v>
      </c>
      <c r="BB65" s="238">
        <f t="shared" si="31"/>
        <v>0</v>
      </c>
      <c r="BC65" s="239">
        <v>0</v>
      </c>
      <c r="BD65" s="238">
        <f t="shared" si="32"/>
        <v>0</v>
      </c>
      <c r="BE65" s="239">
        <v>0</v>
      </c>
      <c r="BF65" s="238">
        <f t="shared" si="33"/>
        <v>0</v>
      </c>
      <c r="BG65" s="239">
        <v>0</v>
      </c>
      <c r="BH65" s="238">
        <f t="shared" si="34"/>
        <v>0</v>
      </c>
      <c r="BI65" s="239">
        <v>0</v>
      </c>
      <c r="BJ65" s="238">
        <f t="shared" si="35"/>
        <v>0</v>
      </c>
      <c r="BK65" s="239">
        <v>0</v>
      </c>
      <c r="BL65" s="238">
        <f t="shared" si="36"/>
        <v>0</v>
      </c>
      <c r="BM65" s="239">
        <v>0</v>
      </c>
      <c r="BN65" s="238">
        <f t="shared" si="37"/>
        <v>0</v>
      </c>
      <c r="BO65" s="239">
        <v>0</v>
      </c>
      <c r="BP65" s="238">
        <f t="shared" si="38"/>
        <v>0</v>
      </c>
      <c r="BQ65" s="239">
        <v>0</v>
      </c>
      <c r="BR65" s="238">
        <f t="shared" si="39"/>
        <v>0</v>
      </c>
      <c r="BS65" s="225"/>
      <c r="BT65" s="239">
        <f t="shared" si="40"/>
        <v>0</v>
      </c>
      <c r="BU65" s="238">
        <f t="shared" si="41"/>
        <v>0</v>
      </c>
    </row>
    <row r="66" spans="1:73" ht="14.25">
      <c r="A66" s="241">
        <v>1999</v>
      </c>
      <c r="B66" s="240">
        <f t="shared" si="3"/>
        <v>23.5</v>
      </c>
      <c r="C66" s="239">
        <v>0</v>
      </c>
      <c r="D66" s="238">
        <f t="shared" si="6"/>
        <v>0</v>
      </c>
      <c r="E66" s="239">
        <v>0</v>
      </c>
      <c r="F66" s="238">
        <f t="shared" si="7"/>
        <v>0</v>
      </c>
      <c r="G66" s="239">
        <v>0</v>
      </c>
      <c r="H66" s="238">
        <f t="shared" si="8"/>
        <v>0</v>
      </c>
      <c r="I66" s="239">
        <v>0</v>
      </c>
      <c r="J66" s="238">
        <f t="shared" si="9"/>
        <v>0</v>
      </c>
      <c r="K66" s="239">
        <v>0</v>
      </c>
      <c r="L66" s="238">
        <f t="shared" si="10"/>
        <v>0</v>
      </c>
      <c r="M66" s="239">
        <v>0</v>
      </c>
      <c r="N66" s="238">
        <f t="shared" si="11"/>
        <v>0</v>
      </c>
      <c r="O66" s="239">
        <v>0</v>
      </c>
      <c r="P66" s="238">
        <f t="shared" si="12"/>
        <v>0</v>
      </c>
      <c r="Q66" s="239">
        <v>0</v>
      </c>
      <c r="R66" s="238">
        <f t="shared" si="13"/>
        <v>0</v>
      </c>
      <c r="S66" s="239">
        <v>0</v>
      </c>
      <c r="T66" s="238">
        <f t="shared" si="14"/>
        <v>0</v>
      </c>
      <c r="U66" s="239">
        <v>0</v>
      </c>
      <c r="V66" s="238">
        <f t="shared" si="15"/>
        <v>0</v>
      </c>
      <c r="W66" s="239">
        <v>7007</v>
      </c>
      <c r="X66" s="238">
        <f t="shared" si="16"/>
        <v>164664.5</v>
      </c>
      <c r="Y66" s="239">
        <v>0</v>
      </c>
      <c r="Z66" s="238">
        <f t="shared" si="17"/>
        <v>0</v>
      </c>
      <c r="AA66" s="239">
        <v>0</v>
      </c>
      <c r="AB66" s="238">
        <f t="shared" si="18"/>
        <v>0</v>
      </c>
      <c r="AC66" s="239">
        <v>0</v>
      </c>
      <c r="AD66" s="238">
        <f t="shared" si="19"/>
        <v>0</v>
      </c>
      <c r="AE66" s="239">
        <v>0</v>
      </c>
      <c r="AF66" s="238">
        <f t="shared" si="20"/>
        <v>0</v>
      </c>
      <c r="AG66" s="239">
        <v>0</v>
      </c>
      <c r="AH66" s="238">
        <f t="shared" si="21"/>
        <v>0</v>
      </c>
      <c r="AI66" s="239">
        <v>0</v>
      </c>
      <c r="AJ66" s="238">
        <f t="shared" si="22"/>
        <v>0</v>
      </c>
      <c r="AK66" s="239">
        <v>0</v>
      </c>
      <c r="AL66" s="238">
        <f t="shared" si="23"/>
        <v>0</v>
      </c>
      <c r="AM66" s="239">
        <v>0</v>
      </c>
      <c r="AN66" s="238">
        <f t="shared" si="24"/>
        <v>0</v>
      </c>
      <c r="AO66" s="239">
        <v>0</v>
      </c>
      <c r="AP66" s="238">
        <f t="shared" si="25"/>
        <v>0</v>
      </c>
      <c r="AQ66" s="239">
        <v>0</v>
      </c>
      <c r="AR66" s="238">
        <f t="shared" si="26"/>
        <v>0</v>
      </c>
      <c r="AS66" s="239">
        <v>1737</v>
      </c>
      <c r="AT66" s="238">
        <f t="shared" si="27"/>
        <v>40819.5</v>
      </c>
      <c r="AU66" s="239">
        <v>0</v>
      </c>
      <c r="AV66" s="238">
        <f t="shared" si="28"/>
        <v>0</v>
      </c>
      <c r="AW66" s="239">
        <v>0</v>
      </c>
      <c r="AX66" s="238">
        <f t="shared" si="29"/>
        <v>0</v>
      </c>
      <c r="AY66" s="239">
        <v>0</v>
      </c>
      <c r="AZ66" s="238">
        <f t="shared" si="30"/>
        <v>0</v>
      </c>
      <c r="BA66" s="239">
        <v>0</v>
      </c>
      <c r="BB66" s="238">
        <f t="shared" si="31"/>
        <v>0</v>
      </c>
      <c r="BC66" s="239">
        <v>0</v>
      </c>
      <c r="BD66" s="238">
        <f t="shared" si="32"/>
        <v>0</v>
      </c>
      <c r="BE66" s="239">
        <v>0</v>
      </c>
      <c r="BF66" s="238">
        <f t="shared" si="33"/>
        <v>0</v>
      </c>
      <c r="BG66" s="239">
        <v>0</v>
      </c>
      <c r="BH66" s="238">
        <f t="shared" si="34"/>
        <v>0</v>
      </c>
      <c r="BI66" s="239">
        <v>0</v>
      </c>
      <c r="BJ66" s="238">
        <f t="shared" si="35"/>
        <v>0</v>
      </c>
      <c r="BK66" s="239">
        <v>0</v>
      </c>
      <c r="BL66" s="238">
        <f t="shared" si="36"/>
        <v>0</v>
      </c>
      <c r="BM66" s="239">
        <v>0</v>
      </c>
      <c r="BN66" s="238">
        <f t="shared" si="37"/>
        <v>0</v>
      </c>
      <c r="BO66" s="239">
        <v>0</v>
      </c>
      <c r="BP66" s="238">
        <f t="shared" si="38"/>
        <v>0</v>
      </c>
      <c r="BQ66" s="239">
        <v>0</v>
      </c>
      <c r="BR66" s="238">
        <f t="shared" si="39"/>
        <v>0</v>
      </c>
      <c r="BS66" s="225"/>
      <c r="BT66" s="239">
        <f t="shared" si="40"/>
        <v>8744</v>
      </c>
      <c r="BU66" s="238">
        <f t="shared" si="41"/>
        <v>205484</v>
      </c>
    </row>
    <row r="67" spans="1:73" ht="14.25" hidden="1">
      <c r="A67" s="241">
        <v>2000</v>
      </c>
      <c r="B67" s="240">
        <f t="shared" si="3"/>
        <v>22.5</v>
      </c>
      <c r="C67" s="239">
        <v>0</v>
      </c>
      <c r="D67" s="238">
        <f t="shared" si="6"/>
        <v>0</v>
      </c>
      <c r="E67" s="239">
        <v>0</v>
      </c>
      <c r="F67" s="238">
        <f t="shared" si="7"/>
        <v>0</v>
      </c>
      <c r="G67" s="239">
        <v>0</v>
      </c>
      <c r="H67" s="238">
        <f t="shared" si="8"/>
        <v>0</v>
      </c>
      <c r="I67" s="239">
        <v>0</v>
      </c>
      <c r="J67" s="238">
        <f t="shared" si="9"/>
        <v>0</v>
      </c>
      <c r="K67" s="239">
        <v>0</v>
      </c>
      <c r="L67" s="238">
        <f t="shared" si="10"/>
        <v>0</v>
      </c>
      <c r="M67" s="239">
        <v>0</v>
      </c>
      <c r="N67" s="238">
        <f t="shared" si="11"/>
        <v>0</v>
      </c>
      <c r="O67" s="239">
        <v>0</v>
      </c>
      <c r="P67" s="238">
        <f t="shared" si="12"/>
        <v>0</v>
      </c>
      <c r="Q67" s="239">
        <v>0</v>
      </c>
      <c r="R67" s="238">
        <f t="shared" si="13"/>
        <v>0</v>
      </c>
      <c r="S67" s="239">
        <v>0</v>
      </c>
      <c r="T67" s="238">
        <f t="shared" si="14"/>
        <v>0</v>
      </c>
      <c r="U67" s="239">
        <v>0</v>
      </c>
      <c r="V67" s="238">
        <f t="shared" si="15"/>
        <v>0</v>
      </c>
      <c r="W67" s="239">
        <v>0</v>
      </c>
      <c r="X67" s="238">
        <f t="shared" si="16"/>
        <v>0</v>
      </c>
      <c r="Y67" s="239">
        <v>0</v>
      </c>
      <c r="Z67" s="238">
        <f t="shared" si="17"/>
        <v>0</v>
      </c>
      <c r="AA67" s="239">
        <v>0</v>
      </c>
      <c r="AB67" s="238">
        <f t="shared" si="18"/>
        <v>0</v>
      </c>
      <c r="AC67" s="239">
        <v>0</v>
      </c>
      <c r="AD67" s="238">
        <f t="shared" si="19"/>
        <v>0</v>
      </c>
      <c r="AE67" s="239">
        <v>0</v>
      </c>
      <c r="AF67" s="238">
        <f t="shared" si="20"/>
        <v>0</v>
      </c>
      <c r="AG67" s="239">
        <v>0</v>
      </c>
      <c r="AH67" s="238">
        <f t="shared" si="21"/>
        <v>0</v>
      </c>
      <c r="AI67" s="239">
        <v>0</v>
      </c>
      <c r="AJ67" s="238">
        <f t="shared" si="22"/>
        <v>0</v>
      </c>
      <c r="AK67" s="239">
        <v>0</v>
      </c>
      <c r="AL67" s="238">
        <f t="shared" si="23"/>
        <v>0</v>
      </c>
      <c r="AM67" s="239">
        <v>0</v>
      </c>
      <c r="AN67" s="238">
        <f t="shared" si="24"/>
        <v>0</v>
      </c>
      <c r="AO67" s="239">
        <v>0</v>
      </c>
      <c r="AP67" s="238">
        <f t="shared" si="25"/>
        <v>0</v>
      </c>
      <c r="AQ67" s="239">
        <v>0</v>
      </c>
      <c r="AR67" s="238">
        <f t="shared" si="26"/>
        <v>0</v>
      </c>
      <c r="AS67" s="239">
        <v>0</v>
      </c>
      <c r="AT67" s="238">
        <f t="shared" si="27"/>
        <v>0</v>
      </c>
      <c r="AU67" s="239">
        <v>0</v>
      </c>
      <c r="AV67" s="238">
        <f t="shared" si="28"/>
        <v>0</v>
      </c>
      <c r="AW67" s="239">
        <v>0</v>
      </c>
      <c r="AX67" s="238">
        <f t="shared" si="29"/>
        <v>0</v>
      </c>
      <c r="AY67" s="239">
        <v>0</v>
      </c>
      <c r="AZ67" s="238">
        <f t="shared" si="30"/>
        <v>0</v>
      </c>
      <c r="BA67" s="239">
        <v>0</v>
      </c>
      <c r="BB67" s="238">
        <f t="shared" si="31"/>
        <v>0</v>
      </c>
      <c r="BC67" s="239">
        <v>0</v>
      </c>
      <c r="BD67" s="238">
        <f t="shared" si="32"/>
        <v>0</v>
      </c>
      <c r="BE67" s="239">
        <v>0</v>
      </c>
      <c r="BF67" s="238">
        <f t="shared" si="33"/>
        <v>0</v>
      </c>
      <c r="BG67" s="239">
        <v>0</v>
      </c>
      <c r="BH67" s="238">
        <f t="shared" si="34"/>
        <v>0</v>
      </c>
      <c r="BI67" s="239">
        <v>0</v>
      </c>
      <c r="BJ67" s="238">
        <f t="shared" si="35"/>
        <v>0</v>
      </c>
      <c r="BK67" s="239">
        <v>0</v>
      </c>
      <c r="BL67" s="238">
        <f t="shared" si="36"/>
        <v>0</v>
      </c>
      <c r="BM67" s="239">
        <v>0</v>
      </c>
      <c r="BN67" s="238">
        <f t="shared" si="37"/>
        <v>0</v>
      </c>
      <c r="BO67" s="239">
        <v>0</v>
      </c>
      <c r="BP67" s="238">
        <f t="shared" si="38"/>
        <v>0</v>
      </c>
      <c r="BQ67" s="239">
        <v>0</v>
      </c>
      <c r="BR67" s="238">
        <f t="shared" si="39"/>
        <v>0</v>
      </c>
      <c r="BS67" s="225"/>
      <c r="BT67" s="239">
        <f t="shared" si="40"/>
        <v>0</v>
      </c>
      <c r="BU67" s="238">
        <f t="shared" si="41"/>
        <v>0</v>
      </c>
    </row>
    <row r="68" spans="1:73" ht="14.25">
      <c r="A68" s="241">
        <v>2001</v>
      </c>
      <c r="B68" s="240">
        <f t="shared" si="3"/>
        <v>21.5</v>
      </c>
      <c r="C68" s="239">
        <v>0</v>
      </c>
      <c r="D68" s="238">
        <f t="shared" si="6"/>
        <v>0</v>
      </c>
      <c r="E68" s="239">
        <v>0</v>
      </c>
      <c r="F68" s="238">
        <f t="shared" si="7"/>
        <v>0</v>
      </c>
      <c r="G68" s="239">
        <v>0</v>
      </c>
      <c r="H68" s="238">
        <f t="shared" si="8"/>
        <v>0</v>
      </c>
      <c r="I68" s="239">
        <v>0</v>
      </c>
      <c r="J68" s="238">
        <f t="shared" si="9"/>
        <v>0</v>
      </c>
      <c r="K68" s="239">
        <v>0</v>
      </c>
      <c r="L68" s="238">
        <f t="shared" si="10"/>
        <v>0</v>
      </c>
      <c r="M68" s="239">
        <v>0</v>
      </c>
      <c r="N68" s="238">
        <f t="shared" si="11"/>
        <v>0</v>
      </c>
      <c r="O68" s="239">
        <v>0</v>
      </c>
      <c r="P68" s="238">
        <f t="shared" si="12"/>
        <v>0</v>
      </c>
      <c r="Q68" s="239">
        <v>0</v>
      </c>
      <c r="R68" s="238">
        <f t="shared" si="13"/>
        <v>0</v>
      </c>
      <c r="S68" s="239">
        <v>0</v>
      </c>
      <c r="T68" s="238">
        <f t="shared" si="14"/>
        <v>0</v>
      </c>
      <c r="U68" s="239">
        <v>0</v>
      </c>
      <c r="V68" s="238">
        <f t="shared" si="15"/>
        <v>0</v>
      </c>
      <c r="W68" s="239">
        <v>0</v>
      </c>
      <c r="X68" s="238">
        <f t="shared" si="16"/>
        <v>0</v>
      </c>
      <c r="Y68" s="239">
        <v>0</v>
      </c>
      <c r="Z68" s="238">
        <f t="shared" si="17"/>
        <v>0</v>
      </c>
      <c r="AA68" s="239">
        <v>0</v>
      </c>
      <c r="AB68" s="238">
        <f t="shared" si="18"/>
        <v>0</v>
      </c>
      <c r="AC68" s="239">
        <v>0</v>
      </c>
      <c r="AD68" s="238">
        <f t="shared" si="19"/>
        <v>0</v>
      </c>
      <c r="AE68" s="239">
        <v>1260</v>
      </c>
      <c r="AF68" s="238">
        <f t="shared" si="20"/>
        <v>27090</v>
      </c>
      <c r="AG68" s="239">
        <v>0</v>
      </c>
      <c r="AH68" s="238">
        <f t="shared" si="21"/>
        <v>0</v>
      </c>
      <c r="AI68" s="239">
        <v>0</v>
      </c>
      <c r="AJ68" s="238">
        <f t="shared" si="22"/>
        <v>0</v>
      </c>
      <c r="AK68" s="239">
        <v>0</v>
      </c>
      <c r="AL68" s="238">
        <f t="shared" si="23"/>
        <v>0</v>
      </c>
      <c r="AM68" s="239">
        <v>0</v>
      </c>
      <c r="AN68" s="238">
        <f t="shared" si="24"/>
        <v>0</v>
      </c>
      <c r="AO68" s="239">
        <v>0</v>
      </c>
      <c r="AP68" s="238">
        <f t="shared" si="25"/>
        <v>0</v>
      </c>
      <c r="AQ68" s="239">
        <v>0</v>
      </c>
      <c r="AR68" s="238">
        <f t="shared" si="26"/>
        <v>0</v>
      </c>
      <c r="AS68" s="239">
        <v>0</v>
      </c>
      <c r="AT68" s="238">
        <f t="shared" si="27"/>
        <v>0</v>
      </c>
      <c r="AU68" s="239">
        <v>0</v>
      </c>
      <c r="AV68" s="238">
        <f t="shared" si="28"/>
        <v>0</v>
      </c>
      <c r="AW68" s="239">
        <v>0</v>
      </c>
      <c r="AX68" s="238">
        <f t="shared" si="29"/>
        <v>0</v>
      </c>
      <c r="AY68" s="239">
        <v>0</v>
      </c>
      <c r="AZ68" s="238">
        <f t="shared" si="30"/>
        <v>0</v>
      </c>
      <c r="BA68" s="239">
        <v>0</v>
      </c>
      <c r="BB68" s="238">
        <f t="shared" si="31"/>
        <v>0</v>
      </c>
      <c r="BC68" s="239">
        <v>0</v>
      </c>
      <c r="BD68" s="238">
        <f t="shared" si="32"/>
        <v>0</v>
      </c>
      <c r="BE68" s="239">
        <v>0</v>
      </c>
      <c r="BF68" s="238">
        <f t="shared" si="33"/>
        <v>0</v>
      </c>
      <c r="BG68" s="239">
        <v>0</v>
      </c>
      <c r="BH68" s="238">
        <f t="shared" si="34"/>
        <v>0</v>
      </c>
      <c r="BI68" s="239">
        <v>0</v>
      </c>
      <c r="BJ68" s="238">
        <f t="shared" si="35"/>
        <v>0</v>
      </c>
      <c r="BK68" s="239">
        <v>0</v>
      </c>
      <c r="BL68" s="238">
        <f t="shared" si="36"/>
        <v>0</v>
      </c>
      <c r="BM68" s="239">
        <v>0</v>
      </c>
      <c r="BN68" s="238">
        <f t="shared" si="37"/>
        <v>0</v>
      </c>
      <c r="BO68" s="239">
        <v>0</v>
      </c>
      <c r="BP68" s="238">
        <f t="shared" si="38"/>
        <v>0</v>
      </c>
      <c r="BQ68" s="239">
        <v>0</v>
      </c>
      <c r="BR68" s="238">
        <f t="shared" si="39"/>
        <v>0</v>
      </c>
      <c r="BS68" s="225"/>
      <c r="BT68" s="239">
        <f t="shared" si="40"/>
        <v>1260</v>
      </c>
      <c r="BU68" s="238">
        <f t="shared" si="41"/>
        <v>27090</v>
      </c>
    </row>
    <row r="69" spans="1:73" ht="14.25">
      <c r="A69" s="241">
        <v>2002</v>
      </c>
      <c r="B69" s="240">
        <f t="shared" si="3"/>
        <v>20.5</v>
      </c>
      <c r="C69" s="239">
        <v>0</v>
      </c>
      <c r="D69" s="238">
        <f t="shared" si="6"/>
        <v>0</v>
      </c>
      <c r="E69" s="239">
        <v>0</v>
      </c>
      <c r="F69" s="238">
        <f t="shared" si="7"/>
        <v>0</v>
      </c>
      <c r="G69" s="239">
        <v>0</v>
      </c>
      <c r="H69" s="238">
        <f t="shared" si="8"/>
        <v>0</v>
      </c>
      <c r="I69" s="239">
        <v>0</v>
      </c>
      <c r="J69" s="238">
        <f t="shared" si="9"/>
        <v>0</v>
      </c>
      <c r="K69" s="239">
        <v>0</v>
      </c>
      <c r="L69" s="238">
        <f t="shared" si="10"/>
        <v>0</v>
      </c>
      <c r="M69" s="239">
        <v>0</v>
      </c>
      <c r="N69" s="238">
        <f t="shared" si="11"/>
        <v>0</v>
      </c>
      <c r="O69" s="239">
        <v>0</v>
      </c>
      <c r="P69" s="238">
        <f t="shared" si="12"/>
        <v>0</v>
      </c>
      <c r="Q69" s="239">
        <v>0</v>
      </c>
      <c r="R69" s="238">
        <f t="shared" si="13"/>
        <v>0</v>
      </c>
      <c r="S69" s="239">
        <v>0</v>
      </c>
      <c r="T69" s="238">
        <f t="shared" si="14"/>
        <v>0</v>
      </c>
      <c r="U69" s="239">
        <v>0</v>
      </c>
      <c r="V69" s="238">
        <f t="shared" si="15"/>
        <v>0</v>
      </c>
      <c r="W69" s="239">
        <v>0</v>
      </c>
      <c r="X69" s="238">
        <f t="shared" si="16"/>
        <v>0</v>
      </c>
      <c r="Y69" s="239">
        <v>0</v>
      </c>
      <c r="Z69" s="238">
        <f t="shared" si="17"/>
        <v>0</v>
      </c>
      <c r="AA69" s="239">
        <v>0</v>
      </c>
      <c r="AB69" s="238">
        <f t="shared" si="18"/>
        <v>0</v>
      </c>
      <c r="AC69" s="239">
        <v>0</v>
      </c>
      <c r="AD69" s="238">
        <f t="shared" si="19"/>
        <v>0</v>
      </c>
      <c r="AE69" s="239">
        <v>0</v>
      </c>
      <c r="AF69" s="238">
        <f t="shared" si="20"/>
        <v>0</v>
      </c>
      <c r="AG69" s="239">
        <v>0</v>
      </c>
      <c r="AH69" s="238">
        <f t="shared" si="21"/>
        <v>0</v>
      </c>
      <c r="AI69" s="239">
        <v>0</v>
      </c>
      <c r="AJ69" s="238">
        <f t="shared" si="22"/>
        <v>0</v>
      </c>
      <c r="AK69" s="239">
        <v>0</v>
      </c>
      <c r="AL69" s="238">
        <f t="shared" si="23"/>
        <v>0</v>
      </c>
      <c r="AM69" s="239">
        <v>0</v>
      </c>
      <c r="AN69" s="238">
        <f t="shared" si="24"/>
        <v>0</v>
      </c>
      <c r="AO69" s="239">
        <v>0</v>
      </c>
      <c r="AP69" s="238">
        <f t="shared" si="25"/>
        <v>0</v>
      </c>
      <c r="AQ69" s="239">
        <v>0</v>
      </c>
      <c r="AR69" s="238">
        <f t="shared" si="26"/>
        <v>0</v>
      </c>
      <c r="AS69" s="239">
        <v>45944.310000000005</v>
      </c>
      <c r="AT69" s="238">
        <f t="shared" si="27"/>
        <v>941858.3550000001</v>
      </c>
      <c r="AU69" s="239">
        <v>0</v>
      </c>
      <c r="AV69" s="238">
        <f t="shared" si="28"/>
        <v>0</v>
      </c>
      <c r="AW69" s="239">
        <v>0</v>
      </c>
      <c r="AX69" s="238">
        <f t="shared" si="29"/>
        <v>0</v>
      </c>
      <c r="AY69" s="239">
        <v>0</v>
      </c>
      <c r="AZ69" s="238">
        <f t="shared" si="30"/>
        <v>0</v>
      </c>
      <c r="BA69" s="239">
        <v>0</v>
      </c>
      <c r="BB69" s="238">
        <f t="shared" si="31"/>
        <v>0</v>
      </c>
      <c r="BC69" s="239">
        <v>0</v>
      </c>
      <c r="BD69" s="238">
        <f t="shared" si="32"/>
        <v>0</v>
      </c>
      <c r="BE69" s="239">
        <v>0</v>
      </c>
      <c r="BF69" s="238">
        <f t="shared" si="33"/>
        <v>0</v>
      </c>
      <c r="BG69" s="239">
        <v>0</v>
      </c>
      <c r="BH69" s="238">
        <f t="shared" si="34"/>
        <v>0</v>
      </c>
      <c r="BI69" s="239">
        <v>0</v>
      </c>
      <c r="BJ69" s="238">
        <f t="shared" si="35"/>
        <v>0</v>
      </c>
      <c r="BK69" s="239">
        <v>0</v>
      </c>
      <c r="BL69" s="238">
        <f t="shared" si="36"/>
        <v>0</v>
      </c>
      <c r="BM69" s="239">
        <v>0</v>
      </c>
      <c r="BN69" s="238">
        <f t="shared" si="37"/>
        <v>0</v>
      </c>
      <c r="BO69" s="239">
        <v>0</v>
      </c>
      <c r="BP69" s="238">
        <f t="shared" si="38"/>
        <v>0</v>
      </c>
      <c r="BQ69" s="239">
        <v>0</v>
      </c>
      <c r="BR69" s="238">
        <f t="shared" si="39"/>
        <v>0</v>
      </c>
      <c r="BS69" s="225"/>
      <c r="BT69" s="239">
        <f t="shared" si="40"/>
        <v>45944</v>
      </c>
      <c r="BU69" s="238">
        <f t="shared" si="41"/>
        <v>941852</v>
      </c>
    </row>
    <row r="70" spans="1:73" ht="14.25" hidden="1">
      <c r="A70" s="241">
        <v>2003</v>
      </c>
      <c r="B70" s="240">
        <f t="shared" si="3"/>
        <v>19.5</v>
      </c>
      <c r="C70" s="239">
        <v>0</v>
      </c>
      <c r="D70" s="238">
        <f t="shared" si="6"/>
        <v>0</v>
      </c>
      <c r="E70" s="239">
        <v>0</v>
      </c>
      <c r="F70" s="238">
        <f t="shared" si="7"/>
        <v>0</v>
      </c>
      <c r="G70" s="239">
        <v>0</v>
      </c>
      <c r="H70" s="238">
        <f t="shared" si="8"/>
        <v>0</v>
      </c>
      <c r="I70" s="239">
        <v>0</v>
      </c>
      <c r="J70" s="238">
        <f t="shared" si="9"/>
        <v>0</v>
      </c>
      <c r="K70" s="239">
        <v>0</v>
      </c>
      <c r="L70" s="238">
        <f t="shared" si="10"/>
        <v>0</v>
      </c>
      <c r="M70" s="239">
        <v>0</v>
      </c>
      <c r="N70" s="238">
        <f t="shared" si="11"/>
        <v>0</v>
      </c>
      <c r="O70" s="239">
        <v>0</v>
      </c>
      <c r="P70" s="238">
        <f t="shared" si="12"/>
        <v>0</v>
      </c>
      <c r="Q70" s="239">
        <v>0</v>
      </c>
      <c r="R70" s="238">
        <f t="shared" si="13"/>
        <v>0</v>
      </c>
      <c r="S70" s="239">
        <v>0</v>
      </c>
      <c r="T70" s="238">
        <f t="shared" si="14"/>
        <v>0</v>
      </c>
      <c r="U70" s="239">
        <v>0</v>
      </c>
      <c r="V70" s="238">
        <f t="shared" si="15"/>
        <v>0</v>
      </c>
      <c r="W70" s="239">
        <v>0</v>
      </c>
      <c r="X70" s="238">
        <f t="shared" si="16"/>
        <v>0</v>
      </c>
      <c r="Y70" s="239">
        <v>0</v>
      </c>
      <c r="Z70" s="238">
        <f t="shared" si="17"/>
        <v>0</v>
      </c>
      <c r="AA70" s="239">
        <v>0</v>
      </c>
      <c r="AB70" s="238">
        <f t="shared" si="18"/>
        <v>0</v>
      </c>
      <c r="AC70" s="239">
        <v>0</v>
      </c>
      <c r="AD70" s="238">
        <f t="shared" si="19"/>
        <v>0</v>
      </c>
      <c r="AE70" s="239">
        <v>0</v>
      </c>
      <c r="AF70" s="238">
        <f t="shared" si="20"/>
        <v>0</v>
      </c>
      <c r="AG70" s="239">
        <v>0</v>
      </c>
      <c r="AH70" s="238">
        <f t="shared" si="21"/>
        <v>0</v>
      </c>
      <c r="AI70" s="239">
        <v>0</v>
      </c>
      <c r="AJ70" s="238">
        <f t="shared" si="22"/>
        <v>0</v>
      </c>
      <c r="AK70" s="239">
        <v>0</v>
      </c>
      <c r="AL70" s="238">
        <f t="shared" si="23"/>
        <v>0</v>
      </c>
      <c r="AM70" s="239">
        <v>0</v>
      </c>
      <c r="AN70" s="238">
        <f t="shared" si="24"/>
        <v>0</v>
      </c>
      <c r="AO70" s="239">
        <v>0</v>
      </c>
      <c r="AP70" s="238">
        <f t="shared" si="25"/>
        <v>0</v>
      </c>
      <c r="AQ70" s="239">
        <v>0</v>
      </c>
      <c r="AR70" s="238">
        <f t="shared" si="26"/>
        <v>0</v>
      </c>
      <c r="AS70" s="239">
        <v>0</v>
      </c>
      <c r="AT70" s="238">
        <f t="shared" si="27"/>
        <v>0</v>
      </c>
      <c r="AU70" s="239">
        <v>0</v>
      </c>
      <c r="AV70" s="238">
        <f t="shared" si="28"/>
        <v>0</v>
      </c>
      <c r="AW70" s="239">
        <v>0</v>
      </c>
      <c r="AX70" s="238">
        <f t="shared" si="29"/>
        <v>0</v>
      </c>
      <c r="AY70" s="239">
        <v>0</v>
      </c>
      <c r="AZ70" s="238">
        <f t="shared" si="30"/>
        <v>0</v>
      </c>
      <c r="BA70" s="239">
        <v>0</v>
      </c>
      <c r="BB70" s="238">
        <f t="shared" si="31"/>
        <v>0</v>
      </c>
      <c r="BC70" s="239">
        <v>0</v>
      </c>
      <c r="BD70" s="238">
        <f t="shared" si="32"/>
        <v>0</v>
      </c>
      <c r="BE70" s="239">
        <v>0</v>
      </c>
      <c r="BF70" s="238">
        <f t="shared" si="33"/>
        <v>0</v>
      </c>
      <c r="BG70" s="239">
        <v>0</v>
      </c>
      <c r="BH70" s="238">
        <f t="shared" si="34"/>
        <v>0</v>
      </c>
      <c r="BI70" s="239">
        <v>0</v>
      </c>
      <c r="BJ70" s="238">
        <f t="shared" si="35"/>
        <v>0</v>
      </c>
      <c r="BK70" s="239">
        <v>0</v>
      </c>
      <c r="BL70" s="238">
        <f t="shared" si="36"/>
        <v>0</v>
      </c>
      <c r="BM70" s="239">
        <v>0</v>
      </c>
      <c r="BN70" s="238">
        <f t="shared" si="37"/>
        <v>0</v>
      </c>
      <c r="BO70" s="239">
        <v>0</v>
      </c>
      <c r="BP70" s="238">
        <f t="shared" si="38"/>
        <v>0</v>
      </c>
      <c r="BQ70" s="239">
        <v>0</v>
      </c>
      <c r="BR70" s="238">
        <f t="shared" si="39"/>
        <v>0</v>
      </c>
      <c r="BS70" s="225"/>
      <c r="BT70" s="239">
        <f t="shared" si="40"/>
        <v>0</v>
      </c>
      <c r="BU70" s="238">
        <f t="shared" si="41"/>
        <v>0</v>
      </c>
    </row>
    <row r="71" spans="1:73" ht="14.25" hidden="1">
      <c r="A71" s="241">
        <v>2004</v>
      </c>
      <c r="B71" s="240">
        <f t="shared" si="3"/>
        <v>18.5</v>
      </c>
      <c r="C71" s="239">
        <v>0</v>
      </c>
      <c r="D71" s="238">
        <f t="shared" si="6"/>
        <v>0</v>
      </c>
      <c r="E71" s="239">
        <v>0</v>
      </c>
      <c r="F71" s="238">
        <f t="shared" si="7"/>
        <v>0</v>
      </c>
      <c r="G71" s="239">
        <v>0</v>
      </c>
      <c r="H71" s="238">
        <f t="shared" si="8"/>
        <v>0</v>
      </c>
      <c r="I71" s="239">
        <v>0</v>
      </c>
      <c r="J71" s="238">
        <f t="shared" si="9"/>
        <v>0</v>
      </c>
      <c r="K71" s="239">
        <v>0</v>
      </c>
      <c r="L71" s="238">
        <f t="shared" si="10"/>
        <v>0</v>
      </c>
      <c r="M71" s="239">
        <v>0</v>
      </c>
      <c r="N71" s="238">
        <f t="shared" si="11"/>
        <v>0</v>
      </c>
      <c r="O71" s="239">
        <v>0</v>
      </c>
      <c r="P71" s="238">
        <f t="shared" si="12"/>
        <v>0</v>
      </c>
      <c r="Q71" s="239">
        <v>0</v>
      </c>
      <c r="R71" s="238">
        <f t="shared" si="13"/>
        <v>0</v>
      </c>
      <c r="S71" s="239">
        <v>0</v>
      </c>
      <c r="T71" s="238">
        <f t="shared" si="14"/>
        <v>0</v>
      </c>
      <c r="U71" s="239">
        <v>0</v>
      </c>
      <c r="V71" s="238">
        <f t="shared" si="15"/>
        <v>0</v>
      </c>
      <c r="W71" s="239">
        <v>0</v>
      </c>
      <c r="X71" s="238">
        <f t="shared" si="16"/>
        <v>0</v>
      </c>
      <c r="Y71" s="239">
        <v>0</v>
      </c>
      <c r="Z71" s="238">
        <f t="shared" si="17"/>
        <v>0</v>
      </c>
      <c r="AA71" s="239">
        <v>0</v>
      </c>
      <c r="AB71" s="238">
        <f t="shared" si="18"/>
        <v>0</v>
      </c>
      <c r="AC71" s="239">
        <v>0</v>
      </c>
      <c r="AD71" s="238">
        <f t="shared" si="19"/>
        <v>0</v>
      </c>
      <c r="AE71" s="239">
        <v>0</v>
      </c>
      <c r="AF71" s="238">
        <f t="shared" si="20"/>
        <v>0</v>
      </c>
      <c r="AG71" s="239">
        <v>0</v>
      </c>
      <c r="AH71" s="238">
        <f t="shared" si="21"/>
        <v>0</v>
      </c>
      <c r="AI71" s="239">
        <v>0</v>
      </c>
      <c r="AJ71" s="238">
        <f t="shared" si="22"/>
        <v>0</v>
      </c>
      <c r="AK71" s="239">
        <v>0</v>
      </c>
      <c r="AL71" s="238">
        <f t="shared" si="23"/>
        <v>0</v>
      </c>
      <c r="AM71" s="239">
        <v>0</v>
      </c>
      <c r="AN71" s="238">
        <f t="shared" si="24"/>
        <v>0</v>
      </c>
      <c r="AO71" s="239">
        <v>0</v>
      </c>
      <c r="AP71" s="238">
        <f t="shared" si="25"/>
        <v>0</v>
      </c>
      <c r="AQ71" s="239">
        <v>0</v>
      </c>
      <c r="AR71" s="238">
        <f t="shared" si="26"/>
        <v>0</v>
      </c>
      <c r="AS71" s="239">
        <v>0</v>
      </c>
      <c r="AT71" s="238">
        <f t="shared" si="27"/>
        <v>0</v>
      </c>
      <c r="AU71" s="239">
        <v>0</v>
      </c>
      <c r="AV71" s="238">
        <f t="shared" si="28"/>
        <v>0</v>
      </c>
      <c r="AW71" s="239">
        <v>0</v>
      </c>
      <c r="AX71" s="238">
        <f t="shared" si="29"/>
        <v>0</v>
      </c>
      <c r="AY71" s="239">
        <v>0</v>
      </c>
      <c r="AZ71" s="238">
        <f t="shared" si="30"/>
        <v>0</v>
      </c>
      <c r="BA71" s="239">
        <v>0</v>
      </c>
      <c r="BB71" s="238">
        <f t="shared" si="31"/>
        <v>0</v>
      </c>
      <c r="BC71" s="239">
        <v>0</v>
      </c>
      <c r="BD71" s="238">
        <f t="shared" si="32"/>
        <v>0</v>
      </c>
      <c r="BE71" s="239">
        <v>0</v>
      </c>
      <c r="BF71" s="238">
        <f t="shared" si="33"/>
        <v>0</v>
      </c>
      <c r="BG71" s="239">
        <v>0</v>
      </c>
      <c r="BH71" s="238">
        <f t="shared" si="34"/>
        <v>0</v>
      </c>
      <c r="BI71" s="239">
        <v>0</v>
      </c>
      <c r="BJ71" s="238">
        <f t="shared" si="35"/>
        <v>0</v>
      </c>
      <c r="BK71" s="239">
        <v>0</v>
      </c>
      <c r="BL71" s="238">
        <f t="shared" si="36"/>
        <v>0</v>
      </c>
      <c r="BM71" s="239">
        <v>0</v>
      </c>
      <c r="BN71" s="238">
        <f t="shared" si="37"/>
        <v>0</v>
      </c>
      <c r="BO71" s="239">
        <v>0</v>
      </c>
      <c r="BP71" s="238">
        <f t="shared" si="38"/>
        <v>0</v>
      </c>
      <c r="BQ71" s="239">
        <v>0</v>
      </c>
      <c r="BR71" s="238">
        <f t="shared" si="39"/>
        <v>0</v>
      </c>
      <c r="BS71" s="225"/>
      <c r="BT71" s="239">
        <f t="shared" si="40"/>
        <v>0</v>
      </c>
      <c r="BU71" s="238">
        <f t="shared" si="41"/>
        <v>0</v>
      </c>
    </row>
    <row r="72" spans="1:73" ht="14.25">
      <c r="A72" s="241">
        <v>2005</v>
      </c>
      <c r="B72" s="240">
        <f t="shared" si="3"/>
        <v>17.5</v>
      </c>
      <c r="C72" s="239">
        <v>0</v>
      </c>
      <c r="D72" s="238">
        <f t="shared" si="6"/>
        <v>0</v>
      </c>
      <c r="E72" s="239">
        <v>0</v>
      </c>
      <c r="F72" s="238">
        <f t="shared" si="7"/>
        <v>0</v>
      </c>
      <c r="G72" s="239">
        <v>0</v>
      </c>
      <c r="H72" s="238">
        <f t="shared" si="8"/>
        <v>0</v>
      </c>
      <c r="I72" s="239">
        <v>0</v>
      </c>
      <c r="J72" s="238">
        <f t="shared" si="9"/>
        <v>0</v>
      </c>
      <c r="K72" s="239">
        <v>0</v>
      </c>
      <c r="L72" s="238">
        <f t="shared" si="10"/>
        <v>0</v>
      </c>
      <c r="M72" s="239">
        <v>0</v>
      </c>
      <c r="N72" s="238">
        <f t="shared" si="11"/>
        <v>0</v>
      </c>
      <c r="O72" s="239">
        <v>0</v>
      </c>
      <c r="P72" s="238">
        <f t="shared" si="12"/>
        <v>0</v>
      </c>
      <c r="Q72" s="239">
        <v>0</v>
      </c>
      <c r="R72" s="238">
        <f t="shared" si="13"/>
        <v>0</v>
      </c>
      <c r="S72" s="239">
        <v>0</v>
      </c>
      <c r="T72" s="238">
        <f t="shared" si="14"/>
        <v>0</v>
      </c>
      <c r="U72" s="239">
        <v>0</v>
      </c>
      <c r="V72" s="238">
        <f t="shared" si="15"/>
        <v>0</v>
      </c>
      <c r="W72" s="239">
        <v>0</v>
      </c>
      <c r="X72" s="238">
        <f t="shared" si="16"/>
        <v>0</v>
      </c>
      <c r="Y72" s="239">
        <v>0</v>
      </c>
      <c r="Z72" s="238">
        <f t="shared" si="17"/>
        <v>0</v>
      </c>
      <c r="AA72" s="239">
        <v>0</v>
      </c>
      <c r="AB72" s="238">
        <f t="shared" si="18"/>
        <v>0</v>
      </c>
      <c r="AC72" s="239">
        <v>0</v>
      </c>
      <c r="AD72" s="238">
        <f t="shared" si="19"/>
        <v>0</v>
      </c>
      <c r="AE72" s="239">
        <v>0</v>
      </c>
      <c r="AF72" s="238">
        <f t="shared" si="20"/>
        <v>0</v>
      </c>
      <c r="AG72" s="239">
        <v>0</v>
      </c>
      <c r="AH72" s="238">
        <f t="shared" si="21"/>
        <v>0</v>
      </c>
      <c r="AI72" s="239">
        <v>0</v>
      </c>
      <c r="AJ72" s="238">
        <f t="shared" si="22"/>
        <v>0</v>
      </c>
      <c r="AK72" s="239">
        <v>0</v>
      </c>
      <c r="AL72" s="238">
        <f t="shared" si="23"/>
        <v>0</v>
      </c>
      <c r="AM72" s="239">
        <v>0</v>
      </c>
      <c r="AN72" s="238">
        <f t="shared" si="24"/>
        <v>0</v>
      </c>
      <c r="AO72" s="239">
        <v>0</v>
      </c>
      <c r="AP72" s="238">
        <f t="shared" si="25"/>
        <v>0</v>
      </c>
      <c r="AQ72" s="239">
        <v>0</v>
      </c>
      <c r="AR72" s="238">
        <f t="shared" si="26"/>
        <v>0</v>
      </c>
      <c r="AS72" s="239">
        <v>0</v>
      </c>
      <c r="AT72" s="238">
        <f t="shared" si="27"/>
        <v>0</v>
      </c>
      <c r="AU72" s="239">
        <v>0</v>
      </c>
      <c r="AV72" s="238">
        <f t="shared" si="28"/>
        <v>0</v>
      </c>
      <c r="AW72" s="239">
        <v>0</v>
      </c>
      <c r="AX72" s="238">
        <f t="shared" si="29"/>
        <v>0</v>
      </c>
      <c r="AY72" s="239">
        <v>83738.199999999997</v>
      </c>
      <c r="AZ72" s="238">
        <f t="shared" si="30"/>
        <v>1465418.5</v>
      </c>
      <c r="BA72" s="239">
        <v>0</v>
      </c>
      <c r="BB72" s="238">
        <f t="shared" si="31"/>
        <v>0</v>
      </c>
      <c r="BC72" s="239">
        <v>0</v>
      </c>
      <c r="BD72" s="238">
        <f t="shared" si="32"/>
        <v>0</v>
      </c>
      <c r="BE72" s="239">
        <v>0</v>
      </c>
      <c r="BF72" s="238">
        <f t="shared" si="33"/>
        <v>0</v>
      </c>
      <c r="BG72" s="239">
        <v>0</v>
      </c>
      <c r="BH72" s="238">
        <f t="shared" si="34"/>
        <v>0</v>
      </c>
      <c r="BI72" s="239">
        <v>0</v>
      </c>
      <c r="BJ72" s="238">
        <f t="shared" si="35"/>
        <v>0</v>
      </c>
      <c r="BK72" s="239">
        <v>0</v>
      </c>
      <c r="BL72" s="238">
        <f t="shared" si="36"/>
        <v>0</v>
      </c>
      <c r="BM72" s="239">
        <v>0</v>
      </c>
      <c r="BN72" s="238">
        <f t="shared" si="37"/>
        <v>0</v>
      </c>
      <c r="BO72" s="239">
        <v>20177.709999999999</v>
      </c>
      <c r="BP72" s="238">
        <f t="shared" si="38"/>
        <v>353109.92499999999</v>
      </c>
      <c r="BQ72" s="239">
        <v>0</v>
      </c>
      <c r="BR72" s="238">
        <f t="shared" si="39"/>
        <v>0</v>
      </c>
      <c r="BS72" s="225"/>
      <c r="BT72" s="239">
        <f t="shared" si="40"/>
        <v>103916</v>
      </c>
      <c r="BU72" s="238">
        <f t="shared" si="41"/>
        <v>1818530</v>
      </c>
    </row>
    <row r="73" spans="1:73" ht="14.25">
      <c r="A73" s="241">
        <v>2006</v>
      </c>
      <c r="B73" s="240">
        <f t="shared" si="3"/>
        <v>16.5</v>
      </c>
      <c r="C73" s="239">
        <v>0</v>
      </c>
      <c r="D73" s="238">
        <f t="shared" si="6"/>
        <v>0</v>
      </c>
      <c r="E73" s="239">
        <v>0</v>
      </c>
      <c r="F73" s="238">
        <f t="shared" si="7"/>
        <v>0</v>
      </c>
      <c r="G73" s="239">
        <v>0</v>
      </c>
      <c r="H73" s="238">
        <f t="shared" si="8"/>
        <v>0</v>
      </c>
      <c r="I73" s="239">
        <v>0</v>
      </c>
      <c r="J73" s="238">
        <f t="shared" si="9"/>
        <v>0</v>
      </c>
      <c r="K73" s="239">
        <v>0</v>
      </c>
      <c r="L73" s="238">
        <f t="shared" si="10"/>
        <v>0</v>
      </c>
      <c r="M73" s="239">
        <v>0</v>
      </c>
      <c r="N73" s="238">
        <f t="shared" si="11"/>
        <v>0</v>
      </c>
      <c r="O73" s="239">
        <v>0</v>
      </c>
      <c r="P73" s="238">
        <f t="shared" si="12"/>
        <v>0</v>
      </c>
      <c r="Q73" s="239">
        <v>0</v>
      </c>
      <c r="R73" s="238">
        <f t="shared" si="13"/>
        <v>0</v>
      </c>
      <c r="S73" s="239">
        <v>0</v>
      </c>
      <c r="T73" s="238">
        <f t="shared" si="14"/>
        <v>0</v>
      </c>
      <c r="U73" s="239">
        <v>0</v>
      </c>
      <c r="V73" s="238">
        <f t="shared" si="15"/>
        <v>0</v>
      </c>
      <c r="W73" s="239">
        <v>0</v>
      </c>
      <c r="X73" s="238">
        <f t="shared" si="16"/>
        <v>0</v>
      </c>
      <c r="Y73" s="239">
        <v>0</v>
      </c>
      <c r="Z73" s="238">
        <f t="shared" si="17"/>
        <v>0</v>
      </c>
      <c r="AA73" s="239">
        <v>0</v>
      </c>
      <c r="AB73" s="238">
        <f t="shared" si="18"/>
        <v>0</v>
      </c>
      <c r="AC73" s="239">
        <v>0</v>
      </c>
      <c r="AD73" s="238">
        <f t="shared" si="19"/>
        <v>0</v>
      </c>
      <c r="AE73" s="239">
        <v>0</v>
      </c>
      <c r="AF73" s="238">
        <f t="shared" si="20"/>
        <v>0</v>
      </c>
      <c r="AG73" s="239">
        <v>0</v>
      </c>
      <c r="AH73" s="238">
        <f t="shared" si="21"/>
        <v>0</v>
      </c>
      <c r="AI73" s="239">
        <v>0</v>
      </c>
      <c r="AJ73" s="238">
        <f t="shared" si="22"/>
        <v>0</v>
      </c>
      <c r="AK73" s="239">
        <v>0</v>
      </c>
      <c r="AL73" s="238">
        <f t="shared" si="23"/>
        <v>0</v>
      </c>
      <c r="AM73" s="239">
        <v>0</v>
      </c>
      <c r="AN73" s="238">
        <f t="shared" si="24"/>
        <v>0</v>
      </c>
      <c r="AO73" s="239">
        <v>0</v>
      </c>
      <c r="AP73" s="238">
        <f t="shared" si="25"/>
        <v>0</v>
      </c>
      <c r="AQ73" s="239">
        <v>0</v>
      </c>
      <c r="AR73" s="238">
        <f t="shared" si="26"/>
        <v>0</v>
      </c>
      <c r="AS73" s="239">
        <v>0</v>
      </c>
      <c r="AT73" s="238">
        <f t="shared" si="27"/>
        <v>0</v>
      </c>
      <c r="AU73" s="239">
        <v>0</v>
      </c>
      <c r="AV73" s="238">
        <f t="shared" si="28"/>
        <v>0</v>
      </c>
      <c r="AW73" s="239">
        <v>0</v>
      </c>
      <c r="AX73" s="238">
        <f t="shared" si="29"/>
        <v>0</v>
      </c>
      <c r="AY73" s="239">
        <v>63409.350000000006</v>
      </c>
      <c r="AZ73" s="238">
        <f t="shared" si="30"/>
        <v>1046254.2750000001</v>
      </c>
      <c r="BA73" s="239">
        <v>0</v>
      </c>
      <c r="BB73" s="238">
        <f t="shared" si="31"/>
        <v>0</v>
      </c>
      <c r="BC73" s="239">
        <v>0</v>
      </c>
      <c r="BD73" s="238">
        <f t="shared" si="32"/>
        <v>0</v>
      </c>
      <c r="BE73" s="239">
        <v>0</v>
      </c>
      <c r="BF73" s="238">
        <f t="shared" si="33"/>
        <v>0</v>
      </c>
      <c r="BG73" s="239">
        <v>0</v>
      </c>
      <c r="BH73" s="238">
        <f t="shared" si="34"/>
        <v>0</v>
      </c>
      <c r="BI73" s="239">
        <v>0</v>
      </c>
      <c r="BJ73" s="238">
        <f t="shared" si="35"/>
        <v>0</v>
      </c>
      <c r="BK73" s="239">
        <v>0</v>
      </c>
      <c r="BL73" s="238">
        <f t="shared" si="36"/>
        <v>0</v>
      </c>
      <c r="BM73" s="239">
        <v>0</v>
      </c>
      <c r="BN73" s="238">
        <f t="shared" si="37"/>
        <v>0</v>
      </c>
      <c r="BO73" s="239">
        <v>0</v>
      </c>
      <c r="BP73" s="238">
        <f t="shared" si="38"/>
        <v>0</v>
      </c>
      <c r="BQ73" s="239">
        <v>0</v>
      </c>
      <c r="BR73" s="238">
        <f t="shared" si="39"/>
        <v>0</v>
      </c>
      <c r="BS73" s="225"/>
      <c r="BT73" s="239">
        <f t="shared" si="40"/>
        <v>63409</v>
      </c>
      <c r="BU73" s="238">
        <f t="shared" si="41"/>
        <v>1046248.5</v>
      </c>
    </row>
    <row r="74" spans="1:73" ht="14.25">
      <c r="A74" s="241">
        <v>2007</v>
      </c>
      <c r="B74" s="240">
        <f t="shared" si="3"/>
        <v>15.5</v>
      </c>
      <c r="C74" s="239">
        <v>0</v>
      </c>
      <c r="D74" s="238">
        <f t="shared" si="6"/>
        <v>0</v>
      </c>
      <c r="E74" s="239">
        <v>0</v>
      </c>
      <c r="F74" s="238">
        <f t="shared" si="7"/>
        <v>0</v>
      </c>
      <c r="G74" s="239">
        <v>0</v>
      </c>
      <c r="H74" s="238">
        <f t="shared" si="8"/>
        <v>0</v>
      </c>
      <c r="I74" s="239">
        <v>0</v>
      </c>
      <c r="J74" s="238">
        <f t="shared" si="9"/>
        <v>0</v>
      </c>
      <c r="K74" s="239">
        <v>0</v>
      </c>
      <c r="L74" s="238">
        <f t="shared" si="10"/>
        <v>0</v>
      </c>
      <c r="M74" s="239">
        <v>0</v>
      </c>
      <c r="N74" s="238">
        <f t="shared" si="11"/>
        <v>0</v>
      </c>
      <c r="O74" s="239">
        <v>0</v>
      </c>
      <c r="P74" s="238">
        <f t="shared" si="12"/>
        <v>0</v>
      </c>
      <c r="Q74" s="239">
        <v>0</v>
      </c>
      <c r="R74" s="238">
        <f t="shared" si="13"/>
        <v>0</v>
      </c>
      <c r="S74" s="239">
        <v>0</v>
      </c>
      <c r="T74" s="238">
        <f t="shared" si="14"/>
        <v>0</v>
      </c>
      <c r="U74" s="239">
        <v>0</v>
      </c>
      <c r="V74" s="238">
        <f t="shared" si="15"/>
        <v>0</v>
      </c>
      <c r="W74" s="239">
        <v>0</v>
      </c>
      <c r="X74" s="238">
        <f t="shared" si="16"/>
        <v>0</v>
      </c>
      <c r="Y74" s="239">
        <v>0</v>
      </c>
      <c r="Z74" s="238">
        <f t="shared" si="17"/>
        <v>0</v>
      </c>
      <c r="AA74" s="239">
        <v>0</v>
      </c>
      <c r="AB74" s="238">
        <f t="shared" si="18"/>
        <v>0</v>
      </c>
      <c r="AC74" s="239">
        <v>0</v>
      </c>
      <c r="AD74" s="238">
        <f t="shared" si="19"/>
        <v>0</v>
      </c>
      <c r="AE74" s="239">
        <v>0</v>
      </c>
      <c r="AF74" s="238">
        <f t="shared" si="20"/>
        <v>0</v>
      </c>
      <c r="AG74" s="239">
        <v>0</v>
      </c>
      <c r="AH74" s="238">
        <f t="shared" si="21"/>
        <v>0</v>
      </c>
      <c r="AI74" s="239">
        <v>0</v>
      </c>
      <c r="AJ74" s="238">
        <f t="shared" si="22"/>
        <v>0</v>
      </c>
      <c r="AK74" s="239">
        <v>0</v>
      </c>
      <c r="AL74" s="238">
        <f t="shared" si="23"/>
        <v>0</v>
      </c>
      <c r="AM74" s="239">
        <v>0</v>
      </c>
      <c r="AN74" s="238">
        <f t="shared" si="24"/>
        <v>0</v>
      </c>
      <c r="AO74" s="239">
        <v>0</v>
      </c>
      <c r="AP74" s="238">
        <f t="shared" si="25"/>
        <v>0</v>
      </c>
      <c r="AQ74" s="239">
        <v>0</v>
      </c>
      <c r="AR74" s="238">
        <f t="shared" si="26"/>
        <v>0</v>
      </c>
      <c r="AS74" s="239">
        <v>0</v>
      </c>
      <c r="AT74" s="238">
        <f t="shared" si="27"/>
        <v>0</v>
      </c>
      <c r="AU74" s="239">
        <v>0</v>
      </c>
      <c r="AV74" s="238">
        <f t="shared" si="28"/>
        <v>0</v>
      </c>
      <c r="AW74" s="239">
        <v>0</v>
      </c>
      <c r="AX74" s="238">
        <f t="shared" si="29"/>
        <v>0</v>
      </c>
      <c r="AY74" s="239">
        <v>79865.630000000005</v>
      </c>
      <c r="AZ74" s="238">
        <f t="shared" si="30"/>
        <v>1237917.2650000001</v>
      </c>
      <c r="BA74" s="239">
        <v>0</v>
      </c>
      <c r="BB74" s="238">
        <f t="shared" si="31"/>
        <v>0</v>
      </c>
      <c r="BC74" s="239">
        <v>0</v>
      </c>
      <c r="BD74" s="238">
        <f t="shared" si="32"/>
        <v>0</v>
      </c>
      <c r="BE74" s="239">
        <v>0</v>
      </c>
      <c r="BF74" s="238">
        <f t="shared" si="33"/>
        <v>0</v>
      </c>
      <c r="BG74" s="239">
        <v>29475.090000000004</v>
      </c>
      <c r="BH74" s="238">
        <f t="shared" si="34"/>
        <v>456863.89500000008</v>
      </c>
      <c r="BI74" s="239">
        <v>0</v>
      </c>
      <c r="BJ74" s="238">
        <f t="shared" si="35"/>
        <v>0</v>
      </c>
      <c r="BK74" s="239">
        <v>0</v>
      </c>
      <c r="BL74" s="238">
        <f t="shared" si="36"/>
        <v>0</v>
      </c>
      <c r="BM74" s="239">
        <v>0</v>
      </c>
      <c r="BN74" s="238">
        <f t="shared" si="37"/>
        <v>0</v>
      </c>
      <c r="BO74" s="239">
        <v>0</v>
      </c>
      <c r="BP74" s="238">
        <f t="shared" si="38"/>
        <v>0</v>
      </c>
      <c r="BQ74" s="239">
        <v>0</v>
      </c>
      <c r="BR74" s="238">
        <f t="shared" si="39"/>
        <v>0</v>
      </c>
      <c r="BS74" s="225"/>
      <c r="BT74" s="239">
        <f t="shared" si="40"/>
        <v>109341</v>
      </c>
      <c r="BU74" s="238">
        <f t="shared" si="41"/>
        <v>1694785.5</v>
      </c>
    </row>
    <row r="75" spans="1:73" ht="14.25">
      <c r="A75" s="241">
        <v>2008</v>
      </c>
      <c r="B75" s="240">
        <f t="shared" si="3"/>
        <v>14.5</v>
      </c>
      <c r="C75" s="239">
        <v>0</v>
      </c>
      <c r="D75" s="238">
        <f t="shared" si="6"/>
        <v>0</v>
      </c>
      <c r="E75" s="239">
        <v>0</v>
      </c>
      <c r="F75" s="238">
        <f t="shared" si="7"/>
        <v>0</v>
      </c>
      <c r="G75" s="239">
        <v>0</v>
      </c>
      <c r="H75" s="238">
        <f t="shared" si="8"/>
        <v>0</v>
      </c>
      <c r="I75" s="239">
        <v>0</v>
      </c>
      <c r="J75" s="238">
        <f t="shared" si="9"/>
        <v>0</v>
      </c>
      <c r="K75" s="239">
        <v>0</v>
      </c>
      <c r="L75" s="238">
        <f t="shared" si="10"/>
        <v>0</v>
      </c>
      <c r="M75" s="239">
        <v>0</v>
      </c>
      <c r="N75" s="238">
        <f t="shared" si="11"/>
        <v>0</v>
      </c>
      <c r="O75" s="239">
        <v>0</v>
      </c>
      <c r="P75" s="238">
        <f t="shared" si="12"/>
        <v>0</v>
      </c>
      <c r="Q75" s="239">
        <v>0</v>
      </c>
      <c r="R75" s="238">
        <f t="shared" si="13"/>
        <v>0</v>
      </c>
      <c r="S75" s="239">
        <v>0</v>
      </c>
      <c r="T75" s="238">
        <f t="shared" si="14"/>
        <v>0</v>
      </c>
      <c r="U75" s="239">
        <v>0</v>
      </c>
      <c r="V75" s="238">
        <f t="shared" si="15"/>
        <v>0</v>
      </c>
      <c r="W75" s="239">
        <v>0</v>
      </c>
      <c r="X75" s="238">
        <f t="shared" si="16"/>
        <v>0</v>
      </c>
      <c r="Y75" s="239">
        <v>0</v>
      </c>
      <c r="Z75" s="238">
        <f t="shared" si="17"/>
        <v>0</v>
      </c>
      <c r="AA75" s="239">
        <v>0</v>
      </c>
      <c r="AB75" s="238">
        <f t="shared" si="18"/>
        <v>0</v>
      </c>
      <c r="AC75" s="239">
        <v>0</v>
      </c>
      <c r="AD75" s="238">
        <f t="shared" si="19"/>
        <v>0</v>
      </c>
      <c r="AE75" s="239">
        <v>0</v>
      </c>
      <c r="AF75" s="238">
        <f t="shared" si="20"/>
        <v>0</v>
      </c>
      <c r="AG75" s="239">
        <v>0</v>
      </c>
      <c r="AH75" s="238">
        <f t="shared" si="21"/>
        <v>0</v>
      </c>
      <c r="AI75" s="239">
        <v>0</v>
      </c>
      <c r="AJ75" s="238">
        <f t="shared" si="22"/>
        <v>0</v>
      </c>
      <c r="AK75" s="239">
        <v>0</v>
      </c>
      <c r="AL75" s="238">
        <f t="shared" si="23"/>
        <v>0</v>
      </c>
      <c r="AM75" s="239">
        <v>0</v>
      </c>
      <c r="AN75" s="238">
        <f t="shared" si="24"/>
        <v>0</v>
      </c>
      <c r="AO75" s="239">
        <v>46835.089999999997</v>
      </c>
      <c r="AP75" s="238">
        <f t="shared" si="25"/>
        <v>679108.80499999993</v>
      </c>
      <c r="AQ75" s="239">
        <v>0</v>
      </c>
      <c r="AR75" s="238">
        <f t="shared" si="26"/>
        <v>0</v>
      </c>
      <c r="AS75" s="239">
        <v>0</v>
      </c>
      <c r="AT75" s="238">
        <f t="shared" si="27"/>
        <v>0</v>
      </c>
      <c r="AU75" s="239">
        <v>0</v>
      </c>
      <c r="AV75" s="238">
        <f t="shared" si="28"/>
        <v>0</v>
      </c>
      <c r="AW75" s="239">
        <v>0</v>
      </c>
      <c r="AX75" s="238">
        <f t="shared" si="29"/>
        <v>0</v>
      </c>
      <c r="AY75" s="239">
        <v>24861.790000000001</v>
      </c>
      <c r="AZ75" s="238">
        <f t="shared" si="30"/>
        <v>360495.95500000002</v>
      </c>
      <c r="BA75" s="239">
        <v>0</v>
      </c>
      <c r="BB75" s="238">
        <f t="shared" si="31"/>
        <v>0</v>
      </c>
      <c r="BC75" s="239">
        <v>0</v>
      </c>
      <c r="BD75" s="238">
        <f t="shared" si="32"/>
        <v>0</v>
      </c>
      <c r="BE75" s="239">
        <v>0</v>
      </c>
      <c r="BF75" s="238">
        <f t="shared" si="33"/>
        <v>0</v>
      </c>
      <c r="BG75" s="239">
        <v>0</v>
      </c>
      <c r="BH75" s="238">
        <f t="shared" si="34"/>
        <v>0</v>
      </c>
      <c r="BI75" s="239">
        <v>0</v>
      </c>
      <c r="BJ75" s="238">
        <f t="shared" si="35"/>
        <v>0</v>
      </c>
      <c r="BK75" s="239">
        <v>0</v>
      </c>
      <c r="BL75" s="238">
        <f t="shared" si="36"/>
        <v>0</v>
      </c>
      <c r="BM75" s="239">
        <v>0</v>
      </c>
      <c r="BN75" s="238">
        <f t="shared" si="37"/>
        <v>0</v>
      </c>
      <c r="BO75" s="239">
        <v>0</v>
      </c>
      <c r="BP75" s="238">
        <f t="shared" si="38"/>
        <v>0</v>
      </c>
      <c r="BQ75" s="239">
        <v>0</v>
      </c>
      <c r="BR75" s="238">
        <f t="shared" si="39"/>
        <v>0</v>
      </c>
      <c r="BS75" s="225"/>
      <c r="BT75" s="239">
        <f t="shared" si="40"/>
        <v>71697</v>
      </c>
      <c r="BU75" s="238">
        <f t="shared" si="41"/>
        <v>1039606.5</v>
      </c>
    </row>
    <row r="76" spans="1:73" ht="14.25">
      <c r="A76" s="241">
        <v>2009</v>
      </c>
      <c r="B76" s="240">
        <f t="shared" si="3"/>
        <v>13.5</v>
      </c>
      <c r="C76" s="239">
        <v>0</v>
      </c>
      <c r="D76" s="238">
        <f t="shared" si="6"/>
        <v>0</v>
      </c>
      <c r="E76" s="239">
        <v>0</v>
      </c>
      <c r="F76" s="238">
        <f t="shared" si="7"/>
        <v>0</v>
      </c>
      <c r="G76" s="239">
        <v>0</v>
      </c>
      <c r="H76" s="238">
        <f t="shared" si="8"/>
        <v>0</v>
      </c>
      <c r="I76" s="239">
        <v>0</v>
      </c>
      <c r="J76" s="238">
        <f t="shared" si="9"/>
        <v>0</v>
      </c>
      <c r="K76" s="239">
        <v>0</v>
      </c>
      <c r="L76" s="238">
        <f t="shared" si="10"/>
        <v>0</v>
      </c>
      <c r="M76" s="239">
        <v>0</v>
      </c>
      <c r="N76" s="238">
        <f t="shared" si="11"/>
        <v>0</v>
      </c>
      <c r="O76" s="239">
        <v>0</v>
      </c>
      <c r="P76" s="238">
        <f t="shared" si="12"/>
        <v>0</v>
      </c>
      <c r="Q76" s="239">
        <v>0</v>
      </c>
      <c r="R76" s="238">
        <f t="shared" si="13"/>
        <v>0</v>
      </c>
      <c r="S76" s="239">
        <v>0</v>
      </c>
      <c r="T76" s="238">
        <f t="shared" si="14"/>
        <v>0</v>
      </c>
      <c r="U76" s="239">
        <v>0</v>
      </c>
      <c r="V76" s="238">
        <f t="shared" si="15"/>
        <v>0</v>
      </c>
      <c r="W76" s="239">
        <v>0</v>
      </c>
      <c r="X76" s="238">
        <f t="shared" si="16"/>
        <v>0</v>
      </c>
      <c r="Y76" s="239">
        <v>0</v>
      </c>
      <c r="Z76" s="238">
        <f t="shared" si="17"/>
        <v>0</v>
      </c>
      <c r="AA76" s="239">
        <v>0</v>
      </c>
      <c r="AB76" s="238">
        <f t="shared" si="18"/>
        <v>0</v>
      </c>
      <c r="AC76" s="239">
        <v>0</v>
      </c>
      <c r="AD76" s="238">
        <f t="shared" si="19"/>
        <v>0</v>
      </c>
      <c r="AE76" s="239">
        <v>0</v>
      </c>
      <c r="AF76" s="238">
        <f t="shared" si="20"/>
        <v>0</v>
      </c>
      <c r="AG76" s="239">
        <v>0</v>
      </c>
      <c r="AH76" s="238">
        <f t="shared" si="21"/>
        <v>0</v>
      </c>
      <c r="AI76" s="239">
        <v>0</v>
      </c>
      <c r="AJ76" s="238">
        <f t="shared" si="22"/>
        <v>0</v>
      </c>
      <c r="AK76" s="239">
        <v>0</v>
      </c>
      <c r="AL76" s="238">
        <f t="shared" si="23"/>
        <v>0</v>
      </c>
      <c r="AM76" s="239">
        <v>0</v>
      </c>
      <c r="AN76" s="238">
        <f t="shared" si="24"/>
        <v>0</v>
      </c>
      <c r="AO76" s="239">
        <v>0</v>
      </c>
      <c r="AP76" s="238">
        <f t="shared" si="25"/>
        <v>0</v>
      </c>
      <c r="AQ76" s="239">
        <v>0</v>
      </c>
      <c r="AR76" s="238">
        <f t="shared" si="26"/>
        <v>0</v>
      </c>
      <c r="AS76" s="239">
        <v>0</v>
      </c>
      <c r="AT76" s="238">
        <f t="shared" si="27"/>
        <v>0</v>
      </c>
      <c r="AU76" s="239">
        <v>0</v>
      </c>
      <c r="AV76" s="238">
        <f t="shared" si="28"/>
        <v>0</v>
      </c>
      <c r="AW76" s="239">
        <v>0</v>
      </c>
      <c r="AX76" s="238">
        <f t="shared" si="29"/>
        <v>0</v>
      </c>
      <c r="AY76" s="239">
        <v>0</v>
      </c>
      <c r="AZ76" s="238">
        <f t="shared" si="30"/>
        <v>0</v>
      </c>
      <c r="BA76" s="239">
        <v>0</v>
      </c>
      <c r="BB76" s="238">
        <f t="shared" si="31"/>
        <v>0</v>
      </c>
      <c r="BC76" s="239">
        <v>0</v>
      </c>
      <c r="BD76" s="238">
        <f t="shared" si="32"/>
        <v>0</v>
      </c>
      <c r="BE76" s="239">
        <v>0</v>
      </c>
      <c r="BF76" s="238">
        <f t="shared" si="33"/>
        <v>0</v>
      </c>
      <c r="BG76" s="239">
        <v>0</v>
      </c>
      <c r="BH76" s="238">
        <f t="shared" si="34"/>
        <v>0</v>
      </c>
      <c r="BI76" s="239">
        <v>0</v>
      </c>
      <c r="BJ76" s="238">
        <f t="shared" si="35"/>
        <v>0</v>
      </c>
      <c r="BK76" s="239">
        <v>0</v>
      </c>
      <c r="BL76" s="238">
        <f t="shared" si="36"/>
        <v>0</v>
      </c>
      <c r="BM76" s="239">
        <v>296215.89999999997</v>
      </c>
      <c r="BN76" s="238">
        <f t="shared" si="37"/>
        <v>3998914.6499999994</v>
      </c>
      <c r="BO76" s="239">
        <v>0</v>
      </c>
      <c r="BP76" s="238">
        <f t="shared" si="38"/>
        <v>0</v>
      </c>
      <c r="BQ76" s="239">
        <v>0</v>
      </c>
      <c r="BR76" s="238">
        <f t="shared" si="39"/>
        <v>0</v>
      </c>
      <c r="BS76" s="225"/>
      <c r="BT76" s="239">
        <f t="shared" si="40"/>
        <v>296216</v>
      </c>
      <c r="BU76" s="238">
        <f t="shared" si="41"/>
        <v>3998916</v>
      </c>
    </row>
    <row r="77" spans="1:73" ht="14.25">
      <c r="A77" s="241">
        <v>2010</v>
      </c>
      <c r="B77" s="240">
        <f t="shared" si="3"/>
        <v>12.5</v>
      </c>
      <c r="C77" s="239">
        <v>0</v>
      </c>
      <c r="D77" s="238">
        <f t="shared" si="6"/>
        <v>0</v>
      </c>
      <c r="E77" s="239">
        <v>0</v>
      </c>
      <c r="F77" s="238">
        <f t="shared" si="7"/>
        <v>0</v>
      </c>
      <c r="G77" s="239">
        <v>0</v>
      </c>
      <c r="H77" s="238">
        <f t="shared" si="8"/>
        <v>0</v>
      </c>
      <c r="I77" s="239">
        <v>0</v>
      </c>
      <c r="J77" s="238">
        <f t="shared" si="9"/>
        <v>0</v>
      </c>
      <c r="K77" s="239">
        <v>0</v>
      </c>
      <c r="L77" s="238">
        <f t="shared" si="10"/>
        <v>0</v>
      </c>
      <c r="M77" s="239">
        <v>0</v>
      </c>
      <c r="N77" s="238">
        <f t="shared" si="11"/>
        <v>0</v>
      </c>
      <c r="O77" s="239">
        <v>0</v>
      </c>
      <c r="P77" s="238">
        <f t="shared" si="12"/>
        <v>0</v>
      </c>
      <c r="Q77" s="239">
        <v>0</v>
      </c>
      <c r="R77" s="238">
        <f t="shared" si="13"/>
        <v>0</v>
      </c>
      <c r="S77" s="239">
        <v>0</v>
      </c>
      <c r="T77" s="238">
        <f t="shared" si="14"/>
        <v>0</v>
      </c>
      <c r="U77" s="239">
        <v>0</v>
      </c>
      <c r="V77" s="238">
        <f t="shared" si="15"/>
        <v>0</v>
      </c>
      <c r="W77" s="239">
        <v>0</v>
      </c>
      <c r="X77" s="238">
        <f t="shared" si="16"/>
        <v>0</v>
      </c>
      <c r="Y77" s="239">
        <v>0</v>
      </c>
      <c r="Z77" s="238">
        <f t="shared" si="17"/>
        <v>0</v>
      </c>
      <c r="AA77" s="239">
        <v>0</v>
      </c>
      <c r="AB77" s="238">
        <f t="shared" si="18"/>
        <v>0</v>
      </c>
      <c r="AC77" s="239">
        <v>0</v>
      </c>
      <c r="AD77" s="238">
        <f t="shared" si="19"/>
        <v>0</v>
      </c>
      <c r="AE77" s="239">
        <v>0</v>
      </c>
      <c r="AF77" s="238">
        <f t="shared" si="20"/>
        <v>0</v>
      </c>
      <c r="AG77" s="239">
        <v>0</v>
      </c>
      <c r="AH77" s="238">
        <f t="shared" si="21"/>
        <v>0</v>
      </c>
      <c r="AI77" s="239">
        <v>0</v>
      </c>
      <c r="AJ77" s="238">
        <f t="shared" si="22"/>
        <v>0</v>
      </c>
      <c r="AK77" s="239">
        <v>0</v>
      </c>
      <c r="AL77" s="238">
        <f t="shared" si="23"/>
        <v>0</v>
      </c>
      <c r="AM77" s="239">
        <v>0</v>
      </c>
      <c r="AN77" s="238">
        <f t="shared" si="24"/>
        <v>0</v>
      </c>
      <c r="AO77" s="239">
        <v>10831.700000000001</v>
      </c>
      <c r="AP77" s="238">
        <f t="shared" si="25"/>
        <v>135396.25</v>
      </c>
      <c r="AQ77" s="239">
        <v>0</v>
      </c>
      <c r="AR77" s="238">
        <f t="shared" si="26"/>
        <v>0</v>
      </c>
      <c r="AS77" s="239">
        <v>0</v>
      </c>
      <c r="AT77" s="238">
        <f t="shared" si="27"/>
        <v>0</v>
      </c>
      <c r="AU77" s="239">
        <v>0</v>
      </c>
      <c r="AV77" s="238">
        <f t="shared" si="28"/>
        <v>0</v>
      </c>
      <c r="AW77" s="239">
        <v>0</v>
      </c>
      <c r="AX77" s="238">
        <f t="shared" si="29"/>
        <v>0</v>
      </c>
      <c r="AY77" s="239">
        <v>0</v>
      </c>
      <c r="AZ77" s="238">
        <f t="shared" si="30"/>
        <v>0</v>
      </c>
      <c r="BA77" s="239">
        <v>0</v>
      </c>
      <c r="BB77" s="238">
        <f t="shared" si="31"/>
        <v>0</v>
      </c>
      <c r="BC77" s="239">
        <v>0</v>
      </c>
      <c r="BD77" s="238">
        <f t="shared" si="32"/>
        <v>0</v>
      </c>
      <c r="BE77" s="239">
        <v>0</v>
      </c>
      <c r="BF77" s="238">
        <f t="shared" si="33"/>
        <v>0</v>
      </c>
      <c r="BG77" s="239">
        <v>0</v>
      </c>
      <c r="BH77" s="238">
        <f t="shared" si="34"/>
        <v>0</v>
      </c>
      <c r="BI77" s="239">
        <v>0</v>
      </c>
      <c r="BJ77" s="238">
        <f t="shared" si="35"/>
        <v>0</v>
      </c>
      <c r="BK77" s="239">
        <v>0</v>
      </c>
      <c r="BL77" s="238">
        <f t="shared" si="36"/>
        <v>0</v>
      </c>
      <c r="BM77" s="239">
        <v>0</v>
      </c>
      <c r="BN77" s="238">
        <f t="shared" si="37"/>
        <v>0</v>
      </c>
      <c r="BO77" s="239">
        <v>0</v>
      </c>
      <c r="BP77" s="238">
        <f t="shared" si="38"/>
        <v>0</v>
      </c>
      <c r="BQ77" s="239">
        <v>0</v>
      </c>
      <c r="BR77" s="238">
        <f t="shared" si="39"/>
        <v>0</v>
      </c>
      <c r="BS77" s="225"/>
      <c r="BT77" s="239">
        <f t="shared" si="40"/>
        <v>10832</v>
      </c>
      <c r="BU77" s="238">
        <f t="shared" si="41"/>
        <v>135400</v>
      </c>
    </row>
    <row r="78" spans="1:73" ht="14.25">
      <c r="A78" s="241">
        <v>2011</v>
      </c>
      <c r="B78" s="240">
        <f t="shared" si="3"/>
        <v>11.5</v>
      </c>
      <c r="C78" s="239">
        <v>0</v>
      </c>
      <c r="D78" s="238">
        <f t="shared" si="6"/>
        <v>0</v>
      </c>
      <c r="E78" s="239">
        <v>0</v>
      </c>
      <c r="F78" s="238">
        <f t="shared" si="7"/>
        <v>0</v>
      </c>
      <c r="G78" s="239">
        <v>0</v>
      </c>
      <c r="H78" s="238">
        <f t="shared" si="8"/>
        <v>0</v>
      </c>
      <c r="I78" s="239">
        <v>0</v>
      </c>
      <c r="J78" s="238">
        <f t="shared" si="9"/>
        <v>0</v>
      </c>
      <c r="K78" s="239">
        <v>0</v>
      </c>
      <c r="L78" s="238">
        <f t="shared" si="10"/>
        <v>0</v>
      </c>
      <c r="M78" s="239">
        <v>0</v>
      </c>
      <c r="N78" s="238">
        <f t="shared" si="11"/>
        <v>0</v>
      </c>
      <c r="O78" s="239">
        <v>0</v>
      </c>
      <c r="P78" s="238">
        <f t="shared" si="12"/>
        <v>0</v>
      </c>
      <c r="Q78" s="239">
        <v>0</v>
      </c>
      <c r="R78" s="238">
        <f t="shared" si="13"/>
        <v>0</v>
      </c>
      <c r="S78" s="239">
        <v>0</v>
      </c>
      <c r="T78" s="238">
        <f t="shared" si="14"/>
        <v>0</v>
      </c>
      <c r="U78" s="239">
        <v>0</v>
      </c>
      <c r="V78" s="238">
        <f t="shared" si="15"/>
        <v>0</v>
      </c>
      <c r="W78" s="239">
        <v>0</v>
      </c>
      <c r="X78" s="238">
        <f t="shared" si="16"/>
        <v>0</v>
      </c>
      <c r="Y78" s="239">
        <v>0</v>
      </c>
      <c r="Z78" s="238">
        <f t="shared" si="17"/>
        <v>0</v>
      </c>
      <c r="AA78" s="239">
        <v>0</v>
      </c>
      <c r="AB78" s="238">
        <f t="shared" si="18"/>
        <v>0</v>
      </c>
      <c r="AC78" s="239">
        <v>0</v>
      </c>
      <c r="AD78" s="238">
        <f t="shared" si="19"/>
        <v>0</v>
      </c>
      <c r="AE78" s="239">
        <v>0</v>
      </c>
      <c r="AF78" s="238">
        <f t="shared" si="20"/>
        <v>0</v>
      </c>
      <c r="AG78" s="239">
        <v>0</v>
      </c>
      <c r="AH78" s="238">
        <f t="shared" si="21"/>
        <v>0</v>
      </c>
      <c r="AI78" s="239">
        <v>0</v>
      </c>
      <c r="AJ78" s="238">
        <f t="shared" si="22"/>
        <v>0</v>
      </c>
      <c r="AK78" s="239">
        <v>0</v>
      </c>
      <c r="AL78" s="238">
        <f t="shared" si="23"/>
        <v>0</v>
      </c>
      <c r="AM78" s="239">
        <v>0</v>
      </c>
      <c r="AN78" s="238">
        <f t="shared" si="24"/>
        <v>0</v>
      </c>
      <c r="AO78" s="239">
        <v>0</v>
      </c>
      <c r="AP78" s="238">
        <f t="shared" si="25"/>
        <v>0</v>
      </c>
      <c r="AQ78" s="239">
        <v>0</v>
      </c>
      <c r="AR78" s="238">
        <f t="shared" si="26"/>
        <v>0</v>
      </c>
      <c r="AS78" s="239">
        <v>0</v>
      </c>
      <c r="AT78" s="238">
        <f t="shared" si="27"/>
        <v>0</v>
      </c>
      <c r="AU78" s="239">
        <v>0</v>
      </c>
      <c r="AV78" s="238">
        <f t="shared" si="28"/>
        <v>0</v>
      </c>
      <c r="AW78" s="239">
        <v>0</v>
      </c>
      <c r="AX78" s="238">
        <f t="shared" si="29"/>
        <v>0</v>
      </c>
      <c r="AY78" s="239">
        <v>35449.029999999999</v>
      </c>
      <c r="AZ78" s="238">
        <f t="shared" si="30"/>
        <v>407663.84499999997</v>
      </c>
      <c r="BA78" s="239">
        <v>0</v>
      </c>
      <c r="BB78" s="238">
        <f t="shared" si="31"/>
        <v>0</v>
      </c>
      <c r="BC78" s="239">
        <v>0</v>
      </c>
      <c r="BD78" s="238">
        <f t="shared" si="32"/>
        <v>0</v>
      </c>
      <c r="BE78" s="239">
        <v>0</v>
      </c>
      <c r="BF78" s="238">
        <f t="shared" si="33"/>
        <v>0</v>
      </c>
      <c r="BG78" s="239">
        <v>0</v>
      </c>
      <c r="BH78" s="238">
        <f t="shared" si="34"/>
        <v>0</v>
      </c>
      <c r="BI78" s="239">
        <v>0</v>
      </c>
      <c r="BJ78" s="238">
        <f t="shared" si="35"/>
        <v>0</v>
      </c>
      <c r="BK78" s="239">
        <v>0</v>
      </c>
      <c r="BL78" s="238">
        <f t="shared" si="36"/>
        <v>0</v>
      </c>
      <c r="BM78" s="239">
        <v>0</v>
      </c>
      <c r="BN78" s="238">
        <f t="shared" si="37"/>
        <v>0</v>
      </c>
      <c r="BO78" s="239">
        <v>0</v>
      </c>
      <c r="BP78" s="238">
        <f t="shared" si="38"/>
        <v>0</v>
      </c>
      <c r="BQ78" s="239">
        <v>0</v>
      </c>
      <c r="BR78" s="238">
        <f t="shared" si="39"/>
        <v>0</v>
      </c>
      <c r="BS78" s="225"/>
      <c r="BT78" s="239">
        <f t="shared" si="40"/>
        <v>35449</v>
      </c>
      <c r="BU78" s="238">
        <f t="shared" si="41"/>
        <v>407663.5</v>
      </c>
    </row>
    <row r="79" spans="1:73" ht="14.25">
      <c r="A79" s="241">
        <v>2012</v>
      </c>
      <c r="B79" s="240">
        <f t="shared" si="42" ref="B79:B88">$A$89-A79+0.5</f>
        <v>10.5</v>
      </c>
      <c r="C79" s="239">
        <v>0</v>
      </c>
      <c r="D79" s="238">
        <f t="shared" si="6"/>
        <v>0</v>
      </c>
      <c r="E79" s="239">
        <v>0</v>
      </c>
      <c r="F79" s="238">
        <f t="shared" si="7"/>
        <v>0</v>
      </c>
      <c r="G79" s="239">
        <v>0</v>
      </c>
      <c r="H79" s="238">
        <f t="shared" si="8"/>
        <v>0</v>
      </c>
      <c r="I79" s="239">
        <v>0</v>
      </c>
      <c r="J79" s="238">
        <f t="shared" si="9"/>
        <v>0</v>
      </c>
      <c r="K79" s="239">
        <v>0</v>
      </c>
      <c r="L79" s="238">
        <f t="shared" si="10"/>
        <v>0</v>
      </c>
      <c r="M79" s="239">
        <v>0</v>
      </c>
      <c r="N79" s="238">
        <f t="shared" si="11"/>
        <v>0</v>
      </c>
      <c r="O79" s="239">
        <v>0</v>
      </c>
      <c r="P79" s="238">
        <f t="shared" si="12"/>
        <v>0</v>
      </c>
      <c r="Q79" s="239">
        <v>0</v>
      </c>
      <c r="R79" s="238">
        <f t="shared" si="13"/>
        <v>0</v>
      </c>
      <c r="S79" s="239">
        <v>0</v>
      </c>
      <c r="T79" s="238">
        <f t="shared" si="14"/>
        <v>0</v>
      </c>
      <c r="U79" s="239">
        <v>0</v>
      </c>
      <c r="V79" s="238">
        <f t="shared" si="15"/>
        <v>0</v>
      </c>
      <c r="W79" s="239">
        <v>0</v>
      </c>
      <c r="X79" s="238">
        <f t="shared" si="16"/>
        <v>0</v>
      </c>
      <c r="Y79" s="239">
        <v>0</v>
      </c>
      <c r="Z79" s="238">
        <f t="shared" si="17"/>
        <v>0</v>
      </c>
      <c r="AA79" s="239">
        <v>0</v>
      </c>
      <c r="AB79" s="238">
        <f t="shared" si="18"/>
        <v>0</v>
      </c>
      <c r="AC79" s="239">
        <v>0</v>
      </c>
      <c r="AD79" s="238">
        <f t="shared" si="19"/>
        <v>0</v>
      </c>
      <c r="AE79" s="239">
        <v>0</v>
      </c>
      <c r="AF79" s="238">
        <f t="shared" si="20"/>
        <v>0</v>
      </c>
      <c r="AG79" s="239">
        <v>0</v>
      </c>
      <c r="AH79" s="238">
        <f t="shared" si="21"/>
        <v>0</v>
      </c>
      <c r="AI79" s="239">
        <v>0</v>
      </c>
      <c r="AJ79" s="238">
        <f t="shared" si="22"/>
        <v>0</v>
      </c>
      <c r="AK79" s="239">
        <v>0</v>
      </c>
      <c r="AL79" s="238">
        <f t="shared" si="23"/>
        <v>0</v>
      </c>
      <c r="AM79" s="239">
        <v>41870.469999999994</v>
      </c>
      <c r="AN79" s="238">
        <f t="shared" si="24"/>
        <v>439639.93499999994</v>
      </c>
      <c r="AO79" s="239">
        <v>113096.37</v>
      </c>
      <c r="AP79" s="238">
        <f t="shared" si="25"/>
        <v>1187511.885</v>
      </c>
      <c r="AQ79" s="239">
        <v>5251.4700000000003</v>
      </c>
      <c r="AR79" s="238">
        <f t="shared" si="26"/>
        <v>55140.435000000005</v>
      </c>
      <c r="AS79" s="239">
        <v>322948.29999999999</v>
      </c>
      <c r="AT79" s="238">
        <f t="shared" si="27"/>
        <v>3390957.1499999999</v>
      </c>
      <c r="AU79" s="239">
        <v>0</v>
      </c>
      <c r="AV79" s="238">
        <f t="shared" si="28"/>
        <v>0</v>
      </c>
      <c r="AW79" s="239">
        <v>58922.349999999999</v>
      </c>
      <c r="AX79" s="238">
        <f t="shared" si="29"/>
        <v>618684.67499999993</v>
      </c>
      <c r="AY79" s="239">
        <v>0</v>
      </c>
      <c r="AZ79" s="238">
        <f t="shared" si="30"/>
        <v>0</v>
      </c>
      <c r="BA79" s="239">
        <v>0</v>
      </c>
      <c r="BB79" s="238">
        <f t="shared" si="31"/>
        <v>0</v>
      </c>
      <c r="BC79" s="239">
        <v>0</v>
      </c>
      <c r="BD79" s="238">
        <f t="shared" si="32"/>
        <v>0</v>
      </c>
      <c r="BE79" s="239">
        <v>0</v>
      </c>
      <c r="BF79" s="238">
        <f t="shared" si="33"/>
        <v>0</v>
      </c>
      <c r="BG79" s="239">
        <v>0</v>
      </c>
      <c r="BH79" s="238">
        <f t="shared" si="34"/>
        <v>0</v>
      </c>
      <c r="BI79" s="239">
        <v>0</v>
      </c>
      <c r="BJ79" s="238">
        <f t="shared" si="35"/>
        <v>0</v>
      </c>
      <c r="BK79" s="239">
        <v>0</v>
      </c>
      <c r="BL79" s="238">
        <f t="shared" si="36"/>
        <v>0</v>
      </c>
      <c r="BM79" s="239">
        <v>0</v>
      </c>
      <c r="BN79" s="238">
        <f t="shared" si="37"/>
        <v>0</v>
      </c>
      <c r="BO79" s="239">
        <v>0</v>
      </c>
      <c r="BP79" s="238">
        <f t="shared" si="38"/>
        <v>0</v>
      </c>
      <c r="BQ79" s="239">
        <v>0</v>
      </c>
      <c r="BR79" s="238">
        <f t="shared" si="39"/>
        <v>0</v>
      </c>
      <c r="BS79" s="225"/>
      <c r="BT79" s="239">
        <f t="shared" si="40"/>
        <v>542089</v>
      </c>
      <c r="BU79" s="238">
        <f t="shared" si="41"/>
        <v>5691934.5</v>
      </c>
    </row>
    <row r="80" spans="1:73" ht="14.25">
      <c r="A80" s="241">
        <v>2013</v>
      </c>
      <c r="B80" s="240">
        <f t="shared" si="42"/>
        <v>9.5</v>
      </c>
      <c r="C80" s="239">
        <v>0</v>
      </c>
      <c r="D80" s="238">
        <f t="shared" si="6"/>
        <v>0</v>
      </c>
      <c r="E80" s="239">
        <v>0</v>
      </c>
      <c r="F80" s="238">
        <f t="shared" si="7"/>
        <v>0</v>
      </c>
      <c r="G80" s="239">
        <v>0</v>
      </c>
      <c r="H80" s="238">
        <f t="shared" si="8"/>
        <v>0</v>
      </c>
      <c r="I80" s="239">
        <v>0</v>
      </c>
      <c r="J80" s="238">
        <f t="shared" si="9"/>
        <v>0</v>
      </c>
      <c r="K80" s="239">
        <v>0</v>
      </c>
      <c r="L80" s="238">
        <f t="shared" si="10"/>
        <v>0</v>
      </c>
      <c r="M80" s="239">
        <v>0</v>
      </c>
      <c r="N80" s="238">
        <f t="shared" si="11"/>
        <v>0</v>
      </c>
      <c r="O80" s="239">
        <v>0</v>
      </c>
      <c r="P80" s="238">
        <f t="shared" si="12"/>
        <v>0</v>
      </c>
      <c r="Q80" s="239">
        <v>0</v>
      </c>
      <c r="R80" s="238">
        <f t="shared" si="13"/>
        <v>0</v>
      </c>
      <c r="S80" s="239">
        <v>0</v>
      </c>
      <c r="T80" s="238">
        <f t="shared" si="14"/>
        <v>0</v>
      </c>
      <c r="U80" s="239">
        <v>0</v>
      </c>
      <c r="V80" s="238">
        <f t="shared" si="15"/>
        <v>0</v>
      </c>
      <c r="W80" s="239">
        <v>0</v>
      </c>
      <c r="X80" s="238">
        <f t="shared" si="16"/>
        <v>0</v>
      </c>
      <c r="Y80" s="239">
        <v>0</v>
      </c>
      <c r="Z80" s="238">
        <f t="shared" si="17"/>
        <v>0</v>
      </c>
      <c r="AA80" s="239">
        <v>0</v>
      </c>
      <c r="AB80" s="238">
        <f t="shared" si="18"/>
        <v>0</v>
      </c>
      <c r="AC80" s="239">
        <v>0</v>
      </c>
      <c r="AD80" s="238">
        <f t="shared" si="19"/>
        <v>0</v>
      </c>
      <c r="AE80" s="239">
        <v>0</v>
      </c>
      <c r="AF80" s="238">
        <f t="shared" si="20"/>
        <v>0</v>
      </c>
      <c r="AG80" s="239">
        <v>0</v>
      </c>
      <c r="AH80" s="238">
        <f t="shared" si="21"/>
        <v>0</v>
      </c>
      <c r="AI80" s="239">
        <v>0</v>
      </c>
      <c r="AJ80" s="238">
        <f t="shared" si="22"/>
        <v>0</v>
      </c>
      <c r="AK80" s="239">
        <v>0</v>
      </c>
      <c r="AL80" s="238">
        <f t="shared" si="23"/>
        <v>0</v>
      </c>
      <c r="AM80" s="239">
        <v>0</v>
      </c>
      <c r="AN80" s="238">
        <f t="shared" si="24"/>
        <v>0</v>
      </c>
      <c r="AO80" s="239">
        <v>52697.23000000001</v>
      </c>
      <c r="AP80" s="238">
        <f t="shared" si="25"/>
        <v>500623.68500000011</v>
      </c>
      <c r="AQ80" s="239">
        <v>0</v>
      </c>
      <c r="AR80" s="238">
        <f t="shared" si="26"/>
        <v>0</v>
      </c>
      <c r="AS80" s="239">
        <v>0</v>
      </c>
      <c r="AT80" s="238">
        <f t="shared" si="27"/>
        <v>0</v>
      </c>
      <c r="AU80" s="239">
        <v>0</v>
      </c>
      <c r="AV80" s="238">
        <f t="shared" si="28"/>
        <v>0</v>
      </c>
      <c r="AW80" s="239">
        <v>0</v>
      </c>
      <c r="AX80" s="238">
        <f t="shared" si="29"/>
        <v>0</v>
      </c>
      <c r="AY80" s="239">
        <v>0</v>
      </c>
      <c r="AZ80" s="238">
        <f t="shared" si="30"/>
        <v>0</v>
      </c>
      <c r="BA80" s="239">
        <v>0</v>
      </c>
      <c r="BB80" s="238">
        <f t="shared" si="31"/>
        <v>0</v>
      </c>
      <c r="BC80" s="239">
        <v>0</v>
      </c>
      <c r="BD80" s="238">
        <f t="shared" si="32"/>
        <v>0</v>
      </c>
      <c r="BE80" s="239">
        <v>0</v>
      </c>
      <c r="BF80" s="238">
        <f t="shared" si="33"/>
        <v>0</v>
      </c>
      <c r="BG80" s="239">
        <v>0</v>
      </c>
      <c r="BH80" s="238">
        <f t="shared" si="34"/>
        <v>0</v>
      </c>
      <c r="BI80" s="239">
        <v>0</v>
      </c>
      <c r="BJ80" s="238">
        <f t="shared" si="35"/>
        <v>0</v>
      </c>
      <c r="BK80" s="239">
        <v>0</v>
      </c>
      <c r="BL80" s="238">
        <f t="shared" si="36"/>
        <v>0</v>
      </c>
      <c r="BM80" s="239">
        <v>0</v>
      </c>
      <c r="BN80" s="238">
        <f t="shared" si="37"/>
        <v>0</v>
      </c>
      <c r="BO80" s="239">
        <v>0</v>
      </c>
      <c r="BP80" s="238">
        <f t="shared" si="38"/>
        <v>0</v>
      </c>
      <c r="BQ80" s="239">
        <v>0</v>
      </c>
      <c r="BR80" s="238">
        <f t="shared" si="39"/>
        <v>0</v>
      </c>
      <c r="BS80" s="225"/>
      <c r="BT80" s="239">
        <f t="shared" si="40"/>
        <v>52697</v>
      </c>
      <c r="BU80" s="238">
        <f t="shared" si="41"/>
        <v>500621.5</v>
      </c>
    </row>
    <row r="81" spans="1:73" ht="14.25">
      <c r="A81" s="241">
        <v>2014</v>
      </c>
      <c r="B81" s="240">
        <f t="shared" si="42"/>
        <v>8.5</v>
      </c>
      <c r="C81" s="239">
        <v>0</v>
      </c>
      <c r="D81" s="238">
        <f t="shared" si="6"/>
        <v>0</v>
      </c>
      <c r="E81" s="239">
        <v>0</v>
      </c>
      <c r="F81" s="238">
        <f t="shared" si="7"/>
        <v>0</v>
      </c>
      <c r="G81" s="239">
        <v>0</v>
      </c>
      <c r="H81" s="238">
        <f t="shared" si="8"/>
        <v>0</v>
      </c>
      <c r="I81" s="239">
        <v>0</v>
      </c>
      <c r="J81" s="238">
        <f t="shared" si="9"/>
        <v>0</v>
      </c>
      <c r="K81" s="239">
        <v>0</v>
      </c>
      <c r="L81" s="238">
        <f t="shared" si="10"/>
        <v>0</v>
      </c>
      <c r="M81" s="239">
        <v>0</v>
      </c>
      <c r="N81" s="238">
        <f t="shared" si="11"/>
        <v>0</v>
      </c>
      <c r="O81" s="239">
        <v>0</v>
      </c>
      <c r="P81" s="238">
        <f t="shared" si="12"/>
        <v>0</v>
      </c>
      <c r="Q81" s="239">
        <v>0</v>
      </c>
      <c r="R81" s="238">
        <f t="shared" si="13"/>
        <v>0</v>
      </c>
      <c r="S81" s="239">
        <v>0</v>
      </c>
      <c r="T81" s="238">
        <f t="shared" si="14"/>
        <v>0</v>
      </c>
      <c r="U81" s="239">
        <v>0</v>
      </c>
      <c r="V81" s="238">
        <f t="shared" si="15"/>
        <v>0</v>
      </c>
      <c r="W81" s="239">
        <v>0</v>
      </c>
      <c r="X81" s="238">
        <f t="shared" si="16"/>
        <v>0</v>
      </c>
      <c r="Y81" s="239">
        <v>0</v>
      </c>
      <c r="Z81" s="238">
        <f t="shared" si="17"/>
        <v>0</v>
      </c>
      <c r="AA81" s="239">
        <v>0</v>
      </c>
      <c r="AB81" s="238">
        <f t="shared" si="18"/>
        <v>0</v>
      </c>
      <c r="AC81" s="239">
        <v>0</v>
      </c>
      <c r="AD81" s="238">
        <f t="shared" si="19"/>
        <v>0</v>
      </c>
      <c r="AE81" s="239">
        <v>0</v>
      </c>
      <c r="AF81" s="238">
        <f t="shared" si="20"/>
        <v>0</v>
      </c>
      <c r="AG81" s="239">
        <v>0</v>
      </c>
      <c r="AH81" s="238">
        <f t="shared" si="21"/>
        <v>0</v>
      </c>
      <c r="AI81" s="239">
        <v>0</v>
      </c>
      <c r="AJ81" s="238">
        <f t="shared" si="22"/>
        <v>0</v>
      </c>
      <c r="AK81" s="239">
        <v>0</v>
      </c>
      <c r="AL81" s="238">
        <f t="shared" si="23"/>
        <v>0</v>
      </c>
      <c r="AM81" s="239">
        <v>0</v>
      </c>
      <c r="AN81" s="238">
        <f t="shared" si="24"/>
        <v>0</v>
      </c>
      <c r="AO81" s="239">
        <v>3398.7200000000003</v>
      </c>
      <c r="AP81" s="238">
        <f t="shared" si="25"/>
        <v>28889.120000000003</v>
      </c>
      <c r="AQ81" s="239">
        <v>0</v>
      </c>
      <c r="AR81" s="238">
        <f t="shared" si="26"/>
        <v>0</v>
      </c>
      <c r="AS81" s="239">
        <v>0</v>
      </c>
      <c r="AT81" s="238">
        <f t="shared" si="27"/>
        <v>0</v>
      </c>
      <c r="AU81" s="239">
        <v>0</v>
      </c>
      <c r="AV81" s="238">
        <f t="shared" si="28"/>
        <v>0</v>
      </c>
      <c r="AW81" s="239">
        <v>0</v>
      </c>
      <c r="AX81" s="238">
        <f t="shared" si="29"/>
        <v>0</v>
      </c>
      <c r="AY81" s="239">
        <v>0</v>
      </c>
      <c r="AZ81" s="238">
        <f t="shared" si="30"/>
        <v>0</v>
      </c>
      <c r="BA81" s="239">
        <v>0</v>
      </c>
      <c r="BB81" s="238">
        <f t="shared" si="31"/>
        <v>0</v>
      </c>
      <c r="BC81" s="239">
        <v>0</v>
      </c>
      <c r="BD81" s="238">
        <f t="shared" si="32"/>
        <v>0</v>
      </c>
      <c r="BE81" s="239">
        <v>0</v>
      </c>
      <c r="BF81" s="238">
        <f t="shared" si="33"/>
        <v>0</v>
      </c>
      <c r="BG81" s="239">
        <v>0</v>
      </c>
      <c r="BH81" s="238">
        <f t="shared" si="34"/>
        <v>0</v>
      </c>
      <c r="BI81" s="239">
        <v>0</v>
      </c>
      <c r="BJ81" s="238">
        <f t="shared" si="35"/>
        <v>0</v>
      </c>
      <c r="BK81" s="239">
        <v>0</v>
      </c>
      <c r="BL81" s="238">
        <f t="shared" si="36"/>
        <v>0</v>
      </c>
      <c r="BM81" s="239">
        <v>0</v>
      </c>
      <c r="BN81" s="238">
        <f t="shared" si="37"/>
        <v>0</v>
      </c>
      <c r="BO81" s="239">
        <v>0</v>
      </c>
      <c r="BP81" s="238">
        <f t="shared" si="38"/>
        <v>0</v>
      </c>
      <c r="BQ81" s="239">
        <v>0</v>
      </c>
      <c r="BR81" s="238">
        <f t="shared" si="39"/>
        <v>0</v>
      </c>
      <c r="BS81" s="225"/>
      <c r="BT81" s="239">
        <f t="shared" si="40"/>
        <v>3399</v>
      </c>
      <c r="BU81" s="238">
        <f t="shared" si="41"/>
        <v>28891.5</v>
      </c>
    </row>
    <row r="82" spans="1:73" ht="14.25">
      <c r="A82" s="241">
        <v>2015</v>
      </c>
      <c r="B82" s="240">
        <f t="shared" si="42"/>
        <v>7.5</v>
      </c>
      <c r="C82" s="239">
        <v>0</v>
      </c>
      <c r="D82" s="238">
        <f t="shared" si="6"/>
        <v>0</v>
      </c>
      <c r="E82" s="239">
        <v>0</v>
      </c>
      <c r="F82" s="238">
        <f t="shared" si="7"/>
        <v>0</v>
      </c>
      <c r="G82" s="239">
        <v>0</v>
      </c>
      <c r="H82" s="238">
        <f t="shared" si="8"/>
        <v>0</v>
      </c>
      <c r="I82" s="239">
        <v>0</v>
      </c>
      <c r="J82" s="238">
        <f t="shared" si="9"/>
        <v>0</v>
      </c>
      <c r="K82" s="239">
        <v>0</v>
      </c>
      <c r="L82" s="238">
        <f t="shared" si="10"/>
        <v>0</v>
      </c>
      <c r="M82" s="239">
        <v>0</v>
      </c>
      <c r="N82" s="238">
        <f t="shared" si="11"/>
        <v>0</v>
      </c>
      <c r="O82" s="239">
        <v>0</v>
      </c>
      <c r="P82" s="238">
        <f t="shared" si="12"/>
        <v>0</v>
      </c>
      <c r="Q82" s="239">
        <v>0</v>
      </c>
      <c r="R82" s="238">
        <f t="shared" si="13"/>
        <v>0</v>
      </c>
      <c r="S82" s="239">
        <v>0</v>
      </c>
      <c r="T82" s="238">
        <f t="shared" si="14"/>
        <v>0</v>
      </c>
      <c r="U82" s="239">
        <v>0</v>
      </c>
      <c r="V82" s="238">
        <f t="shared" si="15"/>
        <v>0</v>
      </c>
      <c r="W82" s="239">
        <v>0</v>
      </c>
      <c r="X82" s="238">
        <f t="shared" si="16"/>
        <v>0</v>
      </c>
      <c r="Y82" s="239">
        <v>0</v>
      </c>
      <c r="Z82" s="238">
        <f t="shared" si="17"/>
        <v>0</v>
      </c>
      <c r="AA82" s="239">
        <v>0</v>
      </c>
      <c r="AB82" s="238">
        <f t="shared" si="18"/>
        <v>0</v>
      </c>
      <c r="AC82" s="239">
        <v>0</v>
      </c>
      <c r="AD82" s="238">
        <f t="shared" si="19"/>
        <v>0</v>
      </c>
      <c r="AE82" s="239">
        <v>0</v>
      </c>
      <c r="AF82" s="238">
        <f t="shared" si="20"/>
        <v>0</v>
      </c>
      <c r="AG82" s="239">
        <v>0</v>
      </c>
      <c r="AH82" s="238">
        <f t="shared" si="21"/>
        <v>0</v>
      </c>
      <c r="AI82" s="239">
        <v>0</v>
      </c>
      <c r="AJ82" s="238">
        <f t="shared" si="22"/>
        <v>0</v>
      </c>
      <c r="AK82" s="239">
        <v>0</v>
      </c>
      <c r="AL82" s="238">
        <f t="shared" si="23"/>
        <v>0</v>
      </c>
      <c r="AM82" s="239">
        <v>0</v>
      </c>
      <c r="AN82" s="238">
        <f t="shared" si="24"/>
        <v>0</v>
      </c>
      <c r="AO82" s="239">
        <v>4931.2900000000045</v>
      </c>
      <c r="AP82" s="238">
        <f t="shared" si="25"/>
        <v>36984.675000000032</v>
      </c>
      <c r="AQ82" s="239">
        <v>0</v>
      </c>
      <c r="AR82" s="238">
        <f t="shared" si="26"/>
        <v>0</v>
      </c>
      <c r="AS82" s="239">
        <v>8492.8400000000001</v>
      </c>
      <c r="AT82" s="238">
        <f t="shared" si="27"/>
        <v>63696.300000000003</v>
      </c>
      <c r="AU82" s="239">
        <v>0</v>
      </c>
      <c r="AV82" s="238">
        <f t="shared" si="28"/>
        <v>0</v>
      </c>
      <c r="AW82" s="239">
        <v>0</v>
      </c>
      <c r="AX82" s="238">
        <f t="shared" si="29"/>
        <v>0</v>
      </c>
      <c r="AY82" s="239">
        <v>0</v>
      </c>
      <c r="AZ82" s="238">
        <f t="shared" si="30"/>
        <v>0</v>
      </c>
      <c r="BA82" s="239">
        <v>0</v>
      </c>
      <c r="BB82" s="238">
        <f t="shared" si="31"/>
        <v>0</v>
      </c>
      <c r="BC82" s="239">
        <v>0</v>
      </c>
      <c r="BD82" s="238">
        <f t="shared" si="32"/>
        <v>0</v>
      </c>
      <c r="BE82" s="239">
        <v>0</v>
      </c>
      <c r="BF82" s="238">
        <f t="shared" si="33"/>
        <v>0</v>
      </c>
      <c r="BG82" s="239">
        <v>0</v>
      </c>
      <c r="BH82" s="238">
        <f t="shared" si="34"/>
        <v>0</v>
      </c>
      <c r="BI82" s="239">
        <v>0</v>
      </c>
      <c r="BJ82" s="238">
        <f t="shared" si="35"/>
        <v>0</v>
      </c>
      <c r="BK82" s="239">
        <v>0</v>
      </c>
      <c r="BL82" s="238">
        <f t="shared" si="36"/>
        <v>0</v>
      </c>
      <c r="BM82" s="239">
        <v>0</v>
      </c>
      <c r="BN82" s="238">
        <f t="shared" si="37"/>
        <v>0</v>
      </c>
      <c r="BO82" s="239">
        <v>0</v>
      </c>
      <c r="BP82" s="238">
        <f t="shared" si="38"/>
        <v>0</v>
      </c>
      <c r="BQ82" s="239">
        <v>0</v>
      </c>
      <c r="BR82" s="238">
        <f t="shared" si="39"/>
        <v>0</v>
      </c>
      <c r="BS82" s="225"/>
      <c r="BT82" s="239">
        <f t="shared" si="40"/>
        <v>13424</v>
      </c>
      <c r="BU82" s="238">
        <f t="shared" si="41"/>
        <v>100680</v>
      </c>
    </row>
    <row r="83" spans="1:73" ht="14.25" hidden="1">
      <c r="A83" s="241">
        <v>2016</v>
      </c>
      <c r="B83" s="240">
        <f t="shared" si="42"/>
        <v>6.5</v>
      </c>
      <c r="C83" s="239">
        <v>0</v>
      </c>
      <c r="D83" s="238">
        <f t="shared" si="6"/>
        <v>0</v>
      </c>
      <c r="E83" s="239">
        <v>0</v>
      </c>
      <c r="F83" s="238">
        <f t="shared" si="7"/>
        <v>0</v>
      </c>
      <c r="G83" s="239">
        <v>0</v>
      </c>
      <c r="H83" s="238">
        <f t="shared" si="8"/>
        <v>0</v>
      </c>
      <c r="I83" s="239">
        <v>0</v>
      </c>
      <c r="J83" s="238">
        <f t="shared" si="9"/>
        <v>0</v>
      </c>
      <c r="K83" s="239">
        <v>0</v>
      </c>
      <c r="L83" s="238">
        <f t="shared" si="10"/>
        <v>0</v>
      </c>
      <c r="M83" s="239">
        <v>0</v>
      </c>
      <c r="N83" s="238">
        <f t="shared" si="11"/>
        <v>0</v>
      </c>
      <c r="O83" s="239">
        <v>0</v>
      </c>
      <c r="P83" s="238">
        <f t="shared" si="12"/>
        <v>0</v>
      </c>
      <c r="Q83" s="239">
        <v>0</v>
      </c>
      <c r="R83" s="238">
        <f t="shared" si="13"/>
        <v>0</v>
      </c>
      <c r="S83" s="239">
        <v>0</v>
      </c>
      <c r="T83" s="238">
        <f t="shared" si="14"/>
        <v>0</v>
      </c>
      <c r="U83" s="239">
        <v>0</v>
      </c>
      <c r="V83" s="238">
        <f t="shared" si="15"/>
        <v>0</v>
      </c>
      <c r="W83" s="239">
        <v>0</v>
      </c>
      <c r="X83" s="238">
        <f t="shared" si="16"/>
        <v>0</v>
      </c>
      <c r="Y83" s="239">
        <v>0</v>
      </c>
      <c r="Z83" s="238">
        <f t="shared" si="17"/>
        <v>0</v>
      </c>
      <c r="AA83" s="239">
        <v>0</v>
      </c>
      <c r="AB83" s="238">
        <f t="shared" si="18"/>
        <v>0</v>
      </c>
      <c r="AC83" s="239">
        <v>0</v>
      </c>
      <c r="AD83" s="238">
        <f t="shared" si="19"/>
        <v>0</v>
      </c>
      <c r="AE83" s="239">
        <v>0</v>
      </c>
      <c r="AF83" s="238">
        <f t="shared" si="20"/>
        <v>0</v>
      </c>
      <c r="AG83" s="239">
        <v>0</v>
      </c>
      <c r="AH83" s="238">
        <f t="shared" si="21"/>
        <v>0</v>
      </c>
      <c r="AI83" s="239">
        <v>0</v>
      </c>
      <c r="AJ83" s="238">
        <f t="shared" si="22"/>
        <v>0</v>
      </c>
      <c r="AK83" s="239">
        <v>0</v>
      </c>
      <c r="AL83" s="238">
        <f t="shared" si="23"/>
        <v>0</v>
      </c>
      <c r="AM83" s="239">
        <v>0</v>
      </c>
      <c r="AN83" s="238">
        <f t="shared" si="24"/>
        <v>0</v>
      </c>
      <c r="AO83" s="239">
        <v>0</v>
      </c>
      <c r="AP83" s="238">
        <f t="shared" si="25"/>
        <v>0</v>
      </c>
      <c r="AQ83" s="239">
        <v>0</v>
      </c>
      <c r="AR83" s="238">
        <f t="shared" si="26"/>
        <v>0</v>
      </c>
      <c r="AS83" s="239">
        <v>0</v>
      </c>
      <c r="AT83" s="238">
        <f t="shared" si="27"/>
        <v>0</v>
      </c>
      <c r="AU83" s="239">
        <v>0</v>
      </c>
      <c r="AV83" s="238">
        <f t="shared" si="28"/>
        <v>0</v>
      </c>
      <c r="AW83" s="239">
        <v>0</v>
      </c>
      <c r="AX83" s="238">
        <f t="shared" si="29"/>
        <v>0</v>
      </c>
      <c r="AY83" s="239">
        <v>0</v>
      </c>
      <c r="AZ83" s="238">
        <f t="shared" si="30"/>
        <v>0</v>
      </c>
      <c r="BA83" s="239">
        <v>0</v>
      </c>
      <c r="BB83" s="238">
        <f t="shared" si="31"/>
        <v>0</v>
      </c>
      <c r="BC83" s="239">
        <v>0</v>
      </c>
      <c r="BD83" s="238">
        <f t="shared" si="32"/>
        <v>0</v>
      </c>
      <c r="BE83" s="239">
        <v>0</v>
      </c>
      <c r="BF83" s="238">
        <f t="shared" si="33"/>
        <v>0</v>
      </c>
      <c r="BG83" s="239">
        <v>0</v>
      </c>
      <c r="BH83" s="238">
        <f t="shared" si="34"/>
        <v>0</v>
      </c>
      <c r="BI83" s="239">
        <v>0</v>
      </c>
      <c r="BJ83" s="238">
        <f t="shared" si="35"/>
        <v>0</v>
      </c>
      <c r="BK83" s="239">
        <v>0</v>
      </c>
      <c r="BL83" s="238">
        <f t="shared" si="36"/>
        <v>0</v>
      </c>
      <c r="BM83" s="239">
        <v>0</v>
      </c>
      <c r="BN83" s="238">
        <f t="shared" si="37"/>
        <v>0</v>
      </c>
      <c r="BO83" s="239">
        <v>0</v>
      </c>
      <c r="BP83" s="238">
        <f t="shared" si="38"/>
        <v>0</v>
      </c>
      <c r="BQ83" s="239">
        <v>0</v>
      </c>
      <c r="BR83" s="238">
        <f t="shared" si="39"/>
        <v>0</v>
      </c>
      <c r="BS83" s="225"/>
      <c r="BT83" s="239">
        <f t="shared" si="40"/>
        <v>0</v>
      </c>
      <c r="BU83" s="238">
        <f t="shared" si="41"/>
        <v>0</v>
      </c>
    </row>
    <row r="84" spans="1:73" ht="14.25" hidden="1">
      <c r="A84" s="241">
        <v>2017</v>
      </c>
      <c r="B84" s="240">
        <f t="shared" si="42"/>
        <v>5.5</v>
      </c>
      <c r="C84" s="239">
        <v>0</v>
      </c>
      <c r="D84" s="238">
        <f t="shared" si="6"/>
        <v>0</v>
      </c>
      <c r="E84" s="239">
        <v>0</v>
      </c>
      <c r="F84" s="238">
        <f t="shared" si="7"/>
        <v>0</v>
      </c>
      <c r="G84" s="239">
        <v>0</v>
      </c>
      <c r="H84" s="238">
        <f t="shared" si="8"/>
        <v>0</v>
      </c>
      <c r="I84" s="239">
        <v>0</v>
      </c>
      <c r="J84" s="238">
        <f t="shared" si="9"/>
        <v>0</v>
      </c>
      <c r="K84" s="239">
        <v>0</v>
      </c>
      <c r="L84" s="238">
        <f t="shared" si="10"/>
        <v>0</v>
      </c>
      <c r="M84" s="239">
        <v>0</v>
      </c>
      <c r="N84" s="238">
        <f t="shared" si="11"/>
        <v>0</v>
      </c>
      <c r="O84" s="239">
        <v>0</v>
      </c>
      <c r="P84" s="238">
        <f t="shared" si="12"/>
        <v>0</v>
      </c>
      <c r="Q84" s="239">
        <v>0</v>
      </c>
      <c r="R84" s="238">
        <f t="shared" si="13"/>
        <v>0</v>
      </c>
      <c r="S84" s="239">
        <v>0</v>
      </c>
      <c r="T84" s="238">
        <f t="shared" si="14"/>
        <v>0</v>
      </c>
      <c r="U84" s="239">
        <v>0</v>
      </c>
      <c r="V84" s="238">
        <f t="shared" si="15"/>
        <v>0</v>
      </c>
      <c r="W84" s="239">
        <v>0</v>
      </c>
      <c r="X84" s="238">
        <f t="shared" si="16"/>
        <v>0</v>
      </c>
      <c r="Y84" s="239">
        <v>0</v>
      </c>
      <c r="Z84" s="238">
        <f t="shared" si="17"/>
        <v>0</v>
      </c>
      <c r="AA84" s="239">
        <v>0</v>
      </c>
      <c r="AB84" s="238">
        <f t="shared" si="18"/>
        <v>0</v>
      </c>
      <c r="AC84" s="239">
        <v>0</v>
      </c>
      <c r="AD84" s="238">
        <f t="shared" si="19"/>
        <v>0</v>
      </c>
      <c r="AE84" s="239">
        <v>0</v>
      </c>
      <c r="AF84" s="238">
        <f t="shared" si="20"/>
        <v>0</v>
      </c>
      <c r="AG84" s="239">
        <v>0</v>
      </c>
      <c r="AH84" s="238">
        <f t="shared" si="21"/>
        <v>0</v>
      </c>
      <c r="AI84" s="239">
        <v>0</v>
      </c>
      <c r="AJ84" s="238">
        <f t="shared" si="22"/>
        <v>0</v>
      </c>
      <c r="AK84" s="239">
        <v>0</v>
      </c>
      <c r="AL84" s="238">
        <f t="shared" si="23"/>
        <v>0</v>
      </c>
      <c r="AM84" s="239">
        <v>0</v>
      </c>
      <c r="AN84" s="238">
        <f t="shared" si="24"/>
        <v>0</v>
      </c>
      <c r="AO84" s="239">
        <v>0</v>
      </c>
      <c r="AP84" s="238">
        <f t="shared" si="25"/>
        <v>0</v>
      </c>
      <c r="AQ84" s="239">
        <v>0</v>
      </c>
      <c r="AR84" s="238">
        <f t="shared" si="26"/>
        <v>0</v>
      </c>
      <c r="AS84" s="239">
        <v>0</v>
      </c>
      <c r="AT84" s="238">
        <f t="shared" si="27"/>
        <v>0</v>
      </c>
      <c r="AU84" s="239">
        <v>0</v>
      </c>
      <c r="AV84" s="238">
        <f t="shared" si="28"/>
        <v>0</v>
      </c>
      <c r="AW84" s="239">
        <v>0</v>
      </c>
      <c r="AX84" s="238">
        <f t="shared" si="29"/>
        <v>0</v>
      </c>
      <c r="AY84" s="239">
        <v>0</v>
      </c>
      <c r="AZ84" s="238">
        <f t="shared" si="30"/>
        <v>0</v>
      </c>
      <c r="BA84" s="239">
        <v>0</v>
      </c>
      <c r="BB84" s="238">
        <f t="shared" si="31"/>
        <v>0</v>
      </c>
      <c r="BC84" s="239">
        <v>0</v>
      </c>
      <c r="BD84" s="238">
        <f t="shared" si="32"/>
        <v>0</v>
      </c>
      <c r="BE84" s="239">
        <v>0</v>
      </c>
      <c r="BF84" s="238">
        <f t="shared" si="33"/>
        <v>0</v>
      </c>
      <c r="BG84" s="239">
        <v>0</v>
      </c>
      <c r="BH84" s="238">
        <f t="shared" si="34"/>
        <v>0</v>
      </c>
      <c r="BI84" s="239">
        <v>0</v>
      </c>
      <c r="BJ84" s="238">
        <f t="shared" si="35"/>
        <v>0</v>
      </c>
      <c r="BK84" s="239">
        <v>0</v>
      </c>
      <c r="BL84" s="238">
        <f t="shared" si="36"/>
        <v>0</v>
      </c>
      <c r="BM84" s="239">
        <v>0</v>
      </c>
      <c r="BN84" s="238">
        <f t="shared" si="37"/>
        <v>0</v>
      </c>
      <c r="BO84" s="239">
        <v>0</v>
      </c>
      <c r="BP84" s="238">
        <f t="shared" si="38"/>
        <v>0</v>
      </c>
      <c r="BQ84" s="239">
        <v>0</v>
      </c>
      <c r="BR84" s="238">
        <f t="shared" si="39"/>
        <v>0</v>
      </c>
      <c r="BS84" s="225"/>
      <c r="BT84" s="239">
        <f t="shared" si="40"/>
        <v>0</v>
      </c>
      <c r="BU84" s="238">
        <f t="shared" si="41"/>
        <v>0</v>
      </c>
    </row>
    <row r="85" spans="1:73" ht="14.25" hidden="1">
      <c r="A85" s="241">
        <v>2018</v>
      </c>
      <c r="B85" s="240">
        <f t="shared" si="42"/>
        <v>4.5</v>
      </c>
      <c r="C85" s="239">
        <v>0</v>
      </c>
      <c r="D85" s="238">
        <f t="shared" si="6"/>
        <v>0</v>
      </c>
      <c r="E85" s="239">
        <v>0</v>
      </c>
      <c r="F85" s="238">
        <f t="shared" si="7"/>
        <v>0</v>
      </c>
      <c r="G85" s="239">
        <v>0</v>
      </c>
      <c r="H85" s="238">
        <f t="shared" si="8"/>
        <v>0</v>
      </c>
      <c r="I85" s="239">
        <v>0</v>
      </c>
      <c r="J85" s="238">
        <f t="shared" si="9"/>
        <v>0</v>
      </c>
      <c r="K85" s="239">
        <v>0</v>
      </c>
      <c r="L85" s="238">
        <f t="shared" si="10"/>
        <v>0</v>
      </c>
      <c r="M85" s="239">
        <v>0</v>
      </c>
      <c r="N85" s="238">
        <f t="shared" si="11"/>
        <v>0</v>
      </c>
      <c r="O85" s="239">
        <v>0</v>
      </c>
      <c r="P85" s="238">
        <f t="shared" si="12"/>
        <v>0</v>
      </c>
      <c r="Q85" s="239">
        <v>0</v>
      </c>
      <c r="R85" s="238">
        <f t="shared" si="13"/>
        <v>0</v>
      </c>
      <c r="S85" s="239">
        <v>0</v>
      </c>
      <c r="T85" s="238">
        <f t="shared" si="14"/>
        <v>0</v>
      </c>
      <c r="U85" s="239">
        <v>0</v>
      </c>
      <c r="V85" s="238">
        <f t="shared" si="15"/>
        <v>0</v>
      </c>
      <c r="W85" s="239">
        <v>0</v>
      </c>
      <c r="X85" s="238">
        <f t="shared" si="16"/>
        <v>0</v>
      </c>
      <c r="Y85" s="239">
        <v>0</v>
      </c>
      <c r="Z85" s="238">
        <f t="shared" si="17"/>
        <v>0</v>
      </c>
      <c r="AA85" s="239">
        <v>0</v>
      </c>
      <c r="AB85" s="238">
        <f t="shared" si="18"/>
        <v>0</v>
      </c>
      <c r="AC85" s="239">
        <v>0</v>
      </c>
      <c r="AD85" s="238">
        <f t="shared" si="19"/>
        <v>0</v>
      </c>
      <c r="AE85" s="239">
        <v>0</v>
      </c>
      <c r="AF85" s="238">
        <f t="shared" si="20"/>
        <v>0</v>
      </c>
      <c r="AG85" s="239">
        <v>0</v>
      </c>
      <c r="AH85" s="238">
        <f t="shared" si="21"/>
        <v>0</v>
      </c>
      <c r="AI85" s="239">
        <v>0</v>
      </c>
      <c r="AJ85" s="238">
        <f t="shared" si="22"/>
        <v>0</v>
      </c>
      <c r="AK85" s="239">
        <v>0</v>
      </c>
      <c r="AL85" s="238">
        <f t="shared" si="23"/>
        <v>0</v>
      </c>
      <c r="AM85" s="239">
        <v>0</v>
      </c>
      <c r="AN85" s="238">
        <f t="shared" si="24"/>
        <v>0</v>
      </c>
      <c r="AO85" s="239">
        <v>0</v>
      </c>
      <c r="AP85" s="238">
        <f t="shared" si="25"/>
        <v>0</v>
      </c>
      <c r="AQ85" s="239">
        <v>0</v>
      </c>
      <c r="AR85" s="238">
        <f t="shared" si="26"/>
        <v>0</v>
      </c>
      <c r="AS85" s="239">
        <v>0</v>
      </c>
      <c r="AT85" s="238">
        <f t="shared" si="27"/>
        <v>0</v>
      </c>
      <c r="AU85" s="239">
        <v>0</v>
      </c>
      <c r="AV85" s="238">
        <f t="shared" si="28"/>
        <v>0</v>
      </c>
      <c r="AW85" s="239">
        <v>0</v>
      </c>
      <c r="AX85" s="238">
        <f t="shared" si="29"/>
        <v>0</v>
      </c>
      <c r="AY85" s="239">
        <v>0</v>
      </c>
      <c r="AZ85" s="238">
        <f t="shared" si="30"/>
        <v>0</v>
      </c>
      <c r="BA85" s="239">
        <v>0</v>
      </c>
      <c r="BB85" s="238">
        <f t="shared" si="31"/>
        <v>0</v>
      </c>
      <c r="BC85" s="239">
        <v>0</v>
      </c>
      <c r="BD85" s="238">
        <f t="shared" si="32"/>
        <v>0</v>
      </c>
      <c r="BE85" s="239">
        <v>0</v>
      </c>
      <c r="BF85" s="238">
        <f t="shared" si="33"/>
        <v>0</v>
      </c>
      <c r="BG85" s="239">
        <v>0</v>
      </c>
      <c r="BH85" s="238">
        <f t="shared" si="34"/>
        <v>0</v>
      </c>
      <c r="BI85" s="239">
        <v>0</v>
      </c>
      <c r="BJ85" s="238">
        <f t="shared" si="35"/>
        <v>0</v>
      </c>
      <c r="BK85" s="239">
        <v>0</v>
      </c>
      <c r="BL85" s="238">
        <f t="shared" si="36"/>
        <v>0</v>
      </c>
      <c r="BM85" s="239">
        <v>0</v>
      </c>
      <c r="BN85" s="238">
        <f t="shared" si="37"/>
        <v>0</v>
      </c>
      <c r="BO85" s="239">
        <v>0</v>
      </c>
      <c r="BP85" s="238">
        <f t="shared" si="38"/>
        <v>0</v>
      </c>
      <c r="BQ85" s="239">
        <v>0</v>
      </c>
      <c r="BR85" s="238">
        <f t="shared" si="39"/>
        <v>0</v>
      </c>
      <c r="BS85" s="225"/>
      <c r="BT85" s="239">
        <f t="shared" si="40"/>
        <v>0</v>
      </c>
      <c r="BU85" s="238">
        <f t="shared" si="41"/>
        <v>0</v>
      </c>
    </row>
    <row r="86" spans="1:73" ht="14.25" hidden="1">
      <c r="A86" s="241">
        <v>2019</v>
      </c>
      <c r="B86" s="240">
        <f t="shared" si="42"/>
        <v>3.5</v>
      </c>
      <c r="C86" s="239">
        <v>0</v>
      </c>
      <c r="D86" s="238">
        <f t="shared" si="6"/>
        <v>0</v>
      </c>
      <c r="E86" s="239">
        <v>0</v>
      </c>
      <c r="F86" s="238">
        <f t="shared" si="7"/>
        <v>0</v>
      </c>
      <c r="G86" s="239">
        <v>0</v>
      </c>
      <c r="H86" s="238">
        <f t="shared" si="8"/>
        <v>0</v>
      </c>
      <c r="I86" s="239">
        <v>0</v>
      </c>
      <c r="J86" s="238">
        <f t="shared" si="9"/>
        <v>0</v>
      </c>
      <c r="K86" s="239">
        <v>0</v>
      </c>
      <c r="L86" s="238">
        <f t="shared" si="10"/>
        <v>0</v>
      </c>
      <c r="M86" s="239">
        <v>0</v>
      </c>
      <c r="N86" s="238">
        <f t="shared" si="11"/>
        <v>0</v>
      </c>
      <c r="O86" s="239">
        <v>0</v>
      </c>
      <c r="P86" s="238">
        <f t="shared" si="12"/>
        <v>0</v>
      </c>
      <c r="Q86" s="239">
        <v>0</v>
      </c>
      <c r="R86" s="238">
        <f t="shared" si="13"/>
        <v>0</v>
      </c>
      <c r="S86" s="239">
        <v>0</v>
      </c>
      <c r="T86" s="238">
        <f t="shared" si="14"/>
        <v>0</v>
      </c>
      <c r="U86" s="239">
        <v>0</v>
      </c>
      <c r="V86" s="238">
        <f t="shared" si="15"/>
        <v>0</v>
      </c>
      <c r="W86" s="239">
        <v>0</v>
      </c>
      <c r="X86" s="238">
        <f t="shared" si="16"/>
        <v>0</v>
      </c>
      <c r="Y86" s="239">
        <v>0</v>
      </c>
      <c r="Z86" s="238">
        <f t="shared" si="17"/>
        <v>0</v>
      </c>
      <c r="AA86" s="239">
        <v>0</v>
      </c>
      <c r="AB86" s="238">
        <f t="shared" si="18"/>
        <v>0</v>
      </c>
      <c r="AC86" s="239">
        <v>0</v>
      </c>
      <c r="AD86" s="238">
        <f t="shared" si="19"/>
        <v>0</v>
      </c>
      <c r="AE86" s="239">
        <v>0</v>
      </c>
      <c r="AF86" s="238">
        <f t="shared" si="20"/>
        <v>0</v>
      </c>
      <c r="AG86" s="239">
        <v>0</v>
      </c>
      <c r="AH86" s="238">
        <f t="shared" si="21"/>
        <v>0</v>
      </c>
      <c r="AI86" s="239">
        <v>0</v>
      </c>
      <c r="AJ86" s="238">
        <f t="shared" si="22"/>
        <v>0</v>
      </c>
      <c r="AK86" s="239">
        <v>0</v>
      </c>
      <c r="AL86" s="238">
        <f t="shared" si="23"/>
        <v>0</v>
      </c>
      <c r="AM86" s="239">
        <v>0</v>
      </c>
      <c r="AN86" s="238">
        <f t="shared" si="24"/>
        <v>0</v>
      </c>
      <c r="AO86" s="239">
        <v>0</v>
      </c>
      <c r="AP86" s="238">
        <f t="shared" si="25"/>
        <v>0</v>
      </c>
      <c r="AQ86" s="239">
        <v>0</v>
      </c>
      <c r="AR86" s="238">
        <f t="shared" si="26"/>
        <v>0</v>
      </c>
      <c r="AS86" s="239">
        <v>0</v>
      </c>
      <c r="AT86" s="238">
        <f t="shared" si="27"/>
        <v>0</v>
      </c>
      <c r="AU86" s="239">
        <v>0</v>
      </c>
      <c r="AV86" s="238">
        <f t="shared" si="28"/>
        <v>0</v>
      </c>
      <c r="AW86" s="239">
        <v>0</v>
      </c>
      <c r="AX86" s="238">
        <f t="shared" si="29"/>
        <v>0</v>
      </c>
      <c r="AY86" s="239">
        <v>0</v>
      </c>
      <c r="AZ86" s="238">
        <f t="shared" si="30"/>
        <v>0</v>
      </c>
      <c r="BA86" s="239">
        <v>0</v>
      </c>
      <c r="BB86" s="238">
        <f t="shared" si="31"/>
        <v>0</v>
      </c>
      <c r="BC86" s="239">
        <v>0</v>
      </c>
      <c r="BD86" s="238">
        <f t="shared" si="32"/>
        <v>0</v>
      </c>
      <c r="BE86" s="239">
        <v>0</v>
      </c>
      <c r="BF86" s="238">
        <f t="shared" si="33"/>
        <v>0</v>
      </c>
      <c r="BG86" s="239">
        <v>0</v>
      </c>
      <c r="BH86" s="238">
        <f t="shared" si="34"/>
        <v>0</v>
      </c>
      <c r="BI86" s="239">
        <v>0</v>
      </c>
      <c r="BJ86" s="238">
        <f t="shared" si="35"/>
        <v>0</v>
      </c>
      <c r="BK86" s="239">
        <v>0</v>
      </c>
      <c r="BL86" s="238">
        <f t="shared" si="36"/>
        <v>0</v>
      </c>
      <c r="BM86" s="239">
        <v>0</v>
      </c>
      <c r="BN86" s="238">
        <f t="shared" si="37"/>
        <v>0</v>
      </c>
      <c r="BO86" s="239">
        <v>0</v>
      </c>
      <c r="BP86" s="238">
        <f t="shared" si="38"/>
        <v>0</v>
      </c>
      <c r="BQ86" s="239">
        <v>0</v>
      </c>
      <c r="BR86" s="238">
        <f t="shared" si="39"/>
        <v>0</v>
      </c>
      <c r="BS86" s="225"/>
      <c r="BT86" s="239">
        <f t="shared" si="40"/>
        <v>0</v>
      </c>
      <c r="BU86" s="238">
        <f t="shared" si="41"/>
        <v>0</v>
      </c>
    </row>
    <row r="87" spans="1:73" ht="14.25" hidden="1">
      <c r="A87" s="241">
        <v>2020</v>
      </c>
      <c r="B87" s="240">
        <f t="shared" si="42"/>
        <v>2.5</v>
      </c>
      <c r="C87" s="239">
        <v>0</v>
      </c>
      <c r="D87" s="238">
        <f t="shared" si="6"/>
        <v>0</v>
      </c>
      <c r="E87" s="239">
        <v>0</v>
      </c>
      <c r="F87" s="238">
        <f t="shared" si="7"/>
        <v>0</v>
      </c>
      <c r="G87" s="239">
        <v>0</v>
      </c>
      <c r="H87" s="238">
        <f t="shared" si="8"/>
        <v>0</v>
      </c>
      <c r="I87" s="239">
        <v>0</v>
      </c>
      <c r="J87" s="238">
        <f t="shared" si="9"/>
        <v>0</v>
      </c>
      <c r="K87" s="239">
        <v>0</v>
      </c>
      <c r="L87" s="238">
        <f t="shared" si="10"/>
        <v>0</v>
      </c>
      <c r="M87" s="239">
        <v>0</v>
      </c>
      <c r="N87" s="238">
        <f t="shared" si="11"/>
        <v>0</v>
      </c>
      <c r="O87" s="239">
        <v>0</v>
      </c>
      <c r="P87" s="238">
        <f t="shared" si="12"/>
        <v>0</v>
      </c>
      <c r="Q87" s="239">
        <v>0</v>
      </c>
      <c r="R87" s="238">
        <f t="shared" si="13"/>
        <v>0</v>
      </c>
      <c r="S87" s="239">
        <v>0</v>
      </c>
      <c r="T87" s="238">
        <f t="shared" si="14"/>
        <v>0</v>
      </c>
      <c r="U87" s="239">
        <v>0</v>
      </c>
      <c r="V87" s="238">
        <f t="shared" si="15"/>
        <v>0</v>
      </c>
      <c r="W87" s="239">
        <v>0</v>
      </c>
      <c r="X87" s="238">
        <f t="shared" si="16"/>
        <v>0</v>
      </c>
      <c r="Y87" s="239">
        <v>0</v>
      </c>
      <c r="Z87" s="238">
        <f t="shared" si="17"/>
        <v>0</v>
      </c>
      <c r="AA87" s="239">
        <v>0</v>
      </c>
      <c r="AB87" s="238">
        <f t="shared" si="18"/>
        <v>0</v>
      </c>
      <c r="AC87" s="239">
        <v>0</v>
      </c>
      <c r="AD87" s="238">
        <f t="shared" si="19"/>
        <v>0</v>
      </c>
      <c r="AE87" s="239">
        <v>0</v>
      </c>
      <c r="AF87" s="238">
        <f t="shared" si="20"/>
        <v>0</v>
      </c>
      <c r="AG87" s="239">
        <v>0</v>
      </c>
      <c r="AH87" s="238">
        <f t="shared" si="21"/>
        <v>0</v>
      </c>
      <c r="AI87" s="239">
        <v>0</v>
      </c>
      <c r="AJ87" s="238">
        <f t="shared" si="22"/>
        <v>0</v>
      </c>
      <c r="AK87" s="239">
        <v>0</v>
      </c>
      <c r="AL87" s="238">
        <f t="shared" si="23"/>
        <v>0</v>
      </c>
      <c r="AM87" s="239">
        <v>0</v>
      </c>
      <c r="AN87" s="238">
        <f t="shared" si="24"/>
        <v>0</v>
      </c>
      <c r="AO87" s="239">
        <v>0</v>
      </c>
      <c r="AP87" s="238">
        <f t="shared" si="25"/>
        <v>0</v>
      </c>
      <c r="AQ87" s="239">
        <v>0</v>
      </c>
      <c r="AR87" s="238">
        <f t="shared" si="26"/>
        <v>0</v>
      </c>
      <c r="AS87" s="239">
        <v>0</v>
      </c>
      <c r="AT87" s="238">
        <f t="shared" si="27"/>
        <v>0</v>
      </c>
      <c r="AU87" s="239">
        <v>0</v>
      </c>
      <c r="AV87" s="238">
        <f t="shared" si="28"/>
        <v>0</v>
      </c>
      <c r="AW87" s="239">
        <v>0</v>
      </c>
      <c r="AX87" s="238">
        <f t="shared" si="29"/>
        <v>0</v>
      </c>
      <c r="AY87" s="239">
        <v>0</v>
      </c>
      <c r="AZ87" s="238">
        <f t="shared" si="30"/>
        <v>0</v>
      </c>
      <c r="BA87" s="239">
        <v>0</v>
      </c>
      <c r="BB87" s="238">
        <f t="shared" si="31"/>
        <v>0</v>
      </c>
      <c r="BC87" s="239">
        <v>0</v>
      </c>
      <c r="BD87" s="238">
        <f t="shared" si="32"/>
        <v>0</v>
      </c>
      <c r="BE87" s="239">
        <v>0</v>
      </c>
      <c r="BF87" s="238">
        <f t="shared" si="33"/>
        <v>0</v>
      </c>
      <c r="BG87" s="239">
        <v>0</v>
      </c>
      <c r="BH87" s="238">
        <f t="shared" si="34"/>
        <v>0</v>
      </c>
      <c r="BI87" s="239">
        <v>0</v>
      </c>
      <c r="BJ87" s="238">
        <f t="shared" si="35"/>
        <v>0</v>
      </c>
      <c r="BK87" s="239">
        <v>0</v>
      </c>
      <c r="BL87" s="238">
        <f t="shared" si="36"/>
        <v>0</v>
      </c>
      <c r="BM87" s="239">
        <v>0</v>
      </c>
      <c r="BN87" s="238">
        <f t="shared" si="37"/>
        <v>0</v>
      </c>
      <c r="BO87" s="239">
        <v>0</v>
      </c>
      <c r="BP87" s="238">
        <f t="shared" si="38"/>
        <v>0</v>
      </c>
      <c r="BQ87" s="239">
        <v>0</v>
      </c>
      <c r="BR87" s="238">
        <f t="shared" si="39"/>
        <v>0</v>
      </c>
      <c r="BS87" s="225"/>
      <c r="BT87" s="239">
        <f t="shared" si="40"/>
        <v>0</v>
      </c>
      <c r="BU87" s="238">
        <f t="shared" si="41"/>
        <v>0</v>
      </c>
    </row>
    <row r="88" spans="1:73" ht="14.25" hidden="1">
      <c r="A88" s="241">
        <v>2021</v>
      </c>
      <c r="B88" s="240">
        <f t="shared" si="42"/>
        <v>1.5</v>
      </c>
      <c r="C88" s="239">
        <v>0</v>
      </c>
      <c r="D88" s="238">
        <f t="shared" si="6"/>
        <v>0</v>
      </c>
      <c r="E88" s="239">
        <v>0</v>
      </c>
      <c r="F88" s="238">
        <f t="shared" si="7"/>
        <v>0</v>
      </c>
      <c r="G88" s="239">
        <v>0</v>
      </c>
      <c r="H88" s="238">
        <f t="shared" si="8"/>
        <v>0</v>
      </c>
      <c r="I88" s="239">
        <v>0</v>
      </c>
      <c r="J88" s="238">
        <f t="shared" si="9"/>
        <v>0</v>
      </c>
      <c r="K88" s="239">
        <v>0</v>
      </c>
      <c r="L88" s="238">
        <f t="shared" si="10"/>
        <v>0</v>
      </c>
      <c r="M88" s="239">
        <v>0</v>
      </c>
      <c r="N88" s="238">
        <f t="shared" si="11"/>
        <v>0</v>
      </c>
      <c r="O88" s="239">
        <v>0</v>
      </c>
      <c r="P88" s="238">
        <f t="shared" si="12"/>
        <v>0</v>
      </c>
      <c r="Q88" s="239">
        <v>0</v>
      </c>
      <c r="R88" s="238">
        <f t="shared" si="13"/>
        <v>0</v>
      </c>
      <c r="S88" s="239">
        <v>0</v>
      </c>
      <c r="T88" s="238">
        <f t="shared" si="14"/>
        <v>0</v>
      </c>
      <c r="U88" s="239">
        <v>0</v>
      </c>
      <c r="V88" s="238">
        <f t="shared" si="15"/>
        <v>0</v>
      </c>
      <c r="W88" s="239">
        <v>0</v>
      </c>
      <c r="X88" s="238">
        <f t="shared" si="16"/>
        <v>0</v>
      </c>
      <c r="Y88" s="239">
        <v>0</v>
      </c>
      <c r="Z88" s="238">
        <f t="shared" si="17"/>
        <v>0</v>
      </c>
      <c r="AA88" s="239">
        <v>0</v>
      </c>
      <c r="AB88" s="238">
        <f t="shared" si="18"/>
        <v>0</v>
      </c>
      <c r="AC88" s="239">
        <v>0</v>
      </c>
      <c r="AD88" s="238">
        <f t="shared" si="19"/>
        <v>0</v>
      </c>
      <c r="AE88" s="239">
        <v>0</v>
      </c>
      <c r="AF88" s="238">
        <f t="shared" si="20"/>
        <v>0</v>
      </c>
      <c r="AG88" s="239">
        <v>0</v>
      </c>
      <c r="AH88" s="238">
        <f t="shared" si="21"/>
        <v>0</v>
      </c>
      <c r="AI88" s="239">
        <v>0</v>
      </c>
      <c r="AJ88" s="238">
        <f t="shared" si="22"/>
        <v>0</v>
      </c>
      <c r="AK88" s="239">
        <v>0</v>
      </c>
      <c r="AL88" s="238">
        <f t="shared" si="23"/>
        <v>0</v>
      </c>
      <c r="AM88" s="239">
        <v>0</v>
      </c>
      <c r="AN88" s="238">
        <f t="shared" si="24"/>
        <v>0</v>
      </c>
      <c r="AO88" s="239">
        <v>0</v>
      </c>
      <c r="AP88" s="238">
        <f t="shared" si="25"/>
        <v>0</v>
      </c>
      <c r="AQ88" s="239">
        <v>0</v>
      </c>
      <c r="AR88" s="238">
        <f t="shared" si="26"/>
        <v>0</v>
      </c>
      <c r="AS88" s="239">
        <v>0</v>
      </c>
      <c r="AT88" s="238">
        <f t="shared" si="27"/>
        <v>0</v>
      </c>
      <c r="AU88" s="239">
        <v>0</v>
      </c>
      <c r="AV88" s="238">
        <f t="shared" si="28"/>
        <v>0</v>
      </c>
      <c r="AW88" s="239">
        <v>0</v>
      </c>
      <c r="AX88" s="238">
        <f t="shared" si="29"/>
        <v>0</v>
      </c>
      <c r="AY88" s="239">
        <v>0</v>
      </c>
      <c r="AZ88" s="238">
        <f t="shared" si="30"/>
        <v>0</v>
      </c>
      <c r="BA88" s="239">
        <v>0</v>
      </c>
      <c r="BB88" s="238">
        <f t="shared" si="31"/>
        <v>0</v>
      </c>
      <c r="BC88" s="239">
        <v>0</v>
      </c>
      <c r="BD88" s="238">
        <f t="shared" si="32"/>
        <v>0</v>
      </c>
      <c r="BE88" s="239">
        <v>0</v>
      </c>
      <c r="BF88" s="238">
        <f t="shared" si="33"/>
        <v>0</v>
      </c>
      <c r="BG88" s="239">
        <v>0</v>
      </c>
      <c r="BH88" s="238">
        <f t="shared" si="34"/>
        <v>0</v>
      </c>
      <c r="BI88" s="239">
        <v>0</v>
      </c>
      <c r="BJ88" s="238">
        <f t="shared" si="35"/>
        <v>0</v>
      </c>
      <c r="BK88" s="239">
        <v>0</v>
      </c>
      <c r="BL88" s="238">
        <f t="shared" si="36"/>
        <v>0</v>
      </c>
      <c r="BM88" s="239">
        <v>0</v>
      </c>
      <c r="BN88" s="238">
        <f t="shared" si="37"/>
        <v>0</v>
      </c>
      <c r="BO88" s="239">
        <v>0</v>
      </c>
      <c r="BP88" s="238">
        <f t="shared" si="38"/>
        <v>0</v>
      </c>
      <c r="BQ88" s="239">
        <v>0</v>
      </c>
      <c r="BR88" s="238">
        <f t="shared" si="39"/>
        <v>0</v>
      </c>
      <c r="BS88" s="225"/>
      <c r="BT88" s="239">
        <f t="shared" si="40"/>
        <v>0</v>
      </c>
      <c r="BU88" s="238">
        <f t="shared" si="41"/>
        <v>0</v>
      </c>
    </row>
    <row r="89" spans="1:73" ht="14.25" hidden="1">
      <c r="A89" s="241">
        <v>2022</v>
      </c>
      <c r="B89" s="240">
        <f>$A$89-A89+0.5</f>
        <v>0.5</v>
      </c>
      <c r="C89" s="239">
        <v>0</v>
      </c>
      <c r="D89" s="238">
        <f t="shared" si="6"/>
        <v>0</v>
      </c>
      <c r="E89" s="239">
        <v>0</v>
      </c>
      <c r="F89" s="238">
        <f t="shared" si="7"/>
        <v>0</v>
      </c>
      <c r="G89" s="239">
        <v>0</v>
      </c>
      <c r="H89" s="238">
        <f t="shared" si="8"/>
        <v>0</v>
      </c>
      <c r="I89" s="239">
        <v>0</v>
      </c>
      <c r="J89" s="238">
        <f t="shared" si="9"/>
        <v>0</v>
      </c>
      <c r="K89" s="239">
        <v>0</v>
      </c>
      <c r="L89" s="238">
        <f t="shared" si="10"/>
        <v>0</v>
      </c>
      <c r="M89" s="239">
        <v>0</v>
      </c>
      <c r="N89" s="238">
        <f t="shared" si="11"/>
        <v>0</v>
      </c>
      <c r="O89" s="239">
        <v>0</v>
      </c>
      <c r="P89" s="238">
        <f t="shared" si="12"/>
        <v>0</v>
      </c>
      <c r="Q89" s="239">
        <v>0</v>
      </c>
      <c r="R89" s="238">
        <f t="shared" si="13"/>
        <v>0</v>
      </c>
      <c r="S89" s="239">
        <v>0</v>
      </c>
      <c r="T89" s="238">
        <f t="shared" si="14"/>
        <v>0</v>
      </c>
      <c r="U89" s="239">
        <v>0</v>
      </c>
      <c r="V89" s="238">
        <f t="shared" si="15"/>
        <v>0</v>
      </c>
      <c r="W89" s="239">
        <v>0</v>
      </c>
      <c r="X89" s="238">
        <f t="shared" si="16"/>
        <v>0</v>
      </c>
      <c r="Y89" s="239">
        <v>0</v>
      </c>
      <c r="Z89" s="238">
        <f t="shared" si="17"/>
        <v>0</v>
      </c>
      <c r="AA89" s="239">
        <v>0</v>
      </c>
      <c r="AB89" s="238">
        <f t="shared" si="18"/>
        <v>0</v>
      </c>
      <c r="AC89" s="239">
        <v>0</v>
      </c>
      <c r="AD89" s="238">
        <f t="shared" si="19"/>
        <v>0</v>
      </c>
      <c r="AE89" s="239">
        <v>0</v>
      </c>
      <c r="AF89" s="238">
        <f t="shared" si="20"/>
        <v>0</v>
      </c>
      <c r="AG89" s="239">
        <v>0</v>
      </c>
      <c r="AH89" s="238">
        <f t="shared" si="21"/>
        <v>0</v>
      </c>
      <c r="AI89" s="239">
        <v>0</v>
      </c>
      <c r="AJ89" s="238">
        <f t="shared" si="22"/>
        <v>0</v>
      </c>
      <c r="AK89" s="239">
        <v>0</v>
      </c>
      <c r="AL89" s="238">
        <f t="shared" si="23"/>
        <v>0</v>
      </c>
      <c r="AM89" s="239">
        <v>0</v>
      </c>
      <c r="AN89" s="238">
        <f t="shared" si="24"/>
        <v>0</v>
      </c>
      <c r="AO89" s="239">
        <v>0</v>
      </c>
      <c r="AP89" s="238">
        <f t="shared" si="25"/>
        <v>0</v>
      </c>
      <c r="AQ89" s="239">
        <v>0</v>
      </c>
      <c r="AR89" s="238">
        <f t="shared" si="26"/>
        <v>0</v>
      </c>
      <c r="AS89" s="239">
        <v>0</v>
      </c>
      <c r="AT89" s="238">
        <f t="shared" si="27"/>
        <v>0</v>
      </c>
      <c r="AU89" s="239">
        <v>0</v>
      </c>
      <c r="AV89" s="238">
        <f t="shared" si="28"/>
        <v>0</v>
      </c>
      <c r="AW89" s="239">
        <v>0</v>
      </c>
      <c r="AX89" s="238">
        <f t="shared" si="29"/>
        <v>0</v>
      </c>
      <c r="AY89" s="239">
        <v>0</v>
      </c>
      <c r="AZ89" s="238">
        <f t="shared" si="30"/>
        <v>0</v>
      </c>
      <c r="BA89" s="239">
        <v>0</v>
      </c>
      <c r="BB89" s="238">
        <f t="shared" si="31"/>
        <v>0</v>
      </c>
      <c r="BC89" s="239">
        <v>0</v>
      </c>
      <c r="BD89" s="238">
        <f t="shared" si="32"/>
        <v>0</v>
      </c>
      <c r="BE89" s="239">
        <v>0</v>
      </c>
      <c r="BF89" s="238">
        <f t="shared" si="33"/>
        <v>0</v>
      </c>
      <c r="BG89" s="239">
        <v>0</v>
      </c>
      <c r="BH89" s="238">
        <f t="shared" si="34"/>
        <v>0</v>
      </c>
      <c r="BI89" s="239">
        <v>0</v>
      </c>
      <c r="BJ89" s="238">
        <f t="shared" si="35"/>
        <v>0</v>
      </c>
      <c r="BK89" s="239">
        <v>0</v>
      </c>
      <c r="BL89" s="238">
        <f t="shared" si="36"/>
        <v>0</v>
      </c>
      <c r="BM89" s="239">
        <v>0</v>
      </c>
      <c r="BN89" s="238">
        <f t="shared" si="37"/>
        <v>0</v>
      </c>
      <c r="BO89" s="239">
        <v>0</v>
      </c>
      <c r="BP89" s="238">
        <f t="shared" si="38"/>
        <v>0</v>
      </c>
      <c r="BQ89" s="239">
        <v>0</v>
      </c>
      <c r="BR89" s="238">
        <f t="shared" si="39"/>
        <v>0</v>
      </c>
      <c r="BS89" s="225"/>
      <c r="BT89" s="239">
        <f t="shared" si="40"/>
        <v>0</v>
      </c>
      <c r="BU89" s="238">
        <f t="shared" si="41"/>
        <v>0</v>
      </c>
    </row>
    <row r="90" spans="1:73" ht="14.25">
      <c r="A90" s="237"/>
      <c r="B90" s="236"/>
      <c r="C90" s="235">
        <f>SUM(C6:C89)</f>
        <v>0</v>
      </c>
      <c r="D90" s="234"/>
      <c r="E90" s="235">
        <f>SUM(E6:E89)</f>
        <v>0</v>
      </c>
      <c r="F90" s="234"/>
      <c r="G90" s="235">
        <f>SUM(G6:G89)</f>
        <v>1045653.9999999999</v>
      </c>
      <c r="H90" s="234"/>
      <c r="I90" s="235">
        <f>SUM(I6:I89)</f>
        <v>566209</v>
      </c>
      <c r="J90" s="234"/>
      <c r="K90" s="235">
        <f>SUM(K6:K89)</f>
        <v>0</v>
      </c>
      <c r="L90" s="234"/>
      <c r="M90" s="235">
        <f>SUM(M6:M89)</f>
        <v>0</v>
      </c>
      <c r="N90" s="234"/>
      <c r="O90" s="235">
        <f>SUM(O6:O89)</f>
        <v>0</v>
      </c>
      <c r="P90" s="234"/>
      <c r="Q90" s="235">
        <f>SUM(Q6:Q89)</f>
        <v>385350</v>
      </c>
      <c r="R90" s="234"/>
      <c r="S90" s="235">
        <f>SUM(S6:S89)</f>
        <v>445488</v>
      </c>
      <c r="T90" s="234"/>
      <c r="U90" s="235">
        <f>SUM(U6:U89)</f>
        <v>0</v>
      </c>
      <c r="V90" s="234"/>
      <c r="W90" s="235">
        <f>SUM(W6:W89)</f>
        <v>94320</v>
      </c>
      <c r="X90" s="234"/>
      <c r="Y90" s="235">
        <f>SUM(Y6:Y89)</f>
        <v>0</v>
      </c>
      <c r="Z90" s="234"/>
      <c r="AA90" s="235">
        <f>SUM(AA6:AA89)</f>
        <v>0</v>
      </c>
      <c r="AB90" s="234"/>
      <c r="AC90" s="235">
        <f>SUM(AC6:AC89)</f>
        <v>0</v>
      </c>
      <c r="AD90" s="234"/>
      <c r="AE90" s="235">
        <f>SUM(AE6:AE89)</f>
        <v>4531</v>
      </c>
      <c r="AF90" s="234"/>
      <c r="AG90" s="235">
        <f>SUM(AG6:AG89)</f>
        <v>0</v>
      </c>
      <c r="AH90" s="234"/>
      <c r="AI90" s="235">
        <f>SUM(AI6:AI89)</f>
        <v>45546.999999999993</v>
      </c>
      <c r="AJ90" s="234"/>
      <c r="AK90" s="235">
        <f>SUM(AK6:AK89)</f>
        <v>0</v>
      </c>
      <c r="AL90" s="234"/>
      <c r="AM90" s="235">
        <f>SUM(AM6:AM89)</f>
        <v>41870.469999999994</v>
      </c>
      <c r="AN90" s="234"/>
      <c r="AO90" s="235">
        <f>SUM(AO6:AO89)</f>
        <v>231790.39999999999</v>
      </c>
      <c r="AP90" s="234"/>
      <c r="AQ90" s="235">
        <f>SUM(AQ6:AQ89)</f>
        <v>5251.4700000000003</v>
      </c>
      <c r="AR90" s="234"/>
      <c r="AS90" s="235">
        <f>SUM(AS6:AS89)</f>
        <v>379122.45000000001</v>
      </c>
      <c r="AT90" s="234"/>
      <c r="AU90" s="235">
        <f>SUM(AU6:AU89)</f>
        <v>0</v>
      </c>
      <c r="AV90" s="234"/>
      <c r="AW90" s="235">
        <f>SUM(AW6:AW89)</f>
        <v>58922.349999999999</v>
      </c>
      <c r="AX90" s="234"/>
      <c r="AY90" s="235">
        <f>SUM(AY6:AY89)</f>
        <v>287324</v>
      </c>
      <c r="AZ90" s="234"/>
      <c r="BA90" s="235">
        <f>SUM(BA6:BA89)</f>
        <v>0</v>
      </c>
      <c r="BB90" s="234"/>
      <c r="BC90" s="235">
        <f>SUM(BC6:BC89)</f>
        <v>0</v>
      </c>
      <c r="BD90" s="234"/>
      <c r="BE90" s="235">
        <f>SUM(BE6:BE89)</f>
        <v>524.38999999999999</v>
      </c>
      <c r="BF90" s="234"/>
      <c r="BG90" s="235">
        <f>SUM(BG6:BG89)</f>
        <v>29475.090000000004</v>
      </c>
      <c r="BH90" s="234"/>
      <c r="BI90" s="235">
        <f>SUM(BI6:BI89)</f>
        <v>0</v>
      </c>
      <c r="BJ90" s="234"/>
      <c r="BK90" s="235">
        <f>SUM(BK6:BK89)</f>
        <v>0</v>
      </c>
      <c r="BL90" s="234"/>
      <c r="BM90" s="235">
        <f>SUM(BM6:BM89)</f>
        <v>296215.89999999997</v>
      </c>
      <c r="BN90" s="234"/>
      <c r="BO90" s="235">
        <f>SUM(BO6:BO89)</f>
        <v>20177.709999999999</v>
      </c>
      <c r="BP90" s="234"/>
      <c r="BQ90" s="235">
        <f>SUM(BQ6:BQ89)</f>
        <v>0</v>
      </c>
      <c r="BR90" s="234"/>
      <c r="BS90" s="225"/>
      <c r="BT90" s="235">
        <f>SUM(BT6:BT89)</f>
        <v>3937773</v>
      </c>
      <c r="BU90" s="234"/>
    </row>
    <row r="91" spans="1:73" ht="15" thickBot="1">
      <c r="A91" s="233"/>
      <c r="B91" s="232"/>
      <c r="C91" s="231"/>
      <c r="D91" s="230">
        <f>SUM(D6:D89)</f>
        <v>0</v>
      </c>
      <c r="E91" s="231"/>
      <c r="F91" s="230">
        <f>SUM(F6:F89)</f>
        <v>0</v>
      </c>
      <c r="G91" s="231"/>
      <c r="H91" s="230">
        <f>SUM(H6:H89)</f>
        <v>40292672.140000001</v>
      </c>
      <c r="I91" s="231"/>
      <c r="J91" s="230">
        <f>SUM(J6:J89)</f>
        <v>40883508.730000004</v>
      </c>
      <c r="K91" s="231"/>
      <c r="L91" s="230">
        <f>SUM(L6:L89)</f>
        <v>0</v>
      </c>
      <c r="M91" s="231"/>
      <c r="N91" s="230">
        <f>SUM(N6:N89)</f>
        <v>0</v>
      </c>
      <c r="O91" s="231"/>
      <c r="P91" s="230">
        <f>SUM(P6:P89)</f>
        <v>0</v>
      </c>
      <c r="Q91" s="231"/>
      <c r="R91" s="230">
        <f>SUM(R6:R89)</f>
        <v>15242497.870000001</v>
      </c>
      <c r="S91" s="231"/>
      <c r="T91" s="230">
        <f>SUM(T6:T89)</f>
        <v>23912468.999999993</v>
      </c>
      <c r="U91" s="231"/>
      <c r="V91" s="230">
        <f>SUM(V6:V89)</f>
        <v>0</v>
      </c>
      <c r="W91" s="231"/>
      <c r="X91" s="230">
        <f>SUM(X6:X89)</f>
        <v>4389331.1600000001</v>
      </c>
      <c r="Y91" s="231"/>
      <c r="Z91" s="230">
        <f>SUM(Z6:Z89)</f>
        <v>0</v>
      </c>
      <c r="AA91" s="231"/>
      <c r="AB91" s="230">
        <f>SUM(AB6:AB89)</f>
        <v>0</v>
      </c>
      <c r="AC91" s="231"/>
      <c r="AD91" s="230">
        <f>SUM(AD6:AD89)</f>
        <v>0</v>
      </c>
      <c r="AE91" s="231"/>
      <c r="AF91" s="230">
        <f>SUM(AF6:AF89)</f>
        <v>172649.5</v>
      </c>
      <c r="AG91" s="231"/>
      <c r="AH91" s="230">
        <f>SUM(AH6:AH89)</f>
        <v>0</v>
      </c>
      <c r="AI91" s="231"/>
      <c r="AJ91" s="230">
        <f>SUM(AJ6:AJ89)</f>
        <v>1460381.4100000001</v>
      </c>
      <c r="AK91" s="231"/>
      <c r="AL91" s="230">
        <f>SUM(AL6:AL89)</f>
        <v>0</v>
      </c>
      <c r="AM91" s="231"/>
      <c r="AN91" s="230">
        <f>SUM(AN6:AN89)</f>
        <v>439639.93499999994</v>
      </c>
      <c r="AO91" s="231"/>
      <c r="AP91" s="230">
        <f>SUM(AP6:AP89)</f>
        <v>2568514.4199999999</v>
      </c>
      <c r="AQ91" s="231"/>
      <c r="AR91" s="230">
        <f>SUM(AR6:AR89)</f>
        <v>55140.435000000005</v>
      </c>
      <c r="AS91" s="231"/>
      <c r="AT91" s="230">
        <f>SUM(AT6:AT89)</f>
        <v>4437331.3049999997</v>
      </c>
      <c r="AU91" s="231"/>
      <c r="AV91" s="230">
        <f>SUM(AV6:AV89)</f>
        <v>0</v>
      </c>
      <c r="AW91" s="231"/>
      <c r="AX91" s="230">
        <f>SUM(AX6:AX89)</f>
        <v>618684.67499999993</v>
      </c>
      <c r="AY91" s="231"/>
      <c r="AZ91" s="230">
        <f>SUM(AZ6:AZ89)</f>
        <v>4517749.8400000008</v>
      </c>
      <c r="BA91" s="231"/>
      <c r="BB91" s="230">
        <f>SUM(BB6:BB89)</f>
        <v>0</v>
      </c>
      <c r="BC91" s="231"/>
      <c r="BD91" s="230">
        <f>SUM(BD6:BD89)</f>
        <v>0</v>
      </c>
      <c r="BE91" s="231"/>
      <c r="BF91" s="230">
        <f>SUM(BF6:BF89)</f>
        <v>13896.334999999999</v>
      </c>
      <c r="BG91" s="231"/>
      <c r="BH91" s="230">
        <f>SUM(BH6:BH89)</f>
        <v>456863.89500000008</v>
      </c>
      <c r="BI91" s="231"/>
      <c r="BJ91" s="230">
        <f>SUM(BJ6:BJ89)</f>
        <v>0</v>
      </c>
      <c r="BK91" s="231"/>
      <c r="BL91" s="230">
        <f>SUM(BL6:BL89)</f>
        <v>0</v>
      </c>
      <c r="BM91" s="231"/>
      <c r="BN91" s="230">
        <f>SUM(BN6:BN89)</f>
        <v>3998914.6499999994</v>
      </c>
      <c r="BO91" s="231"/>
      <c r="BP91" s="230">
        <f>SUM(BP6:BP89)</f>
        <v>353109.92499999999</v>
      </c>
      <c r="BQ91" s="231"/>
      <c r="BR91" s="230">
        <f>SUM(BR6:BR89)</f>
        <v>0</v>
      </c>
      <c r="BS91" s="225"/>
      <c r="BT91" s="231"/>
      <c r="BU91" s="230">
        <f>SUM(BU6:BU89)</f>
        <v>143813346.5</v>
      </c>
    </row>
    <row r="92" spans="1:73" ht="14.25">
      <c r="A92" s="229"/>
      <c r="B92" s="228"/>
      <c r="C92" s="224">
        <f>IFERROR(ROUND(D91/C90,2),0)</f>
        <v>0</v>
      </c>
      <c r="D92" s="223"/>
      <c r="E92" s="224">
        <f>IFERROR(ROUND(F91/E90,2),0)</f>
        <v>0</v>
      </c>
      <c r="F92" s="223"/>
      <c r="G92" s="224">
        <f>IFERROR(ROUND(H91/G90,2),0)</f>
        <v>38.530000000000001</v>
      </c>
      <c r="H92" s="223"/>
      <c r="I92" s="224">
        <f>IFERROR(ROUND(J91/I90,2),0)</f>
        <v>72.209999999999994</v>
      </c>
      <c r="J92" s="223"/>
      <c r="K92" s="224">
        <f>IFERROR(ROUND(L91/K90,2),0)</f>
        <v>0</v>
      </c>
      <c r="L92" s="223"/>
      <c r="M92" s="224">
        <f>IFERROR(ROUND(N91/M90,2),0)</f>
        <v>0</v>
      </c>
      <c r="N92" s="223"/>
      <c r="O92" s="224">
        <f>IFERROR(ROUND(P91/O90,2),0)</f>
        <v>0</v>
      </c>
      <c r="P92" s="223"/>
      <c r="Q92" s="224">
        <f>IFERROR(ROUND(R91/Q90,2),0)</f>
        <v>39.549999999999997</v>
      </c>
      <c r="R92" s="223"/>
      <c r="S92" s="224">
        <f>IFERROR(ROUND(T91/S90,2),0)</f>
        <v>53.68</v>
      </c>
      <c r="T92" s="223"/>
      <c r="U92" s="224">
        <f>IFERROR(ROUND(V91/U90,2),0)</f>
        <v>0</v>
      </c>
      <c r="V92" s="223"/>
      <c r="W92" s="227">
        <f>IFERROR(ROUND(X91/W90,2),0)</f>
        <v>46.539999999999999</v>
      </c>
      <c r="X92" s="223"/>
      <c r="Y92" s="226">
        <f>IFERROR(ROUND(Z91/Y90,2),0)</f>
        <v>0</v>
      </c>
      <c r="Z92" s="226"/>
      <c r="AA92" s="224">
        <f>IFERROR(ROUND(AB91/AA90,2),0)</f>
        <v>0</v>
      </c>
      <c r="AB92" s="223"/>
      <c r="AC92" s="226">
        <f>IFERROR(ROUND(AD91/AC90,2),0)</f>
        <v>0</v>
      </c>
      <c r="AD92" s="226"/>
      <c r="AE92" s="224">
        <f>IFERROR(ROUND(AF91/AE90,2),0)</f>
        <v>38.100000000000001</v>
      </c>
      <c r="AF92" s="223"/>
      <c r="AG92" s="224">
        <f>IFERROR(ROUND(AH91/AG90,2),0)</f>
        <v>0</v>
      </c>
      <c r="AH92" s="223"/>
      <c r="AI92" s="224">
        <f>IFERROR(ROUND(AJ91/AI90,2),0)</f>
        <v>32.060000000000002</v>
      </c>
      <c r="AJ92" s="223"/>
      <c r="AK92" s="224">
        <f>IFERROR(ROUND(AL91/AK90,2),0)</f>
        <v>0</v>
      </c>
      <c r="AL92" s="223"/>
      <c r="AM92" s="224">
        <f>IFERROR(ROUND(AN91/AM90,2),0)</f>
        <v>10.5</v>
      </c>
      <c r="AN92" s="223"/>
      <c r="AO92" s="224">
        <f>IFERROR(ROUND(AP91/AO90,2),0)</f>
        <v>11.08</v>
      </c>
      <c r="AP92" s="223"/>
      <c r="AQ92" s="224">
        <f>IFERROR(ROUND(AR91/AQ90,2),0)</f>
        <v>10.5</v>
      </c>
      <c r="AR92" s="223"/>
      <c r="AS92" s="224">
        <f>IFERROR(ROUND(AT91/AS90,2),0)</f>
        <v>11.699999999999999</v>
      </c>
      <c r="AT92" s="223"/>
      <c r="AU92" s="224">
        <f>IFERROR(ROUND(AV91/AU90,2),0)</f>
        <v>0</v>
      </c>
      <c r="AV92" s="223"/>
      <c r="AW92" s="224">
        <f>IFERROR(ROUND(AX91/AW90,2),0)</f>
        <v>10.5</v>
      </c>
      <c r="AX92" s="223"/>
      <c r="AY92" s="224">
        <f>IFERROR(ROUND(AZ91/AY90,2),0)</f>
        <v>15.720000000000001</v>
      </c>
      <c r="AZ92" s="223"/>
      <c r="BA92" s="224">
        <f>IFERROR(ROUND(BB91/BA90,2),0)</f>
        <v>0</v>
      </c>
      <c r="BB92" s="223"/>
      <c r="BC92" s="224">
        <f>IFERROR(ROUND(BD91/BC90,2),0)</f>
        <v>0</v>
      </c>
      <c r="BD92" s="223"/>
      <c r="BE92" s="224">
        <f>IFERROR(ROUND(BF91/BE90,2),0)</f>
        <v>26.5</v>
      </c>
      <c r="BF92" s="223"/>
      <c r="BG92" s="224">
        <f>IFERROR(ROUND(BH91/BG90,2),0)</f>
        <v>15.5</v>
      </c>
      <c r="BH92" s="223"/>
      <c r="BI92" s="224">
        <f>IFERROR(ROUND(BJ91/BI90,2),0)</f>
        <v>0</v>
      </c>
      <c r="BJ92" s="223"/>
      <c r="BK92" s="224">
        <f>IFERROR(ROUND(BL91/BK90,2),0)</f>
        <v>0</v>
      </c>
      <c r="BL92" s="223"/>
      <c r="BM92" s="224">
        <f>IFERROR(ROUND(BN91/BM90,2),0)</f>
        <v>13.5</v>
      </c>
      <c r="BN92" s="223"/>
      <c r="BO92" s="224">
        <f>IFERROR(ROUND(BP91/BO90,2),0)</f>
        <v>17.5</v>
      </c>
      <c r="BP92" s="223"/>
      <c r="BQ92" s="224">
        <f>IFERROR(ROUND(BR91/BQ90,2),0)</f>
        <v>0</v>
      </c>
      <c r="BR92" s="223"/>
      <c r="BS92" s="225"/>
      <c r="BT92" s="224">
        <f>IFERROR(ROUND(BU91/BT90,2),0)</f>
        <v>36.520000000000003</v>
      </c>
      <c r="BU92" s="223"/>
    </row>
  </sheetData>
  <mergeCells count="9">
    <mergeCell ref="AY3:BU3"/>
    <mergeCell ref="AY2:BU2"/>
    <mergeCell ref="AY1:BU1"/>
    <mergeCell ref="G1:AF1"/>
    <mergeCell ref="G2:AF2"/>
    <mergeCell ref="G3:AF3"/>
    <mergeCell ref="AI1:AX1"/>
    <mergeCell ref="AI2:AX2"/>
    <mergeCell ref="AI3:AX3"/>
  </mergeCells>
  <printOptions horizontalCentered="1"/>
  <pageMargins left="0.5" right="0.5" top="1.01" bottom="0.5" header="0.5" footer="0.2"/>
  <pageSetup fitToWidth="0" orientation="portrait" scale="63"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colBreaks count="2" manualBreakCount="2">
    <brk id="32" max="1048575" man="1"/>
    <brk id="50"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1"/>
  <sheetViews>
    <sheetView workbookViewId="0" topLeftCell="A38">
      <selection pane="topLeft" activeCell="E58" sqref="E58"/>
    </sheetView>
  </sheetViews>
  <sheetFormatPr defaultRowHeight="15"/>
  <cols>
    <col min="1" max="1" width="8.28571428571429" bestFit="1" customWidth="1"/>
    <col min="2" max="9" width="10.7142857142857" bestFit="1" customWidth="1"/>
    <col min="10" max="10" width="11" bestFit="1" customWidth="1"/>
    <col min="11" max="12" width="10.7142857142857" bestFit="1" customWidth="1"/>
    <col min="13" max="14" width="11.7142857142857" bestFit="1" customWidth="1"/>
  </cols>
  <sheetData>
    <row r="1" spans="1:14" s="520" customFormat="1" ht="18">
      <c r="A1" s="912" t="s">
        <v>56</v>
      </c>
      <c r="B1" s="912"/>
      <c r="C1" s="912"/>
      <c r="D1" s="912"/>
      <c r="E1" s="912"/>
      <c r="F1" s="912"/>
      <c r="G1" s="912"/>
      <c r="H1" s="912"/>
      <c r="I1" s="912"/>
      <c r="J1" s="912"/>
      <c r="K1" s="912"/>
      <c r="L1" s="912"/>
      <c r="M1" s="912"/>
      <c r="N1" s="912"/>
    </row>
    <row r="2" spans="1:14" s="379" customFormat="1" ht="12.75">
      <c r="A2" s="913" t="s">
        <v>649</v>
      </c>
      <c r="B2" s="913"/>
      <c r="C2" s="913"/>
      <c r="D2" s="913"/>
      <c r="E2" s="913"/>
      <c r="F2" s="913"/>
      <c r="G2" s="913"/>
      <c r="H2" s="913"/>
      <c r="I2" s="913"/>
      <c r="J2" s="913"/>
      <c r="K2" s="913"/>
      <c r="L2" s="913"/>
      <c r="M2" s="913"/>
      <c r="N2" s="913"/>
    </row>
    <row r="3" spans="1:14" s="521" customFormat="1" ht="15.75">
      <c r="A3" s="911" t="s">
        <v>655</v>
      </c>
      <c r="B3" s="911"/>
      <c r="C3" s="911"/>
      <c r="D3" s="911"/>
      <c r="E3" s="911"/>
      <c r="F3" s="911"/>
      <c r="G3" s="911"/>
      <c r="H3" s="911"/>
      <c r="I3" s="911"/>
      <c r="J3" s="911"/>
      <c r="K3" s="911"/>
      <c r="L3" s="911"/>
      <c r="M3" s="911"/>
      <c r="N3" s="911"/>
    </row>
    <row r="4" spans="1:14" s="521" customFormat="1" ht="15.75">
      <c r="A4" s="911">
        <v>2022</v>
      </c>
      <c r="B4" s="911"/>
      <c r="C4" s="911"/>
      <c r="D4" s="911"/>
      <c r="E4" s="911"/>
      <c r="F4" s="911"/>
      <c r="G4" s="911"/>
      <c r="H4" s="911"/>
      <c r="I4" s="911"/>
      <c r="J4" s="911"/>
      <c r="K4" s="911"/>
      <c r="L4" s="911"/>
      <c r="M4" s="911"/>
      <c r="N4" s="911"/>
    </row>
    <row r="5" s="7" customFormat="1" ht="15" thickBot="1"/>
    <row r="6" spans="1:14" ht="15.75" thickTop="1">
      <c r="A6" s="917" t="s">
        <v>177</v>
      </c>
      <c r="B6" s="918"/>
      <c r="C6" s="918"/>
      <c r="D6" s="918"/>
      <c r="E6" s="918"/>
      <c r="F6" s="918"/>
      <c r="G6" s="918"/>
      <c r="H6" s="918"/>
      <c r="I6" s="918"/>
      <c r="J6" s="918"/>
      <c r="K6" s="918"/>
      <c r="L6" s="918"/>
      <c r="M6" s="918"/>
      <c r="N6" s="919"/>
    </row>
    <row r="7" spans="1:16" ht="15">
      <c r="A7" s="208" t="s">
        <v>178</v>
      </c>
      <c r="B7" s="205" t="s">
        <v>179</v>
      </c>
      <c r="C7" s="205" t="s">
        <v>179</v>
      </c>
      <c r="D7" s="205" t="s">
        <v>179</v>
      </c>
      <c r="E7" s="205" t="s">
        <v>180</v>
      </c>
      <c r="F7" s="205" t="s">
        <v>180</v>
      </c>
      <c r="G7" s="205" t="s">
        <v>180</v>
      </c>
      <c r="H7" s="205" t="s">
        <v>180</v>
      </c>
      <c r="I7" s="205" t="s">
        <v>180</v>
      </c>
      <c r="J7" s="205" t="s">
        <v>180</v>
      </c>
      <c r="K7" s="205" t="s">
        <v>180</v>
      </c>
      <c r="L7" s="205" t="s">
        <v>180</v>
      </c>
      <c r="M7" s="205" t="s">
        <v>180</v>
      </c>
      <c r="N7" s="203">
        <v>2022</v>
      </c>
      <c r="P7" s="542" t="s">
        <v>656</v>
      </c>
    </row>
    <row r="8" spans="1:14" ht="15">
      <c r="A8" s="202" t="s">
        <v>181</v>
      </c>
      <c r="B8" s="199" t="s">
        <v>182</v>
      </c>
      <c r="C8" s="199" t="s">
        <v>183</v>
      </c>
      <c r="D8" s="199" t="s">
        <v>184</v>
      </c>
      <c r="E8" s="199" t="s">
        <v>185</v>
      </c>
      <c r="F8" s="199" t="s">
        <v>186</v>
      </c>
      <c r="G8" s="199" t="s">
        <v>187</v>
      </c>
      <c r="H8" s="199" t="s">
        <v>188</v>
      </c>
      <c r="I8" s="199" t="s">
        <v>189</v>
      </c>
      <c r="J8" s="199" t="s">
        <v>190</v>
      </c>
      <c r="K8" s="199" t="s">
        <v>191</v>
      </c>
      <c r="L8" s="199" t="s">
        <v>192</v>
      </c>
      <c r="M8" s="199" t="s">
        <v>193</v>
      </c>
      <c r="N8" s="198" t="s">
        <v>194</v>
      </c>
    </row>
    <row r="9" spans="1:14" ht="15">
      <c r="A9" s="218">
        <v>3010</v>
      </c>
      <c r="B9" s="193">
        <v>0</v>
      </c>
      <c r="C9" s="193">
        <v>0</v>
      </c>
      <c r="D9" s="193">
        <v>0</v>
      </c>
      <c r="E9" s="193">
        <v>0</v>
      </c>
      <c r="F9" s="193">
        <v>0</v>
      </c>
      <c r="G9" s="193">
        <v>0</v>
      </c>
      <c r="H9" s="193">
        <v>0</v>
      </c>
      <c r="I9" s="193">
        <v>0</v>
      </c>
      <c r="J9" s="193">
        <v>0</v>
      </c>
      <c r="K9" s="193">
        <v>0</v>
      </c>
      <c r="L9" s="193">
        <v>0</v>
      </c>
      <c r="M9" s="193">
        <v>0</v>
      </c>
      <c r="N9" s="197">
        <f t="shared" si="0" ref="N9:N47">SUM(B9:M9)</f>
        <v>0</v>
      </c>
    </row>
    <row r="10" spans="1:14" ht="15">
      <c r="A10" s="218" t="s">
        <v>195</v>
      </c>
      <c r="B10" s="193">
        <v>0</v>
      </c>
      <c r="C10" s="193">
        <v>0</v>
      </c>
      <c r="D10" s="193">
        <v>0</v>
      </c>
      <c r="E10" s="193">
        <v>0</v>
      </c>
      <c r="F10" s="193">
        <v>0</v>
      </c>
      <c r="G10" s="193">
        <v>0</v>
      </c>
      <c r="H10" s="193">
        <v>0</v>
      </c>
      <c r="I10" s="193">
        <v>0</v>
      </c>
      <c r="J10" s="193">
        <v>0</v>
      </c>
      <c r="K10" s="193">
        <v>0</v>
      </c>
      <c r="L10" s="193">
        <v>0</v>
      </c>
      <c r="M10" s="193">
        <v>0</v>
      </c>
      <c r="N10" s="197">
        <f t="shared" si="0"/>
        <v>0</v>
      </c>
    </row>
    <row r="11" spans="1:14" ht="15">
      <c r="A11" s="218" t="s">
        <v>196</v>
      </c>
      <c r="B11" s="193">
        <v>0</v>
      </c>
      <c r="C11" s="193">
        <v>0</v>
      </c>
      <c r="D11" s="193">
        <v>0</v>
      </c>
      <c r="E11" s="193">
        <v>0</v>
      </c>
      <c r="F11" s="193">
        <v>0</v>
      </c>
      <c r="G11" s="193">
        <v>0</v>
      </c>
      <c r="H11" s="193">
        <v>0</v>
      </c>
      <c r="I11" s="193">
        <v>0</v>
      </c>
      <c r="J11" s="193">
        <v>0</v>
      </c>
      <c r="K11" s="193">
        <v>0</v>
      </c>
      <c r="L11" s="193">
        <v>0</v>
      </c>
      <c r="M11" s="193">
        <v>0</v>
      </c>
      <c r="N11" s="197">
        <f t="shared" si="0"/>
        <v>0</v>
      </c>
    </row>
    <row r="12" spans="1:14" ht="15">
      <c r="A12" s="218" t="s">
        <v>197</v>
      </c>
      <c r="B12" s="193">
        <v>0</v>
      </c>
      <c r="C12" s="193">
        <v>0</v>
      </c>
      <c r="D12" s="193">
        <v>0</v>
      </c>
      <c r="E12" s="193">
        <v>0</v>
      </c>
      <c r="F12" s="193">
        <v>0</v>
      </c>
      <c r="G12" s="193">
        <v>0</v>
      </c>
      <c r="H12" s="193">
        <v>0</v>
      </c>
      <c r="I12" s="193">
        <v>0</v>
      </c>
      <c r="J12" s="193">
        <v>0</v>
      </c>
      <c r="K12" s="193">
        <v>0</v>
      </c>
      <c r="L12" s="193">
        <v>0</v>
      </c>
      <c r="M12" s="193">
        <v>0</v>
      </c>
      <c r="N12" s="197">
        <f t="shared" si="0"/>
        <v>0</v>
      </c>
    </row>
    <row r="13" spans="1:14" ht="15">
      <c r="A13" s="218">
        <v>3741</v>
      </c>
      <c r="B13" s="193">
        <v>0</v>
      </c>
      <c r="C13" s="193">
        <v>0</v>
      </c>
      <c r="D13" s="193">
        <v>0</v>
      </c>
      <c r="E13" s="193">
        <v>0</v>
      </c>
      <c r="F13" s="193">
        <v>0</v>
      </c>
      <c r="G13" s="193">
        <v>0</v>
      </c>
      <c r="H13" s="193">
        <v>0</v>
      </c>
      <c r="I13" s="193">
        <v>0</v>
      </c>
      <c r="J13" s="193">
        <v>0</v>
      </c>
      <c r="K13" s="193">
        <v>0</v>
      </c>
      <c r="L13" s="193">
        <v>0</v>
      </c>
      <c r="M13" s="193">
        <v>0</v>
      </c>
      <c r="N13" s="197">
        <f t="shared" si="0"/>
        <v>0</v>
      </c>
    </row>
    <row r="14" spans="1:14" ht="15">
      <c r="A14" s="218" t="s">
        <v>198</v>
      </c>
      <c r="B14" s="193">
        <v>0</v>
      </c>
      <c r="C14" s="193">
        <v>0</v>
      </c>
      <c r="D14" s="193">
        <v>0</v>
      </c>
      <c r="E14" s="193">
        <v>0</v>
      </c>
      <c r="F14" s="193">
        <v>0</v>
      </c>
      <c r="G14" s="193">
        <v>0</v>
      </c>
      <c r="H14" s="193">
        <v>0</v>
      </c>
      <c r="I14" s="193">
        <v>0</v>
      </c>
      <c r="J14" s="193">
        <v>0</v>
      </c>
      <c r="K14" s="193">
        <v>0</v>
      </c>
      <c r="L14" s="193">
        <v>0</v>
      </c>
      <c r="M14" s="193">
        <v>0</v>
      </c>
      <c r="N14" s="197">
        <f t="shared" si="0"/>
        <v>0</v>
      </c>
    </row>
    <row r="15" spans="1:14" ht="15">
      <c r="A15" s="218">
        <v>3761</v>
      </c>
      <c r="B15" s="193">
        <v>19097</v>
      </c>
      <c r="C15" s="193">
        <v>24578</v>
      </c>
      <c r="D15" s="193">
        <v>262407</v>
      </c>
      <c r="E15" s="193">
        <v>46506</v>
      </c>
      <c r="F15" s="193">
        <v>46506</v>
      </c>
      <c r="G15" s="193">
        <v>220259</v>
      </c>
      <c r="H15" s="193">
        <v>51988</v>
      </c>
      <c r="I15" s="193">
        <v>51988</v>
      </c>
      <c r="J15" s="193">
        <v>81766</v>
      </c>
      <c r="K15" s="193">
        <v>51988</v>
      </c>
      <c r="L15" s="193">
        <v>46506</v>
      </c>
      <c r="M15" s="193">
        <v>142065</v>
      </c>
      <c r="N15" s="197">
        <f t="shared" si="0"/>
        <v>1045654</v>
      </c>
    </row>
    <row r="16" spans="1:14" ht="15">
      <c r="A16" s="218">
        <v>3762</v>
      </c>
      <c r="B16" s="193">
        <v>88784</v>
      </c>
      <c r="C16" s="193">
        <v>97601</v>
      </c>
      <c r="D16" s="193">
        <v>194101</v>
      </c>
      <c r="E16" s="193">
        <v>76255</v>
      </c>
      <c r="F16" s="193">
        <v>54540</v>
      </c>
      <c r="G16" s="193">
        <v>29678</v>
      </c>
      <c r="H16" s="193">
        <v>25250</v>
      </c>
      <c r="I16" s="193">
        <v>0</v>
      </c>
      <c r="J16" s="193">
        <v>0</v>
      </c>
      <c r="K16" s="193">
        <v>0</v>
      </c>
      <c r="L16" s="193">
        <v>0</v>
      </c>
      <c r="M16" s="193">
        <v>0</v>
      </c>
      <c r="N16" s="197">
        <f t="shared" si="0"/>
        <v>566209</v>
      </c>
    </row>
    <row r="17" spans="1:14" ht="15">
      <c r="A17" s="218" t="s">
        <v>87</v>
      </c>
      <c r="B17" s="193">
        <v>0</v>
      </c>
      <c r="C17" s="193">
        <v>0</v>
      </c>
      <c r="D17" s="193">
        <v>0</v>
      </c>
      <c r="E17" s="193">
        <v>0</v>
      </c>
      <c r="F17" s="193">
        <v>0</v>
      </c>
      <c r="G17" s="193">
        <v>0</v>
      </c>
      <c r="H17" s="193">
        <v>0</v>
      </c>
      <c r="I17" s="193">
        <v>0</v>
      </c>
      <c r="J17" s="193">
        <v>0</v>
      </c>
      <c r="K17" s="193">
        <v>0</v>
      </c>
      <c r="L17" s="193">
        <v>0</v>
      </c>
      <c r="M17" s="193">
        <v>0</v>
      </c>
      <c r="N17" s="197">
        <f t="shared" si="0"/>
        <v>0</v>
      </c>
    </row>
    <row r="18" spans="1:14" ht="15">
      <c r="A18" s="218" t="s">
        <v>199</v>
      </c>
      <c r="B18" s="193">
        <v>0</v>
      </c>
      <c r="C18" s="193">
        <v>0</v>
      </c>
      <c r="D18" s="193">
        <v>0</v>
      </c>
      <c r="E18" s="193">
        <v>0</v>
      </c>
      <c r="F18" s="193">
        <v>0</v>
      </c>
      <c r="G18" s="193">
        <v>0</v>
      </c>
      <c r="H18" s="193">
        <v>0</v>
      </c>
      <c r="I18" s="193">
        <v>0</v>
      </c>
      <c r="J18" s="193">
        <v>0</v>
      </c>
      <c r="K18" s="193">
        <v>0</v>
      </c>
      <c r="L18" s="193">
        <v>0</v>
      </c>
      <c r="M18" s="193">
        <v>0</v>
      </c>
      <c r="N18" s="197">
        <f t="shared" si="0"/>
        <v>0</v>
      </c>
    </row>
    <row r="19" spans="1:14" ht="15">
      <c r="A19" s="218" t="s">
        <v>200</v>
      </c>
      <c r="B19" s="193">
        <v>0</v>
      </c>
      <c r="C19" s="193">
        <v>0</v>
      </c>
      <c r="D19" s="193">
        <v>0</v>
      </c>
      <c r="E19" s="193">
        <v>0</v>
      </c>
      <c r="F19" s="193">
        <v>0</v>
      </c>
      <c r="G19" s="193">
        <v>0</v>
      </c>
      <c r="H19" s="193">
        <v>0</v>
      </c>
      <c r="I19" s="193">
        <v>0</v>
      </c>
      <c r="J19" s="193">
        <v>0</v>
      </c>
      <c r="K19" s="193">
        <v>0</v>
      </c>
      <c r="L19" s="193">
        <v>0</v>
      </c>
      <c r="M19" s="193">
        <v>0</v>
      </c>
      <c r="N19" s="197">
        <f t="shared" si="0"/>
        <v>0</v>
      </c>
    </row>
    <row r="20" spans="1:14" ht="15">
      <c r="A20" s="218">
        <v>3801</v>
      </c>
      <c r="B20" s="193">
        <v>11558</v>
      </c>
      <c r="C20" s="193">
        <v>15354</v>
      </c>
      <c r="D20" s="193">
        <v>21024</v>
      </c>
      <c r="E20" s="193">
        <v>30535</v>
      </c>
      <c r="F20" s="193">
        <v>30535</v>
      </c>
      <c r="G20" s="193">
        <v>32410</v>
      </c>
      <c r="H20" s="193">
        <v>34330</v>
      </c>
      <c r="I20" s="193">
        <v>34330</v>
      </c>
      <c r="J20" s="193">
        <v>34330</v>
      </c>
      <c r="K20" s="193">
        <v>34330</v>
      </c>
      <c r="L20" s="193">
        <v>30535</v>
      </c>
      <c r="M20" s="193">
        <v>76079</v>
      </c>
      <c r="N20" s="197">
        <f t="shared" si="0"/>
        <v>385350</v>
      </c>
    </row>
    <row r="21" spans="1:14" ht="15">
      <c r="A21" s="218">
        <v>3802</v>
      </c>
      <c r="B21" s="193">
        <v>20820</v>
      </c>
      <c r="C21" s="193">
        <v>23688</v>
      </c>
      <c r="D21" s="193">
        <v>113792</v>
      </c>
      <c r="E21" s="193">
        <v>59605</v>
      </c>
      <c r="F21" s="193">
        <v>59605</v>
      </c>
      <c r="G21" s="193">
        <v>48768</v>
      </c>
      <c r="H21" s="193">
        <v>43349</v>
      </c>
      <c r="I21" s="193">
        <v>32512</v>
      </c>
      <c r="J21" s="193">
        <v>32512</v>
      </c>
      <c r="K21" s="193">
        <v>10837</v>
      </c>
      <c r="L21" s="193">
        <v>0</v>
      </c>
      <c r="M21" s="193">
        <v>0</v>
      </c>
      <c r="N21" s="197">
        <f t="shared" si="0"/>
        <v>445488</v>
      </c>
    </row>
    <row r="22" spans="1:14" ht="15">
      <c r="A22" s="218" t="s">
        <v>95</v>
      </c>
      <c r="B22" s="193">
        <v>0</v>
      </c>
      <c r="C22" s="193">
        <v>0</v>
      </c>
      <c r="D22" s="193">
        <v>0</v>
      </c>
      <c r="E22" s="193">
        <v>0</v>
      </c>
      <c r="F22" s="193">
        <v>0</v>
      </c>
      <c r="G22" s="193">
        <v>0</v>
      </c>
      <c r="H22" s="193">
        <v>0</v>
      </c>
      <c r="I22" s="193">
        <v>0</v>
      </c>
      <c r="J22" s="193">
        <v>0</v>
      </c>
      <c r="K22" s="193">
        <v>0</v>
      </c>
      <c r="L22" s="193">
        <v>0</v>
      </c>
      <c r="M22" s="193">
        <v>0</v>
      </c>
      <c r="N22" s="197">
        <f t="shared" si="0"/>
        <v>0</v>
      </c>
    </row>
    <row r="23" spans="1:14" ht="15">
      <c r="A23" s="218" t="s">
        <v>201</v>
      </c>
      <c r="B23" s="193">
        <v>2834</v>
      </c>
      <c r="C23" s="193">
        <v>3777</v>
      </c>
      <c r="D23" s="193">
        <v>4719</v>
      </c>
      <c r="E23" s="193">
        <v>7546</v>
      </c>
      <c r="F23" s="193">
        <v>7546</v>
      </c>
      <c r="G23" s="193">
        <v>7546</v>
      </c>
      <c r="H23" s="193">
        <v>8488</v>
      </c>
      <c r="I23" s="193">
        <v>8488</v>
      </c>
      <c r="J23" s="193">
        <v>8488</v>
      </c>
      <c r="K23" s="193">
        <v>8488</v>
      </c>
      <c r="L23" s="193">
        <v>7546</v>
      </c>
      <c r="M23" s="193">
        <v>18854</v>
      </c>
      <c r="N23" s="197">
        <f t="shared" si="0"/>
        <v>94320</v>
      </c>
    </row>
    <row r="24" spans="1:14" ht="15">
      <c r="A24" s="218">
        <v>3811</v>
      </c>
      <c r="B24" s="193">
        <v>0</v>
      </c>
      <c r="C24" s="193">
        <v>0</v>
      </c>
      <c r="D24" s="193">
        <v>0</v>
      </c>
      <c r="E24" s="193">
        <v>0</v>
      </c>
      <c r="F24" s="193">
        <v>0</v>
      </c>
      <c r="G24" s="193">
        <v>0</v>
      </c>
      <c r="H24" s="193">
        <v>0</v>
      </c>
      <c r="I24" s="193">
        <v>0</v>
      </c>
      <c r="J24" s="193">
        <v>0</v>
      </c>
      <c r="K24" s="193">
        <v>0</v>
      </c>
      <c r="L24" s="193">
        <v>0</v>
      </c>
      <c r="M24" s="193">
        <v>0</v>
      </c>
      <c r="N24" s="197">
        <f t="shared" si="0"/>
        <v>0</v>
      </c>
    </row>
    <row r="25" spans="1:14" ht="15">
      <c r="A25" s="218" t="s">
        <v>202</v>
      </c>
      <c r="B25" s="193">
        <v>0</v>
      </c>
      <c r="C25" s="193">
        <v>0</v>
      </c>
      <c r="D25" s="193">
        <v>0</v>
      </c>
      <c r="E25" s="193">
        <v>0</v>
      </c>
      <c r="F25" s="193">
        <v>0</v>
      </c>
      <c r="G25" s="193">
        <v>0</v>
      </c>
      <c r="H25" s="193">
        <v>0</v>
      </c>
      <c r="I25" s="193">
        <v>0</v>
      </c>
      <c r="J25" s="193">
        <v>0</v>
      </c>
      <c r="K25" s="193">
        <v>0</v>
      </c>
      <c r="L25" s="193">
        <v>0</v>
      </c>
      <c r="M25" s="193">
        <v>0</v>
      </c>
      <c r="N25" s="197">
        <f t="shared" si="0"/>
        <v>0</v>
      </c>
    </row>
    <row r="26" spans="1:14" ht="15">
      <c r="A26" s="218">
        <v>3821</v>
      </c>
      <c r="B26" s="193">
        <v>0</v>
      </c>
      <c r="C26" s="193">
        <v>0</v>
      </c>
      <c r="D26" s="193">
        <v>0</v>
      </c>
      <c r="E26" s="193">
        <v>0</v>
      </c>
      <c r="F26" s="193">
        <v>0</v>
      </c>
      <c r="G26" s="193">
        <v>0</v>
      </c>
      <c r="H26" s="193">
        <v>0</v>
      </c>
      <c r="I26" s="193">
        <v>0</v>
      </c>
      <c r="J26" s="193">
        <v>0</v>
      </c>
      <c r="K26" s="193">
        <v>0</v>
      </c>
      <c r="L26" s="193">
        <v>0</v>
      </c>
      <c r="M26" s="193">
        <v>0</v>
      </c>
      <c r="N26" s="197">
        <f t="shared" si="0"/>
        <v>0</v>
      </c>
    </row>
    <row r="27" spans="1:14" ht="15">
      <c r="A27" s="218" t="s">
        <v>203</v>
      </c>
      <c r="B27" s="193">
        <v>203</v>
      </c>
      <c r="C27" s="193">
        <v>236</v>
      </c>
      <c r="D27" s="193">
        <v>269</v>
      </c>
      <c r="E27" s="193">
        <v>367</v>
      </c>
      <c r="F27" s="193">
        <v>367</v>
      </c>
      <c r="G27" s="193">
        <v>367</v>
      </c>
      <c r="H27" s="193">
        <v>399</v>
      </c>
      <c r="I27" s="193">
        <v>399</v>
      </c>
      <c r="J27" s="193">
        <v>399</v>
      </c>
      <c r="K27" s="193">
        <v>399</v>
      </c>
      <c r="L27" s="193">
        <v>367</v>
      </c>
      <c r="M27" s="193">
        <v>759</v>
      </c>
      <c r="N27" s="197">
        <f t="shared" si="0"/>
        <v>4531</v>
      </c>
    </row>
    <row r="28" spans="1:14" ht="15">
      <c r="A28" s="218" t="s">
        <v>204</v>
      </c>
      <c r="B28" s="193">
        <v>0</v>
      </c>
      <c r="C28" s="193">
        <v>0</v>
      </c>
      <c r="D28" s="193">
        <v>0</v>
      </c>
      <c r="E28" s="193">
        <v>0</v>
      </c>
      <c r="F28" s="193">
        <v>0</v>
      </c>
      <c r="G28" s="193">
        <v>0</v>
      </c>
      <c r="H28" s="193">
        <v>0</v>
      </c>
      <c r="I28" s="193">
        <v>0</v>
      </c>
      <c r="J28" s="193">
        <v>0</v>
      </c>
      <c r="K28" s="193">
        <v>0</v>
      </c>
      <c r="L28" s="193">
        <v>0</v>
      </c>
      <c r="M28" s="193">
        <v>0</v>
      </c>
      <c r="N28" s="197">
        <f t="shared" si="0"/>
        <v>0</v>
      </c>
    </row>
    <row r="29" spans="1:14" ht="15">
      <c r="A29" s="218" t="s">
        <v>205</v>
      </c>
      <c r="B29" s="193">
        <v>1352</v>
      </c>
      <c r="C29" s="193">
        <v>1803</v>
      </c>
      <c r="D29" s="193">
        <v>2489</v>
      </c>
      <c r="E29" s="193">
        <v>3606</v>
      </c>
      <c r="F29" s="193">
        <v>3606</v>
      </c>
      <c r="G29" s="193">
        <v>3842</v>
      </c>
      <c r="H29" s="193">
        <v>4057</v>
      </c>
      <c r="I29" s="193">
        <v>4057</v>
      </c>
      <c r="J29" s="193">
        <v>4057</v>
      </c>
      <c r="K29" s="193">
        <v>4057</v>
      </c>
      <c r="L29" s="193">
        <v>3606</v>
      </c>
      <c r="M29" s="193">
        <v>9015</v>
      </c>
      <c r="N29" s="197">
        <f t="shared" si="0"/>
        <v>45547</v>
      </c>
    </row>
    <row r="30" spans="1:14" ht="15">
      <c r="A30" s="218" t="s">
        <v>206</v>
      </c>
      <c r="B30" s="193">
        <v>0</v>
      </c>
      <c r="C30" s="193">
        <v>0</v>
      </c>
      <c r="D30" s="193">
        <v>0</v>
      </c>
      <c r="E30" s="193">
        <v>0</v>
      </c>
      <c r="F30" s="193">
        <v>0</v>
      </c>
      <c r="G30" s="193">
        <v>0</v>
      </c>
      <c r="H30" s="193">
        <v>0</v>
      </c>
      <c r="I30" s="193">
        <v>0</v>
      </c>
      <c r="J30" s="193">
        <v>0</v>
      </c>
      <c r="K30" s="193">
        <v>0</v>
      </c>
      <c r="L30" s="193">
        <v>0</v>
      </c>
      <c r="M30" s="193">
        <v>0</v>
      </c>
      <c r="N30" s="197">
        <f t="shared" si="0"/>
        <v>0</v>
      </c>
    </row>
    <row r="31" spans="1:14" ht="15">
      <c r="A31" s="218" t="s">
        <v>207</v>
      </c>
      <c r="B31" s="193">
        <v>0</v>
      </c>
      <c r="C31" s="193">
        <v>0</v>
      </c>
      <c r="D31" s="193">
        <v>0</v>
      </c>
      <c r="E31" s="193">
        <v>0</v>
      </c>
      <c r="F31" s="193">
        <v>0</v>
      </c>
      <c r="G31" s="193">
        <v>0</v>
      </c>
      <c r="H31" s="193">
        <v>0</v>
      </c>
      <c r="I31" s="193">
        <v>0</v>
      </c>
      <c r="J31" s="193">
        <v>0</v>
      </c>
      <c r="K31" s="193">
        <v>0</v>
      </c>
      <c r="L31" s="193">
        <v>0</v>
      </c>
      <c r="M31" s="193">
        <v>0</v>
      </c>
      <c r="N31" s="197">
        <f t="shared" si="0"/>
        <v>0</v>
      </c>
    </row>
    <row r="32" spans="1:14" ht="15">
      <c r="A32" s="218" t="s">
        <v>208</v>
      </c>
      <c r="B32" s="193">
        <v>0</v>
      </c>
      <c r="C32" s="193">
        <v>35976.269999999997</v>
      </c>
      <c r="D32" s="193">
        <v>5894.1999999999998</v>
      </c>
      <c r="E32" s="193">
        <v>0</v>
      </c>
      <c r="F32" s="193">
        <v>0</v>
      </c>
      <c r="G32" s="193">
        <v>0</v>
      </c>
      <c r="H32" s="193">
        <v>0</v>
      </c>
      <c r="I32" s="193">
        <v>0</v>
      </c>
      <c r="J32" s="193">
        <v>0</v>
      </c>
      <c r="K32" s="193">
        <v>0</v>
      </c>
      <c r="L32" s="193">
        <v>0</v>
      </c>
      <c r="M32" s="193">
        <v>0</v>
      </c>
      <c r="N32" s="197">
        <f t="shared" si="0"/>
        <v>41870.469999999994</v>
      </c>
    </row>
    <row r="33" spans="1:14" ht="15">
      <c r="A33" s="218">
        <v>3910</v>
      </c>
      <c r="B33" s="193">
        <v>0</v>
      </c>
      <c r="C33" s="193">
        <v>184955.31</v>
      </c>
      <c r="D33" s="193">
        <v>0</v>
      </c>
      <c r="E33" s="193">
        <v>0</v>
      </c>
      <c r="F33" s="193">
        <v>0</v>
      </c>
      <c r="G33" s="193">
        <v>0</v>
      </c>
      <c r="H33" s="193">
        <v>0</v>
      </c>
      <c r="I33" s="193">
        <v>0</v>
      </c>
      <c r="J33" s="193">
        <v>0</v>
      </c>
      <c r="K33" s="193">
        <v>0</v>
      </c>
      <c r="L33" s="193">
        <v>0</v>
      </c>
      <c r="M33" s="193">
        <v>46835.089999999997</v>
      </c>
      <c r="N33" s="197">
        <f t="shared" si="0"/>
        <v>231790.39999999999</v>
      </c>
    </row>
    <row r="34" spans="1:14" ht="15">
      <c r="A34" s="218">
        <v>3912</v>
      </c>
      <c r="B34" s="193">
        <v>0</v>
      </c>
      <c r="C34" s="193">
        <v>0</v>
      </c>
      <c r="D34" s="193">
        <v>0</v>
      </c>
      <c r="E34" s="193">
        <v>0</v>
      </c>
      <c r="F34" s="193">
        <v>0</v>
      </c>
      <c r="G34" s="193">
        <v>0</v>
      </c>
      <c r="H34" s="193">
        <v>0</v>
      </c>
      <c r="I34" s="193">
        <v>0</v>
      </c>
      <c r="J34" s="193">
        <v>0</v>
      </c>
      <c r="K34" s="193">
        <v>0</v>
      </c>
      <c r="L34" s="193">
        <v>0</v>
      </c>
      <c r="M34" s="193">
        <v>5251.4700000000003</v>
      </c>
      <c r="N34" s="197">
        <f t="shared" si="0"/>
        <v>5251.4700000000003</v>
      </c>
    </row>
    <row r="35" spans="1:14" ht="15">
      <c r="A35" s="218">
        <v>3913</v>
      </c>
      <c r="B35" s="193">
        <v>0</v>
      </c>
      <c r="C35" s="193">
        <v>322298.29999999999</v>
      </c>
      <c r="D35" s="193">
        <v>9142.8400000000001</v>
      </c>
      <c r="E35" s="193">
        <v>0</v>
      </c>
      <c r="F35" s="193">
        <v>0</v>
      </c>
      <c r="G35" s="193">
        <v>0</v>
      </c>
      <c r="H35" s="193">
        <v>0</v>
      </c>
      <c r="I35" s="193">
        <v>0</v>
      </c>
      <c r="J35" s="193">
        <v>0</v>
      </c>
      <c r="K35" s="193">
        <v>0</v>
      </c>
      <c r="L35" s="193">
        <v>0</v>
      </c>
      <c r="M35" s="193">
        <v>47681.310000000005</v>
      </c>
      <c r="N35" s="197">
        <f t="shared" si="0"/>
        <v>379122.45000000001</v>
      </c>
    </row>
    <row r="36" spans="1:14" ht="15">
      <c r="A36" s="218">
        <v>3914</v>
      </c>
      <c r="B36" s="193">
        <v>0</v>
      </c>
      <c r="C36" s="193">
        <v>0</v>
      </c>
      <c r="D36" s="193">
        <v>0</v>
      </c>
      <c r="E36" s="193">
        <v>0</v>
      </c>
      <c r="F36" s="193">
        <v>0</v>
      </c>
      <c r="G36" s="193">
        <v>0</v>
      </c>
      <c r="H36" s="193">
        <v>0</v>
      </c>
      <c r="I36" s="193">
        <v>0</v>
      </c>
      <c r="J36" s="193">
        <v>0</v>
      </c>
      <c r="K36" s="193">
        <v>0</v>
      </c>
      <c r="L36" s="193">
        <v>0</v>
      </c>
      <c r="M36" s="193">
        <v>0</v>
      </c>
      <c r="N36" s="197">
        <f t="shared" si="0"/>
        <v>0</v>
      </c>
    </row>
    <row r="37" spans="1:14" ht="15">
      <c r="A37" s="218">
        <v>3921</v>
      </c>
      <c r="B37" s="193">
        <v>0</v>
      </c>
      <c r="C37" s="193">
        <v>0</v>
      </c>
      <c r="D37" s="193">
        <v>0</v>
      </c>
      <c r="E37" s="193">
        <v>0</v>
      </c>
      <c r="F37" s="193">
        <v>0</v>
      </c>
      <c r="G37" s="193">
        <v>0</v>
      </c>
      <c r="H37" s="193">
        <v>0</v>
      </c>
      <c r="I37" s="193">
        <v>0</v>
      </c>
      <c r="J37" s="193">
        <v>0</v>
      </c>
      <c r="K37" s="193">
        <v>58922.349999999999</v>
      </c>
      <c r="L37" s="193">
        <v>0</v>
      </c>
      <c r="M37" s="193">
        <v>0</v>
      </c>
      <c r="N37" s="197">
        <f t="shared" si="0"/>
        <v>58922.349999999999</v>
      </c>
    </row>
    <row r="38" spans="1:14" ht="15">
      <c r="A38" s="218">
        <v>3922</v>
      </c>
      <c r="B38" s="193">
        <v>0</v>
      </c>
      <c r="C38" s="193">
        <v>0</v>
      </c>
      <c r="D38" s="193">
        <v>16075</v>
      </c>
      <c r="E38" s="193">
        <v>0</v>
      </c>
      <c r="F38" s="193">
        <v>0</v>
      </c>
      <c r="G38" s="193">
        <v>10289</v>
      </c>
      <c r="H38" s="193">
        <v>0</v>
      </c>
      <c r="I38" s="193">
        <v>0</v>
      </c>
      <c r="J38" s="193">
        <v>0</v>
      </c>
      <c r="K38" s="193">
        <v>260960</v>
      </c>
      <c r="L38" s="193">
        <v>0</v>
      </c>
      <c r="M38" s="193">
        <v>0</v>
      </c>
      <c r="N38" s="197">
        <f t="shared" si="0"/>
        <v>287324</v>
      </c>
    </row>
    <row r="39" spans="1:14" ht="15">
      <c r="A39" s="218">
        <v>3923</v>
      </c>
      <c r="B39" s="193">
        <v>0</v>
      </c>
      <c r="C39" s="193">
        <v>0</v>
      </c>
      <c r="D39" s="193">
        <v>0</v>
      </c>
      <c r="E39" s="193">
        <v>0</v>
      </c>
      <c r="F39" s="193">
        <v>0</v>
      </c>
      <c r="G39" s="193">
        <v>0</v>
      </c>
      <c r="H39" s="193">
        <v>0</v>
      </c>
      <c r="I39" s="193">
        <v>0</v>
      </c>
      <c r="J39" s="193">
        <v>0</v>
      </c>
      <c r="K39" s="193">
        <v>0</v>
      </c>
      <c r="L39" s="193">
        <v>0</v>
      </c>
      <c r="M39" s="193">
        <v>0</v>
      </c>
      <c r="N39" s="197">
        <f t="shared" si="0"/>
        <v>0</v>
      </c>
    </row>
    <row r="40" spans="1:14" ht="15">
      <c r="A40" s="218">
        <v>3924</v>
      </c>
      <c r="B40" s="193">
        <v>0</v>
      </c>
      <c r="C40" s="193">
        <v>0</v>
      </c>
      <c r="D40" s="193">
        <v>0</v>
      </c>
      <c r="E40" s="193">
        <v>0</v>
      </c>
      <c r="F40" s="193">
        <v>0</v>
      </c>
      <c r="G40" s="193">
        <v>0</v>
      </c>
      <c r="H40" s="193">
        <v>0</v>
      </c>
      <c r="I40" s="193">
        <v>0</v>
      </c>
      <c r="J40" s="193">
        <v>0</v>
      </c>
      <c r="K40" s="193">
        <v>0</v>
      </c>
      <c r="L40" s="193">
        <v>0</v>
      </c>
      <c r="M40" s="193">
        <v>0</v>
      </c>
      <c r="N40" s="197">
        <f t="shared" si="0"/>
        <v>0</v>
      </c>
    </row>
    <row r="41" spans="1:14" ht="15">
      <c r="A41" s="218" t="s">
        <v>209</v>
      </c>
      <c r="B41" s="193">
        <v>0</v>
      </c>
      <c r="C41" s="193">
        <v>0</v>
      </c>
      <c r="D41" s="193">
        <v>0</v>
      </c>
      <c r="E41" s="193">
        <v>0</v>
      </c>
      <c r="F41" s="193">
        <v>0</v>
      </c>
      <c r="G41" s="193">
        <v>0</v>
      </c>
      <c r="H41" s="193">
        <v>0</v>
      </c>
      <c r="I41" s="193">
        <v>0</v>
      </c>
      <c r="J41" s="193">
        <v>0</v>
      </c>
      <c r="K41" s="193">
        <v>0</v>
      </c>
      <c r="L41" s="193">
        <v>0</v>
      </c>
      <c r="M41" s="193">
        <v>524.38999999999999</v>
      </c>
      <c r="N41" s="197">
        <f t="shared" si="0"/>
        <v>524.38999999999999</v>
      </c>
    </row>
    <row r="42" spans="1:14" ht="15">
      <c r="A42" s="218" t="s">
        <v>210</v>
      </c>
      <c r="B42" s="193">
        <v>0</v>
      </c>
      <c r="C42" s="193">
        <v>0</v>
      </c>
      <c r="D42" s="193">
        <v>0</v>
      </c>
      <c r="E42" s="193">
        <v>0</v>
      </c>
      <c r="F42" s="193">
        <v>0</v>
      </c>
      <c r="G42" s="193">
        <v>0</v>
      </c>
      <c r="H42" s="193">
        <v>0</v>
      </c>
      <c r="I42" s="193">
        <v>0</v>
      </c>
      <c r="J42" s="193">
        <v>0</v>
      </c>
      <c r="K42" s="193">
        <v>0</v>
      </c>
      <c r="L42" s="193">
        <v>0</v>
      </c>
      <c r="M42" s="193">
        <v>29475.090000000011</v>
      </c>
      <c r="N42" s="197">
        <f t="shared" si="0"/>
        <v>29475.090000000011</v>
      </c>
    </row>
    <row r="43" spans="1:14" ht="15">
      <c r="A43" s="218" t="s">
        <v>211</v>
      </c>
      <c r="B43" s="193">
        <v>0</v>
      </c>
      <c r="C43" s="193">
        <v>0</v>
      </c>
      <c r="D43" s="193">
        <v>0</v>
      </c>
      <c r="E43" s="193">
        <v>0</v>
      </c>
      <c r="F43" s="193">
        <v>0</v>
      </c>
      <c r="G43" s="193">
        <v>0</v>
      </c>
      <c r="H43" s="193">
        <v>0</v>
      </c>
      <c r="I43" s="193">
        <v>0</v>
      </c>
      <c r="J43" s="193">
        <v>0</v>
      </c>
      <c r="K43" s="193">
        <v>0</v>
      </c>
      <c r="L43" s="193">
        <v>0</v>
      </c>
      <c r="M43" s="193">
        <v>0</v>
      </c>
      <c r="N43" s="197">
        <f t="shared" si="0"/>
        <v>0</v>
      </c>
    </row>
    <row r="44" spans="1:14" ht="15">
      <c r="A44" s="218" t="s">
        <v>212</v>
      </c>
      <c r="B44" s="193">
        <v>0</v>
      </c>
      <c r="C44" s="193">
        <v>0</v>
      </c>
      <c r="D44" s="193">
        <v>0</v>
      </c>
      <c r="E44" s="193">
        <v>0</v>
      </c>
      <c r="F44" s="193">
        <v>0</v>
      </c>
      <c r="G44" s="193">
        <v>0</v>
      </c>
      <c r="H44" s="193">
        <v>0</v>
      </c>
      <c r="I44" s="193">
        <v>0</v>
      </c>
      <c r="J44" s="193">
        <v>0</v>
      </c>
      <c r="K44" s="193">
        <v>0</v>
      </c>
      <c r="L44" s="193">
        <v>0</v>
      </c>
      <c r="M44" s="193">
        <v>0</v>
      </c>
      <c r="N44" s="197">
        <f t="shared" si="0"/>
        <v>0</v>
      </c>
    </row>
    <row r="45" spans="1:14" ht="15">
      <c r="A45" s="218" t="s">
        <v>213</v>
      </c>
      <c r="B45" s="193">
        <v>0</v>
      </c>
      <c r="C45" s="193">
        <v>0</v>
      </c>
      <c r="D45" s="193">
        <v>0</v>
      </c>
      <c r="E45" s="193">
        <v>0</v>
      </c>
      <c r="F45" s="193">
        <v>0</v>
      </c>
      <c r="G45" s="193">
        <v>0</v>
      </c>
      <c r="H45" s="193">
        <v>0</v>
      </c>
      <c r="I45" s="193">
        <v>0</v>
      </c>
      <c r="J45" s="193">
        <v>0</v>
      </c>
      <c r="K45" s="193">
        <v>0</v>
      </c>
      <c r="L45" s="193">
        <v>0</v>
      </c>
      <c r="M45" s="193">
        <v>296215.89999999997</v>
      </c>
      <c r="N45" s="197">
        <f t="shared" si="0"/>
        <v>296215.89999999997</v>
      </c>
    </row>
    <row r="46" spans="1:14" ht="15">
      <c r="A46" s="218" t="s">
        <v>214</v>
      </c>
      <c r="B46" s="193">
        <v>0</v>
      </c>
      <c r="C46" s="193">
        <v>0</v>
      </c>
      <c r="D46" s="193">
        <v>0</v>
      </c>
      <c r="E46" s="193">
        <v>0</v>
      </c>
      <c r="F46" s="193">
        <v>0</v>
      </c>
      <c r="G46" s="193">
        <v>0</v>
      </c>
      <c r="H46" s="193">
        <v>0</v>
      </c>
      <c r="I46" s="193">
        <v>0</v>
      </c>
      <c r="J46" s="193">
        <v>0</v>
      </c>
      <c r="K46" s="193">
        <v>0</v>
      </c>
      <c r="L46" s="193">
        <v>0</v>
      </c>
      <c r="M46" s="193">
        <v>20177.709999999999</v>
      </c>
      <c r="N46" s="197">
        <f t="shared" si="0"/>
        <v>20177.709999999999</v>
      </c>
    </row>
    <row r="47" spans="1:14" ht="15">
      <c r="A47" s="218" t="s">
        <v>215</v>
      </c>
      <c r="B47" s="193">
        <v>0</v>
      </c>
      <c r="C47" s="193">
        <v>0</v>
      </c>
      <c r="D47" s="193">
        <v>0</v>
      </c>
      <c r="E47" s="193">
        <v>0</v>
      </c>
      <c r="F47" s="193">
        <v>0</v>
      </c>
      <c r="G47" s="193">
        <v>0</v>
      </c>
      <c r="H47" s="193">
        <v>0</v>
      </c>
      <c r="I47" s="193">
        <v>0</v>
      </c>
      <c r="J47" s="193">
        <v>0</v>
      </c>
      <c r="K47" s="193">
        <v>0</v>
      </c>
      <c r="L47" s="193">
        <v>0</v>
      </c>
      <c r="M47" s="193">
        <v>0</v>
      </c>
      <c r="N47" s="197">
        <f t="shared" si="0"/>
        <v>0</v>
      </c>
    </row>
    <row r="48" spans="1:14" ht="15.75" thickBot="1">
      <c r="A48" s="191"/>
      <c r="B48" s="187">
        <f t="shared" si="1" ref="B48:N48">ROUND(SUM(B9:B47),0)</f>
        <v>144648</v>
      </c>
      <c r="C48" s="187">
        <f t="shared" si="1"/>
        <v>710267</v>
      </c>
      <c r="D48" s="187">
        <f t="shared" si="1"/>
        <v>629913</v>
      </c>
      <c r="E48" s="187">
        <f t="shared" si="1"/>
        <v>224420</v>
      </c>
      <c r="F48" s="187">
        <f t="shared" si="1"/>
        <v>202705</v>
      </c>
      <c r="G48" s="187">
        <f t="shared" si="1"/>
        <v>353159</v>
      </c>
      <c r="H48" s="187">
        <f t="shared" si="1"/>
        <v>167861</v>
      </c>
      <c r="I48" s="187">
        <f t="shared" si="1"/>
        <v>131774</v>
      </c>
      <c r="J48" s="187">
        <f t="shared" si="1"/>
        <v>161552</v>
      </c>
      <c r="K48" s="187">
        <f t="shared" si="1"/>
        <v>429981</v>
      </c>
      <c r="L48" s="187">
        <f t="shared" si="1"/>
        <v>88560</v>
      </c>
      <c r="M48" s="187">
        <f t="shared" si="1"/>
        <v>692933</v>
      </c>
      <c r="N48" s="217">
        <f t="shared" si="1"/>
        <v>3937773</v>
      </c>
    </row>
    <row r="49" ht="15.75" thickTop="1"/>
    <row r="50" spans="13:14" ht="15">
      <c r="M50" t="s">
        <v>328</v>
      </c>
      <c r="N50" s="371">
        <f>SUM(B9:M47)</f>
        <v>3937773.23</v>
      </c>
    </row>
    <row r="51" spans="14:14" ht="15">
      <c r="N51" s="371">
        <f>N48-N50</f>
        <v>-0.22999999998137355</v>
      </c>
    </row>
  </sheetData>
  <mergeCells count="5">
    <mergeCell ref="A2:N2"/>
    <mergeCell ref="A3:N3"/>
    <mergeCell ref="A4:N4"/>
    <mergeCell ref="A6:N6"/>
    <mergeCell ref="A1:N1"/>
  </mergeCells>
  <printOptions horizontalCentered="1"/>
  <pageMargins left="0.5" right="0.5" top="0.99" bottom="0.5" header="0.5" footer="0.2"/>
  <pageSetup fitToWidth="0" orientation="landscape" scale="72"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48"/>
  <sheetViews>
    <sheetView workbookViewId="0" topLeftCell="A31">
      <selection pane="topLeft" activeCell="A31" sqref="A1:XFD1048576"/>
    </sheetView>
  </sheetViews>
  <sheetFormatPr defaultRowHeight="15"/>
  <cols>
    <col min="2" max="2" width="13.8571428571429" bestFit="1" customWidth="1"/>
    <col min="3" max="3" width="12.7142857142857" bestFit="1" customWidth="1"/>
    <col min="4" max="4" width="12.1428571428571" bestFit="1" customWidth="1"/>
    <col min="5" max="6" width="10.8571428571429" customWidth="1"/>
    <col min="7" max="7" width="9.28571428571429" bestFit="1" customWidth="1"/>
    <col min="8" max="8" width="13.8571428571429" bestFit="1" customWidth="1"/>
    <col min="9" max="9" width="2.57142857142857" customWidth="1"/>
    <col min="11" max="11" width="13.8571428571429" bestFit="1" customWidth="1"/>
    <col min="12" max="12" width="12.7142857142857" bestFit="1" customWidth="1"/>
    <col min="13" max="13" width="10.7142857142857" bestFit="1" customWidth="1"/>
    <col min="14" max="14" width="12.1428571428571" bestFit="1" customWidth="1"/>
    <col min="15" max="15" width="10" bestFit="1" customWidth="1"/>
    <col min="16" max="16" width="12.1428571428571" bestFit="1" customWidth="1"/>
    <col min="17" max="17" width="12.5714285714286" bestFit="1" customWidth="1"/>
    <col min="18" max="18" width="10" bestFit="1" customWidth="1"/>
    <col min="19" max="19" width="13.8571428571429" bestFit="1" customWidth="1"/>
  </cols>
  <sheetData>
    <row r="1" spans="1:19" ht="18">
      <c r="A1" s="920" t="s">
        <v>56</v>
      </c>
      <c r="B1" s="920"/>
      <c r="C1" s="920"/>
      <c r="D1" s="920"/>
      <c r="E1" s="920"/>
      <c r="F1" s="920"/>
      <c r="G1" s="920"/>
      <c r="H1" s="920"/>
      <c r="I1" s="920"/>
      <c r="J1" s="920"/>
      <c r="K1" s="920"/>
      <c r="L1" s="920"/>
      <c r="M1" s="920"/>
      <c r="N1" s="920"/>
      <c r="O1" s="920"/>
      <c r="P1" s="920"/>
      <c r="Q1" s="920"/>
      <c r="R1" s="920"/>
      <c r="S1" s="920"/>
    </row>
    <row r="2" spans="1:19" s="543" customFormat="1" ht="15">
      <c r="A2" s="921" t="str">
        <f>Input!B3</f>
        <v>FPUC, FPUC - Common, FPUC - Indiantown, Florida Division of Chesapeake Utilities Corporation, FPUC - Ft Meade</v>
      </c>
      <c r="B2" s="921"/>
      <c r="C2" s="921"/>
      <c r="D2" s="921"/>
      <c r="E2" s="921"/>
      <c r="F2" s="921"/>
      <c r="G2" s="921"/>
      <c r="H2" s="921"/>
      <c r="I2" s="921"/>
      <c r="J2" s="921"/>
      <c r="K2" s="921"/>
      <c r="L2" s="921"/>
      <c r="M2" s="921"/>
      <c r="N2" s="921"/>
      <c r="O2" s="921"/>
      <c r="P2" s="921"/>
      <c r="Q2" s="921"/>
      <c r="R2" s="921"/>
      <c r="S2" s="921"/>
    </row>
    <row r="3" spans="1:19" s="544" customFormat="1" ht="15.75">
      <c r="A3" s="922" t="s">
        <v>216</v>
      </c>
      <c r="B3" s="922"/>
      <c r="C3" s="922"/>
      <c r="D3" s="922"/>
      <c r="E3" s="922"/>
      <c r="F3" s="922"/>
      <c r="G3" s="922"/>
      <c r="H3" s="922"/>
      <c r="I3" s="922"/>
      <c r="J3" s="922"/>
      <c r="K3" s="922"/>
      <c r="L3" s="922"/>
      <c r="M3" s="922"/>
      <c r="N3" s="922"/>
      <c r="O3" s="922"/>
      <c r="P3" s="922"/>
      <c r="Q3" s="922"/>
      <c r="R3" s="922"/>
      <c r="S3" s="922"/>
    </row>
    <row r="4" spans="1:19" s="544" customFormat="1" ht="15.75">
      <c r="A4" s="923">
        <f>Input!C1</f>
        <v>2018</v>
      </c>
      <c r="B4" s="923"/>
      <c r="C4" s="923"/>
      <c r="D4" s="923"/>
      <c r="E4" s="923"/>
      <c r="F4" s="923"/>
      <c r="G4" s="923"/>
      <c r="H4" s="923"/>
      <c r="I4" s="923"/>
      <c r="J4" s="923"/>
      <c r="K4" s="923"/>
      <c r="L4" s="923"/>
      <c r="M4" s="923"/>
      <c r="N4" s="923"/>
      <c r="O4" s="923"/>
      <c r="P4" s="923"/>
      <c r="Q4" s="923"/>
      <c r="R4" s="923"/>
      <c r="S4" s="923"/>
    </row>
    <row r="5" ht="15.75" thickBot="1"/>
    <row r="6" spans="1:19" ht="15.75" thickTop="1">
      <c r="A6" s="917" t="s">
        <v>177</v>
      </c>
      <c r="B6" s="918"/>
      <c r="C6" s="918"/>
      <c r="D6" s="918"/>
      <c r="E6" s="918"/>
      <c r="F6" s="918"/>
      <c r="G6" s="918"/>
      <c r="H6" s="918"/>
      <c r="I6" s="209"/>
      <c r="J6" s="918" t="s">
        <v>217</v>
      </c>
      <c r="K6" s="918"/>
      <c r="L6" s="918"/>
      <c r="M6" s="918"/>
      <c r="N6" s="918"/>
      <c r="O6" s="918"/>
      <c r="P6" s="918"/>
      <c r="Q6" s="918"/>
      <c r="R6" s="918"/>
      <c r="S6" s="919"/>
    </row>
    <row r="7" spans="1:19" ht="15">
      <c r="A7" s="208" t="s">
        <v>178</v>
      </c>
      <c r="B7" s="545" t="s">
        <v>218</v>
      </c>
      <c r="C7" s="546"/>
      <c r="D7" s="546"/>
      <c r="E7" s="545" t="s">
        <v>219</v>
      </c>
      <c r="F7" s="545"/>
      <c r="G7" s="546"/>
      <c r="H7" s="545" t="s">
        <v>220</v>
      </c>
      <c r="I7" s="194"/>
      <c r="J7" s="547" t="s">
        <v>178</v>
      </c>
      <c r="K7" s="545" t="s">
        <v>218</v>
      </c>
      <c r="L7" s="546"/>
      <c r="M7" s="545" t="s">
        <v>219</v>
      </c>
      <c r="N7" s="546"/>
      <c r="O7" s="548" t="s">
        <v>221</v>
      </c>
      <c r="P7" s="545" t="s">
        <v>222</v>
      </c>
      <c r="Q7" s="545"/>
      <c r="R7" s="546"/>
      <c r="S7" s="203" t="s">
        <v>220</v>
      </c>
    </row>
    <row r="8" spans="1:19" ht="15">
      <c r="A8" s="202" t="s">
        <v>181</v>
      </c>
      <c r="B8" s="199" t="s">
        <v>223</v>
      </c>
      <c r="C8" s="199" t="s">
        <v>224</v>
      </c>
      <c r="D8" s="199" t="s">
        <v>194</v>
      </c>
      <c r="E8" s="199" t="s">
        <v>225</v>
      </c>
      <c r="F8" s="199" t="s">
        <v>226</v>
      </c>
      <c r="G8" s="199" t="s">
        <v>227</v>
      </c>
      <c r="H8" s="199" t="s">
        <v>223</v>
      </c>
      <c r="I8" s="201"/>
      <c r="J8" s="200" t="s">
        <v>181</v>
      </c>
      <c r="K8" s="199" t="s">
        <v>223</v>
      </c>
      <c r="L8" s="199" t="s">
        <v>228</v>
      </c>
      <c r="M8" s="199" t="s">
        <v>225</v>
      </c>
      <c r="N8" s="199" t="s">
        <v>194</v>
      </c>
      <c r="O8" s="199" t="s">
        <v>229</v>
      </c>
      <c r="P8" s="199" t="s">
        <v>230</v>
      </c>
      <c r="Q8" s="199" t="s">
        <v>226</v>
      </c>
      <c r="R8" s="199" t="s">
        <v>227</v>
      </c>
      <c r="S8" s="198" t="s">
        <v>223</v>
      </c>
    </row>
    <row r="9" spans="1:19" ht="15">
      <c r="A9" s="218">
        <v>3010</v>
      </c>
      <c r="B9" s="549">
        <v>23328.060000000001</v>
      </c>
      <c r="C9" s="549">
        <v>0</v>
      </c>
      <c r="D9" s="549">
        <v>0</v>
      </c>
      <c r="E9" s="549">
        <v>0</v>
      </c>
      <c r="F9" s="549">
        <v>0</v>
      </c>
      <c r="G9" s="549">
        <v>0</v>
      </c>
      <c r="H9" s="195">
        <f t="shared" si="0" ref="H9:H47">ROUND(SUM(B9:G9),0)</f>
        <v>23328</v>
      </c>
      <c r="I9" s="194"/>
      <c r="J9" s="550">
        <v>3010</v>
      </c>
      <c r="K9" s="549">
        <v>23328.060000000001</v>
      </c>
      <c r="L9" s="549">
        <v>0</v>
      </c>
      <c r="M9" s="549">
        <v>0</v>
      </c>
      <c r="N9" s="549">
        <v>0</v>
      </c>
      <c r="O9" s="549">
        <v>0</v>
      </c>
      <c r="P9" s="549">
        <v>0</v>
      </c>
      <c r="Q9" s="549">
        <v>0</v>
      </c>
      <c r="R9" s="549">
        <v>0</v>
      </c>
      <c r="S9" s="197">
        <f t="shared" si="1" ref="S9:S47">ROUND(SUM(K9:R9),0)</f>
        <v>23328</v>
      </c>
    </row>
    <row r="10" spans="1:19" ht="15">
      <c r="A10" s="218" t="s">
        <v>195</v>
      </c>
      <c r="B10" s="549">
        <v>14132.290000000001</v>
      </c>
      <c r="C10" s="549">
        <v>0</v>
      </c>
      <c r="D10" s="549">
        <v>0</v>
      </c>
      <c r="E10" s="549">
        <v>0</v>
      </c>
      <c r="F10" s="549">
        <v>0</v>
      </c>
      <c r="G10" s="549">
        <v>0</v>
      </c>
      <c r="H10" s="195">
        <f t="shared" si="0"/>
        <v>14132</v>
      </c>
      <c r="I10" s="194"/>
      <c r="J10" s="550" t="s">
        <v>195</v>
      </c>
      <c r="K10" s="549">
        <v>12970.59</v>
      </c>
      <c r="L10" s="549">
        <v>420</v>
      </c>
      <c r="M10" s="549">
        <v>0</v>
      </c>
      <c r="N10" s="549">
        <v>0</v>
      </c>
      <c r="O10" s="549">
        <v>0</v>
      </c>
      <c r="P10" s="549">
        <v>0</v>
      </c>
      <c r="Q10" s="549">
        <v>0</v>
      </c>
      <c r="R10" s="549">
        <v>0</v>
      </c>
      <c r="S10" s="197">
        <f t="shared" si="1"/>
        <v>13391</v>
      </c>
    </row>
    <row r="11" spans="1:19" ht="15">
      <c r="A11" s="218" t="s">
        <v>196</v>
      </c>
      <c r="B11" s="549">
        <v>213641.38</v>
      </c>
      <c r="C11" s="549">
        <v>0</v>
      </c>
      <c r="D11" s="549">
        <v>0</v>
      </c>
      <c r="E11" s="549">
        <v>0</v>
      </c>
      <c r="F11" s="549">
        <v>0</v>
      </c>
      <c r="G11" s="549">
        <v>0</v>
      </c>
      <c r="H11" s="195">
        <f t="shared" si="0"/>
        <v>213641</v>
      </c>
      <c r="I11" s="194"/>
      <c r="J11" s="550" t="s">
        <v>196</v>
      </c>
      <c r="K11" s="549">
        <v>127641.78</v>
      </c>
      <c r="L11" s="549">
        <v>0</v>
      </c>
      <c r="M11" s="549">
        <v>0</v>
      </c>
      <c r="N11" s="549">
        <v>0</v>
      </c>
      <c r="O11" s="549">
        <v>0</v>
      </c>
      <c r="P11" s="549">
        <v>0</v>
      </c>
      <c r="Q11" s="549">
        <v>0</v>
      </c>
      <c r="R11" s="549">
        <v>0</v>
      </c>
      <c r="S11" s="197">
        <f t="shared" si="1"/>
        <v>127642</v>
      </c>
    </row>
    <row r="12" spans="1:19" ht="15">
      <c r="A12" s="218" t="s">
        <v>197</v>
      </c>
      <c r="B12" s="549">
        <v>376798.59999999998</v>
      </c>
      <c r="C12" s="549">
        <v>0</v>
      </c>
      <c r="D12" s="549">
        <v>0</v>
      </c>
      <c r="E12" s="549">
        <v>0</v>
      </c>
      <c r="F12" s="549">
        <v>0</v>
      </c>
      <c r="G12" s="549">
        <v>0</v>
      </c>
      <c r="H12" s="195">
        <f t="shared" si="0"/>
        <v>376799</v>
      </c>
      <c r="I12" s="194"/>
      <c r="J12" s="550" t="s">
        <v>197</v>
      </c>
      <c r="K12" s="549">
        <v>0</v>
      </c>
      <c r="L12" s="549">
        <v>0</v>
      </c>
      <c r="M12" s="549">
        <v>0</v>
      </c>
      <c r="N12" s="549">
        <v>0</v>
      </c>
      <c r="O12" s="549">
        <v>0</v>
      </c>
      <c r="P12" s="549">
        <v>0</v>
      </c>
      <c r="Q12" s="549">
        <v>0</v>
      </c>
      <c r="R12" s="549">
        <v>0</v>
      </c>
      <c r="S12" s="197">
        <f t="shared" si="1"/>
        <v>0</v>
      </c>
    </row>
    <row r="13" spans="1:19" ht="15">
      <c r="A13" s="218">
        <v>3741</v>
      </c>
      <c r="B13" s="549">
        <v>12909.530000000001</v>
      </c>
      <c r="C13" s="549">
        <v>0</v>
      </c>
      <c r="D13" s="549">
        <v>0</v>
      </c>
      <c r="E13" s="549">
        <v>0</v>
      </c>
      <c r="F13" s="549">
        <v>0</v>
      </c>
      <c r="G13" s="549">
        <v>0</v>
      </c>
      <c r="H13" s="195">
        <f t="shared" si="0"/>
        <v>12910</v>
      </c>
      <c r="I13" s="194"/>
      <c r="J13" s="550">
        <v>3741</v>
      </c>
      <c r="K13" s="549">
        <v>5400.21</v>
      </c>
      <c r="L13" s="549">
        <v>2220</v>
      </c>
      <c r="M13" s="549">
        <v>0</v>
      </c>
      <c r="N13" s="549">
        <v>0</v>
      </c>
      <c r="O13" s="549">
        <v>0</v>
      </c>
      <c r="P13" s="549">
        <v>0</v>
      </c>
      <c r="Q13" s="549">
        <v>0</v>
      </c>
      <c r="R13" s="549">
        <v>0</v>
      </c>
      <c r="S13" s="197">
        <f t="shared" si="1"/>
        <v>7620</v>
      </c>
    </row>
    <row r="14" spans="1:19" ht="15">
      <c r="A14" s="218" t="s">
        <v>198</v>
      </c>
      <c r="B14" s="549">
        <v>1397296.0699999998</v>
      </c>
      <c r="C14" s="549">
        <v>207061.92000000001</v>
      </c>
      <c r="D14" s="549">
        <v>0</v>
      </c>
      <c r="E14" s="549">
        <v>0</v>
      </c>
      <c r="F14" s="549">
        <v>0</v>
      </c>
      <c r="G14" s="549">
        <v>0</v>
      </c>
      <c r="H14" s="195">
        <f t="shared" si="0"/>
        <v>1604358</v>
      </c>
      <c r="I14" s="194"/>
      <c r="J14" s="550" t="s">
        <v>198</v>
      </c>
      <c r="K14" s="549">
        <v>637505.31999999995</v>
      </c>
      <c r="L14" s="549">
        <v>36604</v>
      </c>
      <c r="M14" s="549">
        <v>0</v>
      </c>
      <c r="N14" s="549">
        <v>0</v>
      </c>
      <c r="O14" s="549">
        <v>0</v>
      </c>
      <c r="P14" s="549">
        <v>0</v>
      </c>
      <c r="Q14" s="549">
        <v>0</v>
      </c>
      <c r="R14" s="549">
        <v>0</v>
      </c>
      <c r="S14" s="197">
        <f t="shared" si="1"/>
        <v>674109</v>
      </c>
    </row>
    <row r="15" spans="1:19" ht="15">
      <c r="A15" s="218">
        <v>3761</v>
      </c>
      <c r="B15" s="549">
        <v>87341265.310000002</v>
      </c>
      <c r="C15" s="549">
        <v>7091351.8100000005</v>
      </c>
      <c r="D15" s="549">
        <v>-140510.66999999998</v>
      </c>
      <c r="E15" s="549">
        <v>0</v>
      </c>
      <c r="F15" s="549">
        <v>-399439.73999999999</v>
      </c>
      <c r="G15" s="549">
        <v>0</v>
      </c>
      <c r="H15" s="195">
        <f t="shared" si="0"/>
        <v>93892667</v>
      </c>
      <c r="I15" s="194"/>
      <c r="J15" s="550">
        <v>3761</v>
      </c>
      <c r="K15" s="549">
        <v>23474179.789999999</v>
      </c>
      <c r="L15" s="549">
        <v>2339679</v>
      </c>
      <c r="M15" s="549">
        <v>0</v>
      </c>
      <c r="N15" s="549">
        <v>-140510.66999999998</v>
      </c>
      <c r="O15" s="549">
        <v>0</v>
      </c>
      <c r="P15" s="549">
        <v>-306421.94</v>
      </c>
      <c r="Q15" s="549">
        <v>-378317.64000000001</v>
      </c>
      <c r="R15" s="549">
        <v>0</v>
      </c>
      <c r="S15" s="197">
        <f t="shared" si="1"/>
        <v>24988609</v>
      </c>
    </row>
    <row r="16" spans="1:19" ht="15">
      <c r="A16" s="218">
        <v>3762</v>
      </c>
      <c r="B16" s="549">
        <v>52314006.960000001</v>
      </c>
      <c r="C16" s="549">
        <v>8096669.2000000002</v>
      </c>
      <c r="D16" s="549">
        <v>-417220.28999999998</v>
      </c>
      <c r="E16" s="549">
        <v>0</v>
      </c>
      <c r="F16" s="549">
        <v>165794.05000000002</v>
      </c>
      <c r="G16" s="549">
        <v>0</v>
      </c>
      <c r="H16" s="195">
        <f t="shared" si="0"/>
        <v>60159250</v>
      </c>
      <c r="I16" s="194"/>
      <c r="J16" s="550">
        <v>3762</v>
      </c>
      <c r="K16" s="549">
        <v>27698456.010000002</v>
      </c>
      <c r="L16" s="549">
        <v>1587598</v>
      </c>
      <c r="M16" s="549">
        <v>0</v>
      </c>
      <c r="N16" s="549">
        <v>-417220.28999999998</v>
      </c>
      <c r="O16" s="549">
        <v>0</v>
      </c>
      <c r="P16" s="549">
        <v>-102358.89</v>
      </c>
      <c r="Q16" s="549">
        <v>162477.78</v>
      </c>
      <c r="R16" s="549">
        <v>0</v>
      </c>
      <c r="S16" s="197">
        <f t="shared" si="1"/>
        <v>28928953</v>
      </c>
    </row>
    <row r="17" spans="1:19" ht="15">
      <c r="A17" s="218" t="s">
        <v>87</v>
      </c>
      <c r="B17" s="549">
        <v>89985211.549999997</v>
      </c>
      <c r="C17" s="549">
        <v>10113224.17</v>
      </c>
      <c r="D17" s="549">
        <v>0</v>
      </c>
      <c r="E17" s="549">
        <v>0</v>
      </c>
      <c r="F17" s="549">
        <v>0</v>
      </c>
      <c r="G17" s="549">
        <v>0</v>
      </c>
      <c r="H17" s="195">
        <f t="shared" si="0"/>
        <v>100098436</v>
      </c>
      <c r="I17" s="194"/>
      <c r="J17" s="550" t="s">
        <v>87</v>
      </c>
      <c r="K17" s="549">
        <v>4816937.1500000004</v>
      </c>
      <c r="L17" s="549">
        <v>2455659</v>
      </c>
      <c r="M17" s="549">
        <v>0</v>
      </c>
      <c r="N17" s="549">
        <v>0</v>
      </c>
      <c r="O17" s="549">
        <v>0</v>
      </c>
      <c r="P17" s="549">
        <v>-304620.52000000002</v>
      </c>
      <c r="Q17" s="549">
        <v>0</v>
      </c>
      <c r="R17" s="549">
        <v>0</v>
      </c>
      <c r="S17" s="197">
        <f t="shared" si="1"/>
        <v>6967976</v>
      </c>
    </row>
    <row r="18" spans="1:19" ht="15">
      <c r="A18" s="218" t="s">
        <v>199</v>
      </c>
      <c r="B18" s="549">
        <v>3787739.7699999996</v>
      </c>
      <c r="C18" s="549">
        <v>572000.40000000002</v>
      </c>
      <c r="D18" s="549">
        <v>0</v>
      </c>
      <c r="E18" s="549">
        <v>0</v>
      </c>
      <c r="F18" s="549">
        <v>0</v>
      </c>
      <c r="G18" s="549">
        <v>0</v>
      </c>
      <c r="H18" s="195">
        <f t="shared" si="0"/>
        <v>4359740</v>
      </c>
      <c r="I18" s="194"/>
      <c r="J18" s="550" t="s">
        <v>199</v>
      </c>
      <c r="K18" s="549">
        <v>973448.58000000007</v>
      </c>
      <c r="L18" s="549">
        <v>133373</v>
      </c>
      <c r="M18" s="549">
        <v>0</v>
      </c>
      <c r="N18" s="549">
        <v>0</v>
      </c>
      <c r="O18" s="549">
        <v>0</v>
      </c>
      <c r="P18" s="549">
        <v>-7863.79</v>
      </c>
      <c r="Q18" s="549">
        <v>0</v>
      </c>
      <c r="R18" s="549">
        <v>0</v>
      </c>
      <c r="S18" s="197">
        <f t="shared" si="1"/>
        <v>1098958</v>
      </c>
    </row>
    <row r="19" spans="1:19" ht="15">
      <c r="A19" s="218" t="s">
        <v>200</v>
      </c>
      <c r="B19" s="549">
        <v>11576166.899999999</v>
      </c>
      <c r="C19" s="549">
        <v>1441497.1600000001</v>
      </c>
      <c r="D19" s="549">
        <v>0</v>
      </c>
      <c r="E19" s="549">
        <v>0</v>
      </c>
      <c r="F19" s="549">
        <v>0</v>
      </c>
      <c r="G19" s="549">
        <v>0</v>
      </c>
      <c r="H19" s="195">
        <f t="shared" si="0"/>
        <v>13017664</v>
      </c>
      <c r="I19" s="194"/>
      <c r="J19" s="550" t="s">
        <v>200</v>
      </c>
      <c r="K19" s="549">
        <v>3955621.3799999999</v>
      </c>
      <c r="L19" s="549">
        <v>421997</v>
      </c>
      <c r="M19" s="549">
        <v>0</v>
      </c>
      <c r="N19" s="549">
        <v>0</v>
      </c>
      <c r="O19" s="549">
        <v>0</v>
      </c>
      <c r="P19" s="549">
        <v>-47765.010000000002</v>
      </c>
      <c r="Q19" s="549">
        <v>-15347.75</v>
      </c>
      <c r="R19" s="549">
        <v>0</v>
      </c>
      <c r="S19" s="197">
        <f t="shared" si="1"/>
        <v>4314506</v>
      </c>
    </row>
    <row r="20" spans="1:19" ht="15">
      <c r="A20" s="218">
        <v>3801</v>
      </c>
      <c r="B20" s="549">
        <v>47954793.379999995</v>
      </c>
      <c r="C20" s="549">
        <v>3463272.8200000003</v>
      </c>
      <c r="D20" s="549">
        <v>-301683.04000000004</v>
      </c>
      <c r="E20" s="549">
        <v>0</v>
      </c>
      <c r="F20" s="549">
        <v>34973.620000000003</v>
      </c>
      <c r="G20" s="549">
        <v>0</v>
      </c>
      <c r="H20" s="195">
        <f t="shared" si="0"/>
        <v>51151357</v>
      </c>
      <c r="I20" s="194"/>
      <c r="J20" s="550">
        <v>3801</v>
      </c>
      <c r="K20" s="549">
        <v>12632489.680000002</v>
      </c>
      <c r="L20" s="549">
        <v>1328095</v>
      </c>
      <c r="M20" s="549">
        <v>0</v>
      </c>
      <c r="N20" s="549">
        <v>-301683.04000000004</v>
      </c>
      <c r="O20" s="549">
        <v>0</v>
      </c>
      <c r="P20" s="549">
        <v>-324877.83000000002</v>
      </c>
      <c r="Q20" s="549">
        <v>31566.790000000001</v>
      </c>
      <c r="R20" s="549">
        <v>0</v>
      </c>
      <c r="S20" s="197">
        <f t="shared" si="1"/>
        <v>13365591</v>
      </c>
    </row>
    <row r="21" spans="1:19" ht="15">
      <c r="A21" s="218">
        <v>3802</v>
      </c>
      <c r="B21" s="549">
        <v>1699093.73</v>
      </c>
      <c r="C21" s="549">
        <v>0</v>
      </c>
      <c r="D21" s="549">
        <v>-112654.55</v>
      </c>
      <c r="E21" s="549">
        <v>0</v>
      </c>
      <c r="F21" s="549">
        <v>201853.41</v>
      </c>
      <c r="G21" s="549">
        <v>0</v>
      </c>
      <c r="H21" s="195">
        <f t="shared" si="0"/>
        <v>1788293</v>
      </c>
      <c r="I21" s="194"/>
      <c r="J21" s="550">
        <v>3802</v>
      </c>
      <c r="K21" s="549">
        <v>2538253.4699999997</v>
      </c>
      <c r="L21" s="549">
        <v>112787</v>
      </c>
      <c r="M21" s="549">
        <v>0</v>
      </c>
      <c r="N21" s="549">
        <v>-112654.55</v>
      </c>
      <c r="O21" s="549">
        <v>0</v>
      </c>
      <c r="P21" s="549">
        <v>-104171.25</v>
      </c>
      <c r="Q21" s="549">
        <v>181893.43000000002</v>
      </c>
      <c r="R21" s="549">
        <v>0</v>
      </c>
      <c r="S21" s="197">
        <f t="shared" si="1"/>
        <v>2616108</v>
      </c>
    </row>
    <row r="22" spans="1:19" ht="15">
      <c r="A22" s="218" t="s">
        <v>95</v>
      </c>
      <c r="B22" s="549">
        <v>23176113.359999999</v>
      </c>
      <c r="C22" s="549">
        <v>2675669.4500000002</v>
      </c>
      <c r="D22" s="549">
        <v>0</v>
      </c>
      <c r="E22" s="549">
        <v>0</v>
      </c>
      <c r="F22" s="549">
        <v>0</v>
      </c>
      <c r="G22" s="549">
        <v>0</v>
      </c>
      <c r="H22" s="195">
        <f t="shared" si="0"/>
        <v>25851783</v>
      </c>
      <c r="I22" s="194"/>
      <c r="J22" s="550" t="s">
        <v>95</v>
      </c>
      <c r="K22" s="549">
        <v>-455661.39000000001</v>
      </c>
      <c r="L22" s="549">
        <v>650938</v>
      </c>
      <c r="M22" s="549">
        <v>0</v>
      </c>
      <c r="N22" s="549">
        <v>0</v>
      </c>
      <c r="O22" s="549">
        <v>0</v>
      </c>
      <c r="P22" s="549">
        <v>-159167.78000000003</v>
      </c>
      <c r="Q22" s="549">
        <v>0</v>
      </c>
      <c r="R22" s="549">
        <v>0</v>
      </c>
      <c r="S22" s="197">
        <f t="shared" si="1"/>
        <v>36109</v>
      </c>
    </row>
    <row r="23" spans="1:19" ht="15">
      <c r="A23" s="218" t="s">
        <v>201</v>
      </c>
      <c r="B23" s="549">
        <v>15247156.32</v>
      </c>
      <c r="C23" s="549">
        <v>1412670.8400000001</v>
      </c>
      <c r="D23" s="549">
        <v>0</v>
      </c>
      <c r="E23" s="549">
        <v>0</v>
      </c>
      <c r="F23" s="549">
        <v>0</v>
      </c>
      <c r="G23" s="549">
        <v>0</v>
      </c>
      <c r="H23" s="195">
        <f t="shared" si="0"/>
        <v>16659827</v>
      </c>
      <c r="I23" s="194"/>
      <c r="J23" s="550" t="s">
        <v>201</v>
      </c>
      <c r="K23" s="549">
        <v>5787549.9500000002</v>
      </c>
      <c r="L23" s="549">
        <v>586398</v>
      </c>
      <c r="M23" s="549">
        <v>0</v>
      </c>
      <c r="N23" s="549">
        <v>0</v>
      </c>
      <c r="O23" s="549">
        <v>0</v>
      </c>
      <c r="P23" s="549">
        <v>0</v>
      </c>
      <c r="Q23" s="549">
        <v>-721.01999999999998</v>
      </c>
      <c r="R23" s="549">
        <v>0</v>
      </c>
      <c r="S23" s="197">
        <f t="shared" si="1"/>
        <v>6373227</v>
      </c>
    </row>
    <row r="24" spans="1:19" ht="15">
      <c r="A24" s="218">
        <v>3811</v>
      </c>
      <c r="B24" s="549">
        <v>2236535.5</v>
      </c>
      <c r="C24" s="549">
        <v>0</v>
      </c>
      <c r="D24" s="549">
        <v>0</v>
      </c>
      <c r="E24" s="549">
        <v>0</v>
      </c>
      <c r="F24" s="549">
        <v>0</v>
      </c>
      <c r="G24" s="549">
        <v>0</v>
      </c>
      <c r="H24" s="195">
        <f t="shared" si="0"/>
        <v>2236536</v>
      </c>
      <c r="I24" s="194"/>
      <c r="J24" s="550">
        <v>3811</v>
      </c>
      <c r="K24" s="549">
        <v>962678.80000000005</v>
      </c>
      <c r="L24" s="549">
        <v>100752</v>
      </c>
      <c r="M24" s="549">
        <v>0</v>
      </c>
      <c r="N24" s="549">
        <v>0</v>
      </c>
      <c r="O24" s="549">
        <v>0</v>
      </c>
      <c r="P24" s="549">
        <v>0</v>
      </c>
      <c r="Q24" s="549">
        <v>0</v>
      </c>
      <c r="R24" s="549">
        <v>0</v>
      </c>
      <c r="S24" s="197">
        <f t="shared" si="1"/>
        <v>1063431</v>
      </c>
    </row>
    <row r="25" spans="1:19" ht="15">
      <c r="A25" s="218" t="s">
        <v>202</v>
      </c>
      <c r="B25" s="549">
        <v>12085697.579999998</v>
      </c>
      <c r="C25" s="549">
        <v>1443601.8799999999</v>
      </c>
      <c r="D25" s="549">
        <v>-3251.25</v>
      </c>
      <c r="E25" s="549">
        <v>0</v>
      </c>
      <c r="F25" s="549">
        <v>0</v>
      </c>
      <c r="G25" s="549">
        <v>0</v>
      </c>
      <c r="H25" s="195">
        <f t="shared" si="0"/>
        <v>13526048</v>
      </c>
      <c r="I25" s="194"/>
      <c r="J25" s="550" t="s">
        <v>202</v>
      </c>
      <c r="K25" s="549">
        <v>2906237.1799999997</v>
      </c>
      <c r="L25" s="549">
        <v>391159</v>
      </c>
      <c r="M25" s="549">
        <v>0</v>
      </c>
      <c r="N25" s="549">
        <v>-3251.25</v>
      </c>
      <c r="O25" s="549">
        <v>0</v>
      </c>
      <c r="P25" s="549">
        <v>-61426.599999999999</v>
      </c>
      <c r="Q25" s="549">
        <v>-19331.98</v>
      </c>
      <c r="R25" s="549">
        <v>0</v>
      </c>
      <c r="S25" s="197">
        <f t="shared" si="1"/>
        <v>3213386</v>
      </c>
    </row>
    <row r="26" spans="1:19" ht="15">
      <c r="A26" s="218">
        <v>3821</v>
      </c>
      <c r="B26" s="549">
        <v>593040.08999999997</v>
      </c>
      <c r="C26" s="549">
        <v>0</v>
      </c>
      <c r="D26" s="549">
        <v>0</v>
      </c>
      <c r="E26" s="549">
        <v>0</v>
      </c>
      <c r="F26" s="549">
        <v>0</v>
      </c>
      <c r="G26" s="549">
        <v>0</v>
      </c>
      <c r="H26" s="195">
        <f t="shared" si="0"/>
        <v>593040</v>
      </c>
      <c r="I26" s="194"/>
      <c r="J26" s="550">
        <v>3821</v>
      </c>
      <c r="K26" s="549">
        <v>206347.98999999999</v>
      </c>
      <c r="L26" s="549">
        <v>15420</v>
      </c>
      <c r="M26" s="549">
        <v>0</v>
      </c>
      <c r="N26" s="549">
        <v>0</v>
      </c>
      <c r="O26" s="549">
        <v>0</v>
      </c>
      <c r="P26" s="549">
        <v>0</v>
      </c>
      <c r="Q26" s="549">
        <v>0</v>
      </c>
      <c r="R26" s="549">
        <v>0</v>
      </c>
      <c r="S26" s="197">
        <f t="shared" si="1"/>
        <v>221768</v>
      </c>
    </row>
    <row r="27" spans="1:19" ht="15">
      <c r="A27" s="218" t="s">
        <v>203</v>
      </c>
      <c r="B27" s="549">
        <v>5035932.8399999999</v>
      </c>
      <c r="C27" s="549">
        <v>313295.92999999999</v>
      </c>
      <c r="D27" s="549">
        <v>-30425.419999999998</v>
      </c>
      <c r="E27" s="549">
        <v>0</v>
      </c>
      <c r="F27" s="549">
        <v>0</v>
      </c>
      <c r="G27" s="549">
        <v>0</v>
      </c>
      <c r="H27" s="195">
        <f t="shared" si="0"/>
        <v>5318803</v>
      </c>
      <c r="I27" s="194"/>
      <c r="J27" s="550" t="s">
        <v>203</v>
      </c>
      <c r="K27" s="549">
        <v>2306885.8900000001</v>
      </c>
      <c r="L27" s="549">
        <v>168949</v>
      </c>
      <c r="M27" s="549">
        <v>0</v>
      </c>
      <c r="N27" s="549">
        <v>-30425.419999999998</v>
      </c>
      <c r="O27" s="549">
        <v>0</v>
      </c>
      <c r="P27" s="549">
        <v>0</v>
      </c>
      <c r="Q27" s="549">
        <v>0</v>
      </c>
      <c r="R27" s="549">
        <v>0</v>
      </c>
      <c r="S27" s="197">
        <f t="shared" si="1"/>
        <v>2445409</v>
      </c>
    </row>
    <row r="28" spans="1:19" ht="15">
      <c r="A28" s="218" t="s">
        <v>204</v>
      </c>
      <c r="B28" s="549">
        <v>1044908.9</v>
      </c>
      <c r="C28" s="549">
        <v>0</v>
      </c>
      <c r="D28" s="549">
        <v>-1500.5999999999999</v>
      </c>
      <c r="E28" s="549">
        <v>0</v>
      </c>
      <c r="F28" s="549">
        <v>0</v>
      </c>
      <c r="G28" s="549">
        <v>0</v>
      </c>
      <c r="H28" s="195">
        <f t="shared" si="0"/>
        <v>1043408</v>
      </c>
      <c r="I28" s="194"/>
      <c r="J28" s="550" t="s">
        <v>204</v>
      </c>
      <c r="K28" s="549">
        <v>554003.5</v>
      </c>
      <c r="L28" s="549">
        <v>28197</v>
      </c>
      <c r="M28" s="549">
        <v>0</v>
      </c>
      <c r="N28" s="549">
        <v>-1500.5999999999999</v>
      </c>
      <c r="O28" s="549">
        <v>0</v>
      </c>
      <c r="P28" s="549">
        <v>0</v>
      </c>
      <c r="Q28" s="549">
        <v>0</v>
      </c>
      <c r="R28" s="549">
        <v>0</v>
      </c>
      <c r="S28" s="197">
        <f t="shared" si="1"/>
        <v>580700</v>
      </c>
    </row>
    <row r="29" spans="1:19" ht="15">
      <c r="A29" s="218" t="s">
        <v>205</v>
      </c>
      <c r="B29" s="549">
        <v>1848722.54</v>
      </c>
      <c r="C29" s="549">
        <v>0</v>
      </c>
      <c r="D29" s="549">
        <v>0</v>
      </c>
      <c r="E29" s="549">
        <v>0</v>
      </c>
      <c r="F29" s="549">
        <v>0</v>
      </c>
      <c r="G29" s="549">
        <v>0</v>
      </c>
      <c r="H29" s="195">
        <f t="shared" si="0"/>
        <v>1848723</v>
      </c>
      <c r="I29" s="194"/>
      <c r="J29" s="550" t="s">
        <v>205</v>
      </c>
      <c r="K29" s="549">
        <v>1039639.0599999999</v>
      </c>
      <c r="L29" s="549">
        <v>62856</v>
      </c>
      <c r="M29" s="549">
        <v>0</v>
      </c>
      <c r="N29" s="549">
        <v>0</v>
      </c>
      <c r="O29" s="549">
        <v>0</v>
      </c>
      <c r="P29" s="549">
        <v>0</v>
      </c>
      <c r="Q29" s="549">
        <v>0</v>
      </c>
      <c r="R29" s="549">
        <v>0</v>
      </c>
      <c r="S29" s="197">
        <f t="shared" si="1"/>
        <v>1102495</v>
      </c>
    </row>
    <row r="30" spans="1:19" ht="15">
      <c r="A30" s="218" t="s">
        <v>206</v>
      </c>
      <c r="B30" s="549">
        <v>2735643.21</v>
      </c>
      <c r="C30" s="549">
        <v>208584.15000000002</v>
      </c>
      <c r="D30" s="549">
        <v>0</v>
      </c>
      <c r="E30" s="549">
        <v>0</v>
      </c>
      <c r="F30" s="549">
        <v>0</v>
      </c>
      <c r="G30" s="549">
        <v>0</v>
      </c>
      <c r="H30" s="195">
        <f t="shared" si="0"/>
        <v>2944227</v>
      </c>
      <c r="I30" s="194"/>
      <c r="J30" s="550" t="s">
        <v>206</v>
      </c>
      <c r="K30" s="549">
        <v>984518.3899999999</v>
      </c>
      <c r="L30" s="549">
        <v>111832</v>
      </c>
      <c r="M30" s="549">
        <v>0</v>
      </c>
      <c r="N30" s="549">
        <v>0</v>
      </c>
      <c r="O30" s="549">
        <v>0</v>
      </c>
      <c r="P30" s="549">
        <v>0</v>
      </c>
      <c r="Q30" s="549">
        <v>0</v>
      </c>
      <c r="R30" s="549">
        <v>0</v>
      </c>
      <c r="S30" s="197">
        <f t="shared" si="1"/>
        <v>1096350</v>
      </c>
    </row>
    <row r="31" spans="1:19" ht="15">
      <c r="A31" s="218" t="s">
        <v>207</v>
      </c>
      <c r="B31" s="549">
        <v>4792302.6099999994</v>
      </c>
      <c r="C31" s="549">
        <v>112023.89999999999</v>
      </c>
      <c r="D31" s="549">
        <v>0</v>
      </c>
      <c r="E31" s="549">
        <v>0</v>
      </c>
      <c r="F31" s="549">
        <v>0</v>
      </c>
      <c r="G31" s="549">
        <v>0</v>
      </c>
      <c r="H31" s="195">
        <f t="shared" si="0"/>
        <v>4904327</v>
      </c>
      <c r="I31" s="194"/>
      <c r="J31" s="550" t="s">
        <v>207</v>
      </c>
      <c r="K31" s="549">
        <v>1318.1300000000001</v>
      </c>
      <c r="L31" s="549">
        <v>0</v>
      </c>
      <c r="M31" s="549">
        <v>0</v>
      </c>
      <c r="N31" s="549">
        <v>0</v>
      </c>
      <c r="O31" s="549">
        <v>0</v>
      </c>
      <c r="P31" s="549">
        <v>0</v>
      </c>
      <c r="Q31" s="549">
        <v>0</v>
      </c>
      <c r="R31" s="549">
        <v>0</v>
      </c>
      <c r="S31" s="197">
        <f t="shared" si="1"/>
        <v>1318</v>
      </c>
    </row>
    <row r="32" spans="1:19" ht="15">
      <c r="A32" s="218" t="s">
        <v>208</v>
      </c>
      <c r="B32" s="549">
        <v>2832363.6299999999</v>
      </c>
      <c r="C32" s="549">
        <v>306400</v>
      </c>
      <c r="D32" s="549">
        <v>0</v>
      </c>
      <c r="E32" s="549">
        <v>0</v>
      </c>
      <c r="F32" s="549">
        <v>0</v>
      </c>
      <c r="G32" s="549">
        <v>0</v>
      </c>
      <c r="H32" s="195">
        <f t="shared" si="0"/>
        <v>3138764</v>
      </c>
      <c r="I32" s="194"/>
      <c r="J32" s="550" t="s">
        <v>208</v>
      </c>
      <c r="K32" s="549">
        <v>433233.77999999997</v>
      </c>
      <c r="L32" s="549">
        <v>58185</v>
      </c>
      <c r="M32" s="549">
        <v>0</v>
      </c>
      <c r="N32" s="549">
        <v>0</v>
      </c>
      <c r="O32" s="549">
        <v>0</v>
      </c>
      <c r="P32" s="549">
        <v>0</v>
      </c>
      <c r="Q32" s="553">
        <v>0</v>
      </c>
      <c r="R32" s="549">
        <v>0</v>
      </c>
      <c r="S32" s="197">
        <f t="shared" si="1"/>
        <v>491419</v>
      </c>
    </row>
    <row r="33" spans="1:19" ht="15">
      <c r="A33" s="218">
        <v>3910</v>
      </c>
      <c r="B33" s="549">
        <v>1091456.6999999997</v>
      </c>
      <c r="C33" s="549">
        <v>536010.47999999998</v>
      </c>
      <c r="D33" s="549">
        <v>-20651.25</v>
      </c>
      <c r="E33" s="549">
        <v>0</v>
      </c>
      <c r="F33" s="549">
        <v>-19492.75</v>
      </c>
      <c r="G33" s="549">
        <v>0</v>
      </c>
      <c r="H33" s="195">
        <f t="shared" si="0"/>
        <v>1587323</v>
      </c>
      <c r="I33" s="196"/>
      <c r="J33" s="550">
        <v>3910</v>
      </c>
      <c r="K33" s="549">
        <v>294399.81</v>
      </c>
      <c r="L33" s="549">
        <v>77059</v>
      </c>
      <c r="M33" s="549">
        <v>0</v>
      </c>
      <c r="N33" s="549">
        <v>-20651.25</v>
      </c>
      <c r="O33" s="549">
        <v>0</v>
      </c>
      <c r="P33" s="549">
        <v>0</v>
      </c>
      <c r="Q33" s="553">
        <v>0</v>
      </c>
      <c r="R33" s="549">
        <v>0</v>
      </c>
      <c r="S33" s="192">
        <f t="shared" si="1"/>
        <v>350808</v>
      </c>
    </row>
    <row r="34" spans="1:20" ht="15">
      <c r="A34" s="218">
        <v>3912</v>
      </c>
      <c r="B34" s="549">
        <v>1325840.3500000001</v>
      </c>
      <c r="C34" s="549">
        <v>15325.48</v>
      </c>
      <c r="D34" s="549">
        <v>0</v>
      </c>
      <c r="E34" s="549">
        <v>0</v>
      </c>
      <c r="F34" s="549">
        <v>19492.75</v>
      </c>
      <c r="G34" s="549">
        <v>0</v>
      </c>
      <c r="H34" s="195">
        <f t="shared" si="0"/>
        <v>1360659</v>
      </c>
      <c r="I34" s="196"/>
      <c r="J34" s="550">
        <v>3912</v>
      </c>
      <c r="K34" s="549">
        <v>213454.86000000002</v>
      </c>
      <c r="L34" s="549">
        <v>69552</v>
      </c>
      <c r="M34" s="549">
        <v>0</v>
      </c>
      <c r="N34" s="549">
        <v>0</v>
      </c>
      <c r="O34" s="549">
        <v>0</v>
      </c>
      <c r="P34" s="549">
        <v>0</v>
      </c>
      <c r="Q34" s="553">
        <v>0</v>
      </c>
      <c r="R34" s="549">
        <v>0</v>
      </c>
      <c r="S34" s="192">
        <f t="shared" si="1"/>
        <v>283007</v>
      </c>
      <c r="T34" s="371"/>
    </row>
    <row r="35" spans="1:19" ht="15">
      <c r="A35" s="218">
        <v>3913</v>
      </c>
      <c r="B35" s="549">
        <v>1353826.26</v>
      </c>
      <c r="C35" s="549">
        <v>0</v>
      </c>
      <c r="D35" s="549">
        <v>0</v>
      </c>
      <c r="E35" s="549">
        <v>0</v>
      </c>
      <c r="F35" s="549">
        <v>0</v>
      </c>
      <c r="G35" s="549">
        <v>0</v>
      </c>
      <c r="H35" s="195">
        <f t="shared" si="0"/>
        <v>1353826</v>
      </c>
      <c r="I35" s="196"/>
      <c r="J35" s="550">
        <v>3913</v>
      </c>
      <c r="K35" s="549">
        <v>383571.65000000002</v>
      </c>
      <c r="L35" s="549">
        <v>50100</v>
      </c>
      <c r="M35" s="549">
        <v>0</v>
      </c>
      <c r="N35" s="549">
        <v>0</v>
      </c>
      <c r="O35" s="549">
        <v>0</v>
      </c>
      <c r="P35" s="549">
        <v>0</v>
      </c>
      <c r="Q35" s="553">
        <v>492</v>
      </c>
      <c r="R35" s="549">
        <v>0</v>
      </c>
      <c r="S35" s="192">
        <f t="shared" si="1"/>
        <v>434164</v>
      </c>
    </row>
    <row r="36" spans="1:19" ht="15">
      <c r="A36" s="218">
        <v>3914</v>
      </c>
      <c r="B36" s="549">
        <v>7446993.9800000004</v>
      </c>
      <c r="C36" s="549">
        <v>372160.88</v>
      </c>
      <c r="D36" s="549">
        <v>0</v>
      </c>
      <c r="E36" s="549">
        <v>0</v>
      </c>
      <c r="F36" s="549">
        <v>0</v>
      </c>
      <c r="G36" s="549">
        <v>0</v>
      </c>
      <c r="H36" s="195">
        <f t="shared" si="0"/>
        <v>7819155</v>
      </c>
      <c r="I36" s="196"/>
      <c r="J36" s="550">
        <v>3914</v>
      </c>
      <c r="K36" s="549">
        <v>2570863.1799999997</v>
      </c>
      <c r="L36" s="549">
        <v>326107</v>
      </c>
      <c r="M36" s="549">
        <v>0</v>
      </c>
      <c r="N36" s="549">
        <v>0</v>
      </c>
      <c r="O36" s="549">
        <v>0</v>
      </c>
      <c r="P36" s="549">
        <v>0</v>
      </c>
      <c r="Q36" s="549">
        <v>0</v>
      </c>
      <c r="R36" s="549">
        <v>0</v>
      </c>
      <c r="S36" s="192">
        <f t="shared" si="1"/>
        <v>2896970</v>
      </c>
    </row>
    <row r="37" spans="1:19" ht="15">
      <c r="A37" s="218">
        <v>3921</v>
      </c>
      <c r="B37" s="549">
        <v>188170.03</v>
      </c>
      <c r="C37" s="549">
        <v>123916.25</v>
      </c>
      <c r="D37" s="549">
        <v>-45858.610000000001</v>
      </c>
      <c r="E37" s="549">
        <v>19904.34</v>
      </c>
      <c r="F37" s="549">
        <v>0</v>
      </c>
      <c r="G37" s="549">
        <v>79</v>
      </c>
      <c r="H37" s="195">
        <f t="shared" si="0"/>
        <v>286211</v>
      </c>
      <c r="I37" s="196"/>
      <c r="J37" s="550">
        <v>3921</v>
      </c>
      <c r="K37" s="549">
        <v>71220.449999999997</v>
      </c>
      <c r="L37" s="549">
        <v>29595.220000000001</v>
      </c>
      <c r="M37" s="549">
        <v>26805.93</v>
      </c>
      <c r="N37" s="549">
        <v>-45858.610000000001</v>
      </c>
      <c r="O37" s="549">
        <v>0</v>
      </c>
      <c r="P37" s="549">
        <v>0</v>
      </c>
      <c r="Q37" s="549">
        <v>-6295</v>
      </c>
      <c r="R37" s="549">
        <v>0</v>
      </c>
      <c r="S37" s="192">
        <f t="shared" si="1"/>
        <v>75468</v>
      </c>
    </row>
    <row r="38" spans="1:19" ht="15">
      <c r="A38" s="218">
        <v>3922</v>
      </c>
      <c r="B38" s="549">
        <v>6165147.620000001</v>
      </c>
      <c r="C38" s="549">
        <v>497314.48999999999</v>
      </c>
      <c r="D38" s="549">
        <v>-1222787.55</v>
      </c>
      <c r="E38" s="549">
        <v>-23968.040000000001</v>
      </c>
      <c r="F38" s="549">
        <v>0</v>
      </c>
      <c r="G38" s="549">
        <v>-27054.869999999995</v>
      </c>
      <c r="H38" s="195">
        <f t="shared" si="0"/>
        <v>5388652</v>
      </c>
      <c r="I38" s="196"/>
      <c r="J38" s="550">
        <v>3922</v>
      </c>
      <c r="K38" s="549">
        <v>2676964.3599999999</v>
      </c>
      <c r="L38" s="549">
        <v>423053.32999999996</v>
      </c>
      <c r="M38" s="549">
        <v>-23968.040000000001</v>
      </c>
      <c r="N38" s="549">
        <v>-1222787.55</v>
      </c>
      <c r="O38" s="549">
        <v>198087.29999999999</v>
      </c>
      <c r="P38" s="549">
        <v>0</v>
      </c>
      <c r="Q38" s="549">
        <v>-19969.23</v>
      </c>
      <c r="R38" s="549">
        <v>-25994.870000000003</v>
      </c>
      <c r="S38" s="192">
        <f t="shared" si="1"/>
        <v>2005385</v>
      </c>
    </row>
    <row r="39" spans="1:19" ht="15">
      <c r="A39" s="218">
        <v>3923</v>
      </c>
      <c r="B39" s="549">
        <v>7855.9399999999996</v>
      </c>
      <c r="C39" s="549">
        <v>0</v>
      </c>
      <c r="D39" s="549">
        <v>0</v>
      </c>
      <c r="E39" s="549">
        <v>-7855.9399999999996</v>
      </c>
      <c r="F39" s="549">
        <v>0</v>
      </c>
      <c r="G39" s="549">
        <v>0</v>
      </c>
      <c r="H39" s="195">
        <f t="shared" si="0"/>
        <v>0</v>
      </c>
      <c r="I39" s="196"/>
      <c r="J39" s="550">
        <v>3923</v>
      </c>
      <c r="K39" s="549">
        <v>5058.1400000000003</v>
      </c>
      <c r="L39" s="549">
        <v>432</v>
      </c>
      <c r="M39" s="549">
        <v>0</v>
      </c>
      <c r="N39" s="549">
        <v>0</v>
      </c>
      <c r="O39" s="549">
        <v>0</v>
      </c>
      <c r="P39" s="549">
        <v>0</v>
      </c>
      <c r="Q39" s="549">
        <v>-5490.1400000000003</v>
      </c>
      <c r="R39" s="549">
        <v>0</v>
      </c>
      <c r="S39" s="192">
        <f t="shared" si="1"/>
        <v>0</v>
      </c>
    </row>
    <row r="40" spans="1:19" ht="15">
      <c r="A40" s="218">
        <v>3924</v>
      </c>
      <c r="B40" s="549">
        <v>94166.410000000003</v>
      </c>
      <c r="C40" s="549">
        <v>0</v>
      </c>
      <c r="D40" s="549">
        <v>-17685.040000000001</v>
      </c>
      <c r="E40" s="549">
        <v>11919.640000000001</v>
      </c>
      <c r="F40" s="549">
        <v>0</v>
      </c>
      <c r="G40" s="549">
        <v>0</v>
      </c>
      <c r="H40" s="195">
        <f t="shared" si="0"/>
        <v>88401</v>
      </c>
      <c r="I40" s="196"/>
      <c r="J40" s="550">
        <v>3924</v>
      </c>
      <c r="K40" s="549">
        <v>61529.910000000003</v>
      </c>
      <c r="L40" s="549">
        <v>-4053.6200000000008</v>
      </c>
      <c r="M40" s="549">
        <v>-2837.8899999999999</v>
      </c>
      <c r="N40" s="549">
        <v>-17685.040000000001</v>
      </c>
      <c r="O40" s="549">
        <v>0</v>
      </c>
      <c r="P40" s="549">
        <v>0</v>
      </c>
      <c r="Q40" s="549">
        <v>2527.5999999999999</v>
      </c>
      <c r="R40" s="549">
        <v>0</v>
      </c>
      <c r="S40" s="192">
        <f t="shared" si="1"/>
        <v>39481</v>
      </c>
    </row>
    <row r="41" spans="1:19" ht="15">
      <c r="A41" s="218" t="s">
        <v>209</v>
      </c>
      <c r="B41" s="549">
        <v>32697.970000000001</v>
      </c>
      <c r="C41" s="549">
        <v>0</v>
      </c>
      <c r="D41" s="549">
        <v>0</v>
      </c>
      <c r="E41" s="549">
        <v>0</v>
      </c>
      <c r="F41" s="549">
        <v>0</v>
      </c>
      <c r="G41" s="549">
        <v>0</v>
      </c>
      <c r="H41" s="195">
        <f t="shared" si="0"/>
        <v>32698</v>
      </c>
      <c r="I41" s="194"/>
      <c r="J41" s="550" t="s">
        <v>209</v>
      </c>
      <c r="K41" s="549">
        <v>16807.529999999999</v>
      </c>
      <c r="L41" s="549">
        <v>1896</v>
      </c>
      <c r="M41" s="549">
        <v>0</v>
      </c>
      <c r="N41" s="549">
        <v>0</v>
      </c>
      <c r="O41" s="549">
        <v>0</v>
      </c>
      <c r="P41" s="549">
        <v>0</v>
      </c>
      <c r="Q41" s="549">
        <v>0</v>
      </c>
      <c r="R41" s="549">
        <v>0</v>
      </c>
      <c r="S41" s="192">
        <f t="shared" si="1"/>
        <v>18704</v>
      </c>
    </row>
    <row r="42" spans="1:19" ht="15">
      <c r="A42" s="218" t="s">
        <v>210</v>
      </c>
      <c r="B42" s="549">
        <v>1121999</v>
      </c>
      <c r="C42" s="549">
        <v>121915.37000000001</v>
      </c>
      <c r="D42" s="549">
        <v>0</v>
      </c>
      <c r="E42" s="549">
        <v>0</v>
      </c>
      <c r="F42" s="549">
        <v>0</v>
      </c>
      <c r="G42" s="549">
        <v>0</v>
      </c>
      <c r="H42" s="195">
        <f t="shared" si="0"/>
        <v>1243914</v>
      </c>
      <c r="I42" s="194"/>
      <c r="J42" s="550" t="s">
        <v>210</v>
      </c>
      <c r="K42" s="549">
        <v>716216.37</v>
      </c>
      <c r="L42" s="549">
        <v>84682</v>
      </c>
      <c r="M42" s="549">
        <v>0</v>
      </c>
      <c r="N42" s="549">
        <v>0</v>
      </c>
      <c r="O42" s="549">
        <v>0</v>
      </c>
      <c r="P42" s="549">
        <v>0</v>
      </c>
      <c r="Q42" s="549">
        <v>0</v>
      </c>
      <c r="R42" s="549">
        <v>0</v>
      </c>
      <c r="S42" s="192">
        <f t="shared" si="1"/>
        <v>800898</v>
      </c>
    </row>
    <row r="43" spans="1:19" ht="15">
      <c r="A43" s="218" t="s">
        <v>211</v>
      </c>
      <c r="B43" s="549">
        <v>0</v>
      </c>
      <c r="C43" s="549">
        <v>0</v>
      </c>
      <c r="D43" s="549">
        <v>0</v>
      </c>
      <c r="E43" s="549">
        <v>0</v>
      </c>
      <c r="F43" s="549">
        <v>0</v>
      </c>
      <c r="G43" s="549">
        <v>0</v>
      </c>
      <c r="H43" s="195">
        <f t="shared" si="0"/>
        <v>0</v>
      </c>
      <c r="I43" s="194"/>
      <c r="J43" s="550" t="s">
        <v>211</v>
      </c>
      <c r="K43" s="549">
        <v>0</v>
      </c>
      <c r="L43" s="549">
        <v>0</v>
      </c>
      <c r="M43" s="549">
        <v>0</v>
      </c>
      <c r="N43" s="549">
        <v>0</v>
      </c>
      <c r="O43" s="549">
        <v>0</v>
      </c>
      <c r="P43" s="549">
        <v>0</v>
      </c>
      <c r="Q43" s="549">
        <v>0</v>
      </c>
      <c r="R43" s="549">
        <v>0</v>
      </c>
      <c r="S43" s="192">
        <f t="shared" si="1"/>
        <v>0</v>
      </c>
    </row>
    <row r="44" spans="1:19" ht="15">
      <c r="A44" s="218" t="s">
        <v>212</v>
      </c>
      <c r="B44" s="549">
        <v>1525131.2000000002</v>
      </c>
      <c r="C44" s="549">
        <v>0</v>
      </c>
      <c r="D44" s="549">
        <v>0</v>
      </c>
      <c r="E44" s="549">
        <v>0</v>
      </c>
      <c r="F44" s="549">
        <v>0</v>
      </c>
      <c r="G44" s="549">
        <v>0</v>
      </c>
      <c r="H44" s="195">
        <f t="shared" si="0"/>
        <v>1525131</v>
      </c>
      <c r="I44" s="194"/>
      <c r="J44" s="550" t="s">
        <v>212</v>
      </c>
      <c r="K44" s="549">
        <v>920982.22000000009</v>
      </c>
      <c r="L44" s="549">
        <v>11352</v>
      </c>
      <c r="M44" s="549">
        <v>0</v>
      </c>
      <c r="N44" s="549">
        <v>0</v>
      </c>
      <c r="O44" s="549">
        <v>0</v>
      </c>
      <c r="P44" s="549">
        <v>0</v>
      </c>
      <c r="Q44" s="549">
        <v>0</v>
      </c>
      <c r="R44" s="549">
        <v>0</v>
      </c>
      <c r="S44" s="192">
        <f t="shared" si="1"/>
        <v>932334</v>
      </c>
    </row>
    <row r="45" spans="1:19" ht="15">
      <c r="A45" s="218" t="s">
        <v>213</v>
      </c>
      <c r="B45" s="549">
        <v>1953177.3600000001</v>
      </c>
      <c r="C45" s="549">
        <v>465774.94</v>
      </c>
      <c r="D45" s="549">
        <v>0</v>
      </c>
      <c r="E45" s="549">
        <v>0</v>
      </c>
      <c r="F45" s="549">
        <v>0</v>
      </c>
      <c r="G45" s="549">
        <v>0</v>
      </c>
      <c r="H45" s="195">
        <f t="shared" si="0"/>
        <v>2418952</v>
      </c>
      <c r="I45" s="194"/>
      <c r="J45" s="550" t="s">
        <v>213</v>
      </c>
      <c r="K45" s="549">
        <v>1078267.6699999999</v>
      </c>
      <c r="L45" s="549">
        <v>146644</v>
      </c>
      <c r="M45" s="549">
        <v>0</v>
      </c>
      <c r="N45" s="549">
        <v>0</v>
      </c>
      <c r="O45" s="549">
        <v>0</v>
      </c>
      <c r="P45" s="549">
        <v>0</v>
      </c>
      <c r="Q45" s="549">
        <v>0</v>
      </c>
      <c r="R45" s="549">
        <v>0</v>
      </c>
      <c r="S45" s="192">
        <f t="shared" si="1"/>
        <v>1224912</v>
      </c>
    </row>
    <row r="46" spans="1:19" ht="15">
      <c r="A46" s="218" t="s">
        <v>214</v>
      </c>
      <c r="B46" s="549">
        <v>409659.39000000001</v>
      </c>
      <c r="C46" s="549">
        <v>2461</v>
      </c>
      <c r="D46" s="549">
        <v>0</v>
      </c>
      <c r="E46" s="549">
        <v>0</v>
      </c>
      <c r="F46" s="549">
        <v>0</v>
      </c>
      <c r="G46" s="549">
        <v>0</v>
      </c>
      <c r="H46" s="195">
        <f t="shared" si="0"/>
        <v>412120</v>
      </c>
      <c r="I46" s="194"/>
      <c r="J46" s="550" t="s">
        <v>214</v>
      </c>
      <c r="K46" s="549">
        <v>205796.29000000001</v>
      </c>
      <c r="L46" s="549">
        <v>15720</v>
      </c>
      <c r="M46" s="549">
        <v>0</v>
      </c>
      <c r="N46" s="549">
        <v>0</v>
      </c>
      <c r="O46" s="549">
        <v>0</v>
      </c>
      <c r="P46" s="549">
        <v>0</v>
      </c>
      <c r="Q46" s="549">
        <v>-14280.690000000001</v>
      </c>
      <c r="R46" s="549">
        <v>0</v>
      </c>
      <c r="S46" s="192">
        <f t="shared" si="1"/>
        <v>207236</v>
      </c>
    </row>
    <row r="47" spans="1:19" ht="15">
      <c r="A47" s="218" t="s">
        <v>215</v>
      </c>
      <c r="B47" s="549">
        <v>24970.34</v>
      </c>
      <c r="C47" s="549">
        <v>0</v>
      </c>
      <c r="D47" s="549">
        <v>0</v>
      </c>
      <c r="E47" s="549">
        <v>0</v>
      </c>
      <c r="F47" s="549">
        <v>0</v>
      </c>
      <c r="G47" s="549">
        <v>0</v>
      </c>
      <c r="H47" s="195">
        <f t="shared" si="0"/>
        <v>24970</v>
      </c>
      <c r="I47" s="194"/>
      <c r="J47" s="550" t="s">
        <v>215</v>
      </c>
      <c r="K47" s="549">
        <v>24970.34</v>
      </c>
      <c r="L47" s="549">
        <v>0</v>
      </c>
      <c r="M47" s="549">
        <v>0</v>
      </c>
      <c r="N47" s="549">
        <v>0</v>
      </c>
      <c r="O47" s="549">
        <v>0</v>
      </c>
      <c r="P47" s="549">
        <v>0</v>
      </c>
      <c r="Q47" s="549">
        <v>0</v>
      </c>
      <c r="R47" s="549">
        <v>0</v>
      </c>
      <c r="S47" s="192">
        <f t="shared" si="1"/>
        <v>24970</v>
      </c>
    </row>
    <row r="48" spans="1:19" ht="15.75" thickBot="1">
      <c r="A48" s="191"/>
      <c r="B48" s="187">
        <f t="shared" si="2" ref="B48:H48">ROUND(SUM(B9:B47),0)</f>
        <v>391065893</v>
      </c>
      <c r="C48" s="187">
        <f t="shared" si="2"/>
        <v>39592203</v>
      </c>
      <c r="D48" s="187">
        <f>ROUND(SUM(D9:D47),0)</f>
        <v>-2314228</v>
      </c>
      <c r="E48" s="187">
        <f t="shared" si="2"/>
        <v>0</v>
      </c>
      <c r="F48" s="188">
        <f t="shared" si="2"/>
        <v>3181</v>
      </c>
      <c r="G48" s="187">
        <f t="shared" si="2"/>
        <v>-26976</v>
      </c>
      <c r="H48" s="187">
        <f t="shared" si="2"/>
        <v>428320073</v>
      </c>
      <c r="I48" s="190"/>
      <c r="J48" s="189"/>
      <c r="K48" s="188">
        <f t="shared" si="3" ref="K48:S48">ROUND(SUM(K9:K47),0)</f>
        <v>100863086</v>
      </c>
      <c r="L48" s="188">
        <f t="shared" si="3"/>
        <v>11825257</v>
      </c>
      <c r="M48" s="188">
        <f t="shared" si="3"/>
        <v>0</v>
      </c>
      <c r="N48" s="188">
        <f t="shared" si="3"/>
        <v>-2314228</v>
      </c>
      <c r="O48" s="188">
        <f t="shared" si="3"/>
        <v>198087</v>
      </c>
      <c r="P48" s="188">
        <f t="shared" si="3"/>
        <v>-1418674</v>
      </c>
      <c r="Q48" s="188">
        <f t="shared" si="3"/>
        <v>-80796</v>
      </c>
      <c r="R48" s="187">
        <f t="shared" si="3"/>
        <v>-25995</v>
      </c>
      <c r="S48" s="186">
        <f t="shared" si="3"/>
        <v>109046740</v>
      </c>
    </row>
    <row r="49" ht="15.75" thickTop="1"/>
  </sheetData>
  <mergeCells count="6">
    <mergeCell ref="A6:H6"/>
    <mergeCell ref="J6:S6"/>
    <mergeCell ref="A1:S1"/>
    <mergeCell ref="A2:S2"/>
    <mergeCell ref="A3:S3"/>
    <mergeCell ref="A4:S4"/>
  </mergeCells>
  <printOptions horizontalCentered="1"/>
  <pageMargins left="0.5" right="0.5" top="1.02" bottom="0.5" header="0.5" footer="0.2"/>
  <pageSetup orientation="landscape" scale="60"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159"/>
  <sheetViews>
    <sheetView workbookViewId="0" topLeftCell="A38">
      <selection pane="topLeft" activeCell="A38" sqref="A1:XFD1048576"/>
    </sheetView>
  </sheetViews>
  <sheetFormatPr defaultRowHeight="15"/>
  <cols>
    <col min="1" max="1" width="10.8571428571429" bestFit="1" customWidth="1"/>
    <col min="2" max="2" width="13.4285714285714" bestFit="1" customWidth="1"/>
    <col min="3" max="3" width="16" bestFit="1" customWidth="1"/>
    <col min="4" max="4" width="8.42857142857143" bestFit="1" customWidth="1"/>
    <col min="5" max="5" width="9.28571428571429" customWidth="1"/>
    <col min="6" max="6" width="11.1428571428571" bestFit="1" customWidth="1"/>
    <col min="7" max="7" width="13.2857142857143" bestFit="1" customWidth="1"/>
    <col min="8" max="8" width="16" bestFit="1" customWidth="1"/>
    <col min="9" max="9" width="41.1428571428571" bestFit="1" customWidth="1"/>
  </cols>
  <sheetData>
    <row r="1" spans="1:14" s="649" customFormat="1" ht="18.75">
      <c r="A1" s="924" t="s">
        <v>56</v>
      </c>
      <c r="B1" s="924"/>
      <c r="C1" s="924"/>
      <c r="D1" s="924"/>
      <c r="E1" s="924"/>
      <c r="F1" s="924"/>
      <c r="G1" s="924"/>
      <c r="H1" s="924"/>
      <c r="I1" s="924"/>
      <c r="J1" s="648"/>
      <c r="K1" s="648"/>
      <c r="L1" s="648"/>
      <c r="M1" s="648"/>
      <c r="N1" s="648"/>
    </row>
    <row r="2" spans="1:11" s="651" customFormat="1" ht="15">
      <c r="A2" s="929" t="str">
        <f>Input!B3</f>
        <v>FPUC, FPUC - Common, FPUC - Indiantown, Florida Division of Chesapeake Utilities Corporation, FPUC - Ft Meade</v>
      </c>
      <c r="B2" s="929"/>
      <c r="C2" s="929"/>
      <c r="D2" s="929"/>
      <c r="E2" s="929"/>
      <c r="F2" s="929"/>
      <c r="G2" s="929"/>
      <c r="H2" s="929"/>
      <c r="I2" s="929"/>
      <c r="J2" s="650"/>
      <c r="K2" s="650"/>
    </row>
    <row r="3" spans="1:11" s="653" customFormat="1" ht="15.75">
      <c r="A3" s="930" t="s">
        <v>216</v>
      </c>
      <c r="B3" s="930"/>
      <c r="C3" s="930"/>
      <c r="D3" s="930"/>
      <c r="E3" s="930"/>
      <c r="F3" s="930"/>
      <c r="G3" s="930"/>
      <c r="H3" s="930"/>
      <c r="I3" s="930"/>
      <c r="J3" s="652"/>
      <c r="K3" s="652"/>
    </row>
    <row r="4" spans="1:11" s="653" customFormat="1" ht="15.75">
      <c r="A4" s="931" t="s">
        <v>231</v>
      </c>
      <c r="B4" s="931"/>
      <c r="C4" s="931"/>
      <c r="D4" s="931"/>
      <c r="E4" s="931"/>
      <c r="F4" s="931"/>
      <c r="G4" s="931"/>
      <c r="H4" s="931"/>
      <c r="I4" s="931"/>
      <c r="J4" s="654"/>
      <c r="K4" s="654"/>
    </row>
    <row r="5" spans="1:11" ht="15.75" thickBot="1">
      <c r="A5" s="335"/>
      <c r="B5" s="335"/>
      <c r="C5" s="335"/>
      <c r="D5" s="335"/>
      <c r="E5" s="335"/>
      <c r="F5" s="335"/>
      <c r="G5" s="335"/>
      <c r="H5" s="335"/>
      <c r="I5" s="335"/>
      <c r="J5" s="335"/>
      <c r="K5" s="335"/>
    </row>
    <row r="6" spans="1:11" s="353" customFormat="1" ht="27" thickBot="1">
      <c r="A6" s="346" t="s">
        <v>232</v>
      </c>
      <c r="B6" s="347" t="s">
        <v>232</v>
      </c>
      <c r="C6" s="347" t="s">
        <v>233</v>
      </c>
      <c r="D6" s="347" t="s">
        <v>234</v>
      </c>
      <c r="E6" s="347" t="s">
        <v>235</v>
      </c>
      <c r="F6" s="347" t="s">
        <v>236</v>
      </c>
      <c r="G6" s="347" t="s">
        <v>237</v>
      </c>
      <c r="H6" s="347" t="s">
        <v>238</v>
      </c>
      <c r="I6" s="348" t="s">
        <v>239</v>
      </c>
      <c r="J6" s="342"/>
      <c r="K6" s="342"/>
    </row>
    <row r="7" spans="1:16" s="355" customFormat="1" ht="20.45" customHeight="1">
      <c r="A7" s="444" t="s">
        <v>659</v>
      </c>
      <c r="B7" s="445" t="s">
        <v>240</v>
      </c>
      <c r="C7" s="445" t="s">
        <v>241</v>
      </c>
      <c r="D7" s="445">
        <v>3030</v>
      </c>
      <c r="E7" s="445" t="s">
        <v>242</v>
      </c>
      <c r="F7" s="446">
        <f>'Sch. G 2018'!B11</f>
        <v>213641.38</v>
      </c>
      <c r="G7" s="446">
        <v>480199.95000000007</v>
      </c>
      <c r="H7" s="439">
        <f t="shared" si="0" ref="H7:H38">F7-G7</f>
        <v>-266558.57000000007</v>
      </c>
      <c r="I7" s="932" t="s">
        <v>617</v>
      </c>
      <c r="J7" s="354"/>
      <c r="K7" s="354"/>
      <c r="L7" s="354"/>
      <c r="M7" s="354"/>
      <c r="N7" s="354"/>
      <c r="O7" s="354"/>
      <c r="P7" s="354"/>
    </row>
    <row r="8" spans="1:11" s="355" customFormat="1" ht="20.45" customHeight="1">
      <c r="A8" s="447" t="s">
        <v>659</v>
      </c>
      <c r="B8" s="437" t="s">
        <v>240</v>
      </c>
      <c r="C8" s="437" t="s">
        <v>241</v>
      </c>
      <c r="D8" s="437">
        <v>3914</v>
      </c>
      <c r="E8" s="437" t="s">
        <v>264</v>
      </c>
      <c r="F8" s="439">
        <f>'Sch. G 2018'!B36</f>
        <v>7446993.9800000004</v>
      </c>
      <c r="G8" s="438">
        <v>7180435.4100000001</v>
      </c>
      <c r="H8" s="439">
        <f t="shared" si="0"/>
        <v>266558.5700000003</v>
      </c>
      <c r="I8" s="928"/>
      <c r="J8" s="356"/>
      <c r="K8" s="356"/>
    </row>
    <row r="9" spans="1:16" s="355" customFormat="1" ht="20.45" customHeight="1">
      <c r="A9" s="447" t="s">
        <v>659</v>
      </c>
      <c r="B9" s="437" t="s">
        <v>240</v>
      </c>
      <c r="C9" s="437" t="s">
        <v>224</v>
      </c>
      <c r="D9" s="437">
        <v>3030</v>
      </c>
      <c r="E9" s="437" t="s">
        <v>243</v>
      </c>
      <c r="F9" s="438">
        <f>'Sch. G 2018'!C11</f>
        <v>0</v>
      </c>
      <c r="G9" s="438">
        <v>167859.20999999999</v>
      </c>
      <c r="H9" s="439">
        <f t="shared" si="0"/>
        <v>-167859.20999999999</v>
      </c>
      <c r="I9" s="928"/>
      <c r="J9" s="354"/>
      <c r="K9" s="354"/>
      <c r="L9" s="354"/>
      <c r="M9" s="354"/>
      <c r="N9" s="354"/>
      <c r="O9" s="354"/>
      <c r="P9" s="354"/>
    </row>
    <row r="10" spans="1:11" s="355" customFormat="1" ht="20.45" customHeight="1">
      <c r="A10" s="447" t="s">
        <v>659</v>
      </c>
      <c r="B10" s="437" t="s">
        <v>240</v>
      </c>
      <c r="C10" s="437" t="s">
        <v>224</v>
      </c>
      <c r="D10" s="437">
        <v>3914</v>
      </c>
      <c r="E10" s="437" t="s">
        <v>265</v>
      </c>
      <c r="F10" s="439">
        <f>'Sch. G 2018'!C36</f>
        <v>372160.88</v>
      </c>
      <c r="G10" s="438">
        <v>204301.67000000001</v>
      </c>
      <c r="H10" s="439">
        <f t="shared" si="0"/>
        <v>167859.20999999999</v>
      </c>
      <c r="I10" s="928"/>
      <c r="J10" s="356"/>
      <c r="K10" s="356"/>
    </row>
    <row r="11" spans="1:16" s="355" customFormat="1" ht="20.45" customHeight="1">
      <c r="A11" s="447" t="s">
        <v>659</v>
      </c>
      <c r="B11" s="437" t="s">
        <v>253</v>
      </c>
      <c r="C11" s="437" t="s">
        <v>241</v>
      </c>
      <c r="D11" s="437">
        <v>3030</v>
      </c>
      <c r="E11" s="437" t="s">
        <v>244</v>
      </c>
      <c r="F11" s="438">
        <f>'Sch. G 2018'!K11</f>
        <v>127641.78</v>
      </c>
      <c r="G11" s="438">
        <v>133421.78</v>
      </c>
      <c r="H11" s="439">
        <f t="shared" si="0"/>
        <v>-5780</v>
      </c>
      <c r="I11" s="928"/>
      <c r="J11" s="354"/>
      <c r="K11" s="354"/>
      <c r="L11" s="354"/>
      <c r="M11" s="354"/>
      <c r="N11" s="354"/>
      <c r="O11" s="354"/>
      <c r="P11" s="354"/>
    </row>
    <row r="12" spans="1:11" s="355" customFormat="1" ht="20.45" customHeight="1">
      <c r="A12" s="447" t="s">
        <v>659</v>
      </c>
      <c r="B12" s="437" t="s">
        <v>253</v>
      </c>
      <c r="C12" s="437" t="s">
        <v>241</v>
      </c>
      <c r="D12" s="437">
        <v>3914</v>
      </c>
      <c r="E12" s="437" t="s">
        <v>266</v>
      </c>
      <c r="F12" s="439">
        <f>'Sch. G 2018'!K36</f>
        <v>2570863.1799999997</v>
      </c>
      <c r="G12" s="438">
        <v>2565083.4500000002</v>
      </c>
      <c r="H12" s="439">
        <f t="shared" si="0"/>
        <v>5779.7299999995157</v>
      </c>
      <c r="I12" s="928"/>
      <c r="J12" s="356"/>
      <c r="K12" s="356"/>
    </row>
    <row r="13" spans="1:16" s="355" customFormat="1" ht="20.45" customHeight="1">
      <c r="A13" s="447" t="s">
        <v>659</v>
      </c>
      <c r="B13" s="437" t="s">
        <v>253</v>
      </c>
      <c r="C13" s="437" t="s">
        <v>228</v>
      </c>
      <c r="D13" s="437">
        <v>3030</v>
      </c>
      <c r="E13" s="437" t="s">
        <v>245</v>
      </c>
      <c r="F13" s="438">
        <f>'Sch. G 2018'!L11</f>
        <v>0</v>
      </c>
      <c r="G13" s="438">
        <v>15758</v>
      </c>
      <c r="H13" s="439">
        <f t="shared" si="0"/>
        <v>-15758</v>
      </c>
      <c r="I13" s="928"/>
      <c r="J13" s="354"/>
      <c r="K13" s="354"/>
      <c r="L13" s="354"/>
      <c r="M13" s="354"/>
      <c r="N13" s="354"/>
      <c r="O13" s="354"/>
      <c r="P13" s="354"/>
    </row>
    <row r="14" spans="1:11" s="355" customFormat="1" ht="20.45" customHeight="1">
      <c r="A14" s="447" t="s">
        <v>659</v>
      </c>
      <c r="B14" s="437" t="s">
        <v>253</v>
      </c>
      <c r="C14" s="437" t="s">
        <v>228</v>
      </c>
      <c r="D14" s="437">
        <v>3914</v>
      </c>
      <c r="E14" s="437" t="s">
        <v>267</v>
      </c>
      <c r="F14" s="439">
        <f>'Sch. G 2018'!L36</f>
        <v>326107</v>
      </c>
      <c r="G14" s="438">
        <v>310349</v>
      </c>
      <c r="H14" s="439">
        <f t="shared" si="0"/>
        <v>15758</v>
      </c>
      <c r="I14" s="928"/>
      <c r="J14" s="356"/>
      <c r="K14" s="356"/>
    </row>
    <row r="15" spans="1:10" s="355" customFormat="1" ht="23.45" customHeight="1">
      <c r="A15" s="447" t="s">
        <v>659</v>
      </c>
      <c r="B15" s="437" t="s">
        <v>240</v>
      </c>
      <c r="C15" s="437" t="s">
        <v>224</v>
      </c>
      <c r="D15" s="437">
        <v>3761</v>
      </c>
      <c r="E15" s="437" t="s">
        <v>246</v>
      </c>
      <c r="F15" s="439">
        <f>'Sch. G 2018'!C15</f>
        <v>7091351.8100000005</v>
      </c>
      <c r="G15" s="438">
        <v>7086041.5600000005</v>
      </c>
      <c r="H15" s="439">
        <f t="shared" si="0"/>
        <v>5310.25</v>
      </c>
      <c r="I15" s="928" t="s">
        <v>616</v>
      </c>
      <c r="J15" s="345"/>
    </row>
    <row r="16" spans="1:10" s="355" customFormat="1" ht="23.45" customHeight="1">
      <c r="A16" s="447" t="s">
        <v>659</v>
      </c>
      <c r="B16" s="437" t="s">
        <v>240</v>
      </c>
      <c r="C16" s="437" t="s">
        <v>226</v>
      </c>
      <c r="D16" s="437">
        <v>3761</v>
      </c>
      <c r="E16" s="437" t="s">
        <v>247</v>
      </c>
      <c r="F16" s="439">
        <f>'Sch. G 2018'!F15</f>
        <v>-399439.73999999999</v>
      </c>
      <c r="G16" s="438">
        <v>-394129.48999999999</v>
      </c>
      <c r="H16" s="439">
        <f t="shared" si="0"/>
        <v>-5310.25</v>
      </c>
      <c r="I16" s="928"/>
      <c r="J16" s="345"/>
    </row>
    <row r="17" spans="1:16" s="355" customFormat="1" ht="20.1" customHeight="1">
      <c r="A17" s="447" t="s">
        <v>659</v>
      </c>
      <c r="B17" s="437" t="s">
        <v>253</v>
      </c>
      <c r="C17" s="437" t="s">
        <v>248</v>
      </c>
      <c r="D17" s="440">
        <v>3801</v>
      </c>
      <c r="E17" s="440" t="s">
        <v>249</v>
      </c>
      <c r="F17" s="438">
        <f>'Sch. G 2018'!P20</f>
        <v>-324877.83000000002</v>
      </c>
      <c r="G17" s="438">
        <v>-325577.83000000002</v>
      </c>
      <c r="H17" s="439">
        <f t="shared" si="0"/>
        <v>700</v>
      </c>
      <c r="I17" s="925" t="s">
        <v>665</v>
      </c>
      <c r="J17" s="354"/>
      <c r="K17" s="354"/>
      <c r="L17" s="354"/>
      <c r="M17" s="354"/>
      <c r="N17" s="354"/>
      <c r="O17" s="354"/>
      <c r="P17" s="354"/>
    </row>
    <row r="18" spans="1:9" s="355" customFormat="1" ht="20.1" customHeight="1">
      <c r="A18" s="447" t="s">
        <v>659</v>
      </c>
      <c r="B18" s="437" t="s">
        <v>253</v>
      </c>
      <c r="C18" s="440" t="s">
        <v>226</v>
      </c>
      <c r="D18" s="437">
        <v>3801</v>
      </c>
      <c r="E18" s="437" t="s">
        <v>250</v>
      </c>
      <c r="F18" s="438">
        <f>'Sch. G 2018'!Q20</f>
        <v>31566.790000000001</v>
      </c>
      <c r="G18" s="438">
        <v>32266.790000000001</v>
      </c>
      <c r="H18" s="439">
        <f t="shared" si="0"/>
        <v>-700</v>
      </c>
      <c r="I18" s="926"/>
    </row>
    <row r="19" spans="1:9" s="355" customFormat="1" ht="20.1" customHeight="1">
      <c r="A19" s="447" t="s">
        <v>659</v>
      </c>
      <c r="B19" s="437" t="s">
        <v>240</v>
      </c>
      <c r="C19" s="440" t="s">
        <v>224</v>
      </c>
      <c r="D19" s="437">
        <v>3802</v>
      </c>
      <c r="E19" s="437" t="s">
        <v>251</v>
      </c>
      <c r="F19" s="438">
        <f>'Sch. G 2018'!C21</f>
        <v>0</v>
      </c>
      <c r="G19" s="438">
        <v>8491.5900000000001</v>
      </c>
      <c r="H19" s="439">
        <f t="shared" si="0"/>
        <v>-8491.5900000000001</v>
      </c>
      <c r="I19" s="926"/>
    </row>
    <row r="20" spans="1:9" s="355" customFormat="1" ht="20.1" customHeight="1">
      <c r="A20" s="447" t="s">
        <v>659</v>
      </c>
      <c r="B20" s="437" t="s">
        <v>240</v>
      </c>
      <c r="C20" s="440" t="s">
        <v>226</v>
      </c>
      <c r="D20" s="437">
        <v>3802</v>
      </c>
      <c r="E20" s="437" t="s">
        <v>252</v>
      </c>
      <c r="F20" s="438">
        <f>'Sch. G 2018'!F21</f>
        <v>201853.41</v>
      </c>
      <c r="G20" s="438">
        <v>193361.82000000001</v>
      </c>
      <c r="H20" s="439">
        <f t="shared" si="0"/>
        <v>8491.5899999999965</v>
      </c>
      <c r="I20" s="926"/>
    </row>
    <row r="21" spans="1:9" s="355" customFormat="1" ht="20.1" customHeight="1">
      <c r="A21" s="447" t="s">
        <v>659</v>
      </c>
      <c r="B21" s="437" t="s">
        <v>253</v>
      </c>
      <c r="C21" s="437" t="s">
        <v>228</v>
      </c>
      <c r="D21" s="440">
        <v>3980</v>
      </c>
      <c r="E21" s="437" t="s">
        <v>270</v>
      </c>
      <c r="F21" s="439">
        <f>'Sch. G 2018'!L46</f>
        <v>15720</v>
      </c>
      <c r="G21" s="438">
        <v>14720.35</v>
      </c>
      <c r="H21" s="439">
        <f t="shared" si="0"/>
        <v>999.64999999999964</v>
      </c>
      <c r="I21" s="926"/>
    </row>
    <row r="22" spans="1:9" s="355" customFormat="1" ht="20.1" customHeight="1">
      <c r="A22" s="447" t="s">
        <v>659</v>
      </c>
      <c r="B22" s="437" t="s">
        <v>253</v>
      </c>
      <c r="C22" s="437" t="s">
        <v>226</v>
      </c>
      <c r="D22" s="440">
        <v>3980</v>
      </c>
      <c r="E22" s="437" t="s">
        <v>271</v>
      </c>
      <c r="F22" s="439">
        <f>'Sch. G 2018'!Q46</f>
        <v>-14280.690000000001</v>
      </c>
      <c r="G22" s="438">
        <v>-13281.040000000001</v>
      </c>
      <c r="H22" s="439">
        <f t="shared" si="0"/>
        <v>-999.64999999999964</v>
      </c>
      <c r="I22" s="927"/>
    </row>
    <row r="23" spans="1:9" s="355" customFormat="1" ht="20.1" customHeight="1">
      <c r="A23" s="447" t="s">
        <v>659</v>
      </c>
      <c r="B23" s="437" t="s">
        <v>253</v>
      </c>
      <c r="C23" s="437" t="s">
        <v>248</v>
      </c>
      <c r="D23" s="441" t="s">
        <v>95</v>
      </c>
      <c r="E23" s="437" t="s">
        <v>254</v>
      </c>
      <c r="F23" s="439">
        <f>'Sch. G 2018'!P22</f>
        <v>-159167.78000000003</v>
      </c>
      <c r="G23" s="438">
        <v>-175414.23000000001</v>
      </c>
      <c r="H23" s="439">
        <f t="shared" si="0"/>
        <v>16246.449999999983</v>
      </c>
      <c r="I23" s="928" t="s">
        <v>615</v>
      </c>
    </row>
    <row r="24" spans="1:9" s="355" customFormat="1" ht="20.1" customHeight="1">
      <c r="A24" s="447" t="s">
        <v>659</v>
      </c>
      <c r="B24" s="437" t="s">
        <v>253</v>
      </c>
      <c r="C24" s="437" t="s">
        <v>226</v>
      </c>
      <c r="D24" s="441" t="s">
        <v>95</v>
      </c>
      <c r="E24" s="437" t="s">
        <v>255</v>
      </c>
      <c r="F24" s="439">
        <f>'Sch. G 2018'!Q22</f>
        <v>0</v>
      </c>
      <c r="G24" s="438">
        <v>16246.450000000001</v>
      </c>
      <c r="H24" s="439">
        <f t="shared" si="0"/>
        <v>-16246.450000000001</v>
      </c>
      <c r="I24" s="928"/>
    </row>
    <row r="25" spans="1:9" s="355" customFormat="1" ht="20.1" customHeight="1">
      <c r="A25" s="447" t="s">
        <v>659</v>
      </c>
      <c r="B25" s="437" t="s">
        <v>253</v>
      </c>
      <c r="C25" s="437" t="s">
        <v>248</v>
      </c>
      <c r="D25" s="441">
        <v>3820</v>
      </c>
      <c r="E25" s="437" t="s">
        <v>262</v>
      </c>
      <c r="F25" s="439">
        <f>'Sch. G 2018'!P25</f>
        <v>-61426.599999999999</v>
      </c>
      <c r="G25" s="438">
        <v>-61782.599999999999</v>
      </c>
      <c r="H25" s="439">
        <f t="shared" si="0"/>
        <v>356</v>
      </c>
      <c r="I25" s="928"/>
    </row>
    <row r="26" spans="1:9" s="355" customFormat="1" ht="20.1" customHeight="1">
      <c r="A26" s="447" t="s">
        <v>659</v>
      </c>
      <c r="B26" s="437" t="s">
        <v>253</v>
      </c>
      <c r="C26" s="437" t="s">
        <v>226</v>
      </c>
      <c r="D26" s="441">
        <v>3820</v>
      </c>
      <c r="E26" s="437" t="s">
        <v>263</v>
      </c>
      <c r="F26" s="439">
        <f>'Sch. G 2018'!Q25</f>
        <v>-19331.98</v>
      </c>
      <c r="G26" s="438">
        <v>-18975.98</v>
      </c>
      <c r="H26" s="439">
        <f t="shared" si="0"/>
        <v>-356</v>
      </c>
      <c r="I26" s="928"/>
    </row>
    <row r="27" spans="1:9" s="355" customFormat="1" ht="20.1" customHeight="1">
      <c r="A27" s="447" t="s">
        <v>659</v>
      </c>
      <c r="B27" s="437" t="s">
        <v>240</v>
      </c>
      <c r="C27" s="437" t="s">
        <v>241</v>
      </c>
      <c r="D27" s="437">
        <v>3811</v>
      </c>
      <c r="E27" s="437" t="s">
        <v>256</v>
      </c>
      <c r="F27" s="438">
        <f>'Sch. G 2018'!B24</f>
        <v>2236535.5</v>
      </c>
      <c r="G27" s="438">
        <v>2216410.7599999998</v>
      </c>
      <c r="H27" s="439">
        <f t="shared" si="0"/>
        <v>20124.740000000224</v>
      </c>
      <c r="I27" s="925" t="s">
        <v>618</v>
      </c>
    </row>
    <row r="28" spans="1:9" s="355" customFormat="1" ht="20.1" customHeight="1">
      <c r="A28" s="447" t="s">
        <v>659</v>
      </c>
      <c r="B28" s="437" t="s">
        <v>240</v>
      </c>
      <c r="C28" s="437" t="s">
        <v>241</v>
      </c>
      <c r="D28" s="437">
        <v>3970</v>
      </c>
      <c r="E28" s="437" t="s">
        <v>257</v>
      </c>
      <c r="F28" s="438">
        <f>'Sch. G 2018'!B45</f>
        <v>1953177.3600000001</v>
      </c>
      <c r="G28" s="438">
        <v>1973302.1000000001</v>
      </c>
      <c r="H28" s="439">
        <f t="shared" si="0"/>
        <v>-20124.739999999991</v>
      </c>
      <c r="I28" s="926"/>
    </row>
    <row r="29" spans="1:9" s="355" customFormat="1" ht="20.1" customHeight="1">
      <c r="A29" s="447" t="s">
        <v>659</v>
      </c>
      <c r="B29" s="437" t="s">
        <v>253</v>
      </c>
      <c r="C29" s="437" t="s">
        <v>241</v>
      </c>
      <c r="D29" s="437">
        <v>3811</v>
      </c>
      <c r="E29" s="437" t="s">
        <v>258</v>
      </c>
      <c r="F29" s="438">
        <f>'Sch. G 2018'!K24</f>
        <v>962678.80000000005</v>
      </c>
      <c r="G29" s="438">
        <v>961838.80000000005</v>
      </c>
      <c r="H29" s="439">
        <f t="shared" si="0"/>
        <v>840</v>
      </c>
      <c r="I29" s="926"/>
    </row>
    <row r="30" spans="1:9" s="355" customFormat="1" ht="20.1" customHeight="1">
      <c r="A30" s="447" t="s">
        <v>659</v>
      </c>
      <c r="B30" s="437" t="s">
        <v>253</v>
      </c>
      <c r="C30" s="437" t="s">
        <v>241</v>
      </c>
      <c r="D30" s="437">
        <v>3970</v>
      </c>
      <c r="E30" s="437" t="s">
        <v>259</v>
      </c>
      <c r="F30" s="438">
        <f>'Sch. G 2018'!K45</f>
        <v>1078267.6699999999</v>
      </c>
      <c r="G30" s="438">
        <v>1079107.6699999999</v>
      </c>
      <c r="H30" s="439">
        <f t="shared" si="0"/>
        <v>-840</v>
      </c>
      <c r="I30" s="926"/>
    </row>
    <row r="31" spans="1:9" s="355" customFormat="1" ht="20.1" customHeight="1">
      <c r="A31" s="447" t="s">
        <v>659</v>
      </c>
      <c r="B31" s="437" t="s">
        <v>253</v>
      </c>
      <c r="C31" s="437" t="s">
        <v>228</v>
      </c>
      <c r="D31" s="437">
        <v>3811</v>
      </c>
      <c r="E31" s="437" t="s">
        <v>260</v>
      </c>
      <c r="F31" s="438">
        <f>'Sch. G 2018'!L24</f>
        <v>100752</v>
      </c>
      <c r="G31" s="438">
        <v>99744</v>
      </c>
      <c r="H31" s="439">
        <f t="shared" si="0"/>
        <v>1008</v>
      </c>
      <c r="I31" s="926"/>
    </row>
    <row r="32" spans="1:9" s="355" customFormat="1" ht="20.1" customHeight="1">
      <c r="A32" s="447" t="s">
        <v>659</v>
      </c>
      <c r="B32" s="437" t="s">
        <v>253</v>
      </c>
      <c r="C32" s="437" t="s">
        <v>228</v>
      </c>
      <c r="D32" s="437">
        <v>3970</v>
      </c>
      <c r="E32" s="437" t="s">
        <v>261</v>
      </c>
      <c r="F32" s="438">
        <f>'Sch. G 2018'!L45</f>
        <v>146644</v>
      </c>
      <c r="G32" s="438">
        <v>147652</v>
      </c>
      <c r="H32" s="439">
        <f t="shared" si="0"/>
        <v>-1008</v>
      </c>
      <c r="I32" s="926"/>
    </row>
    <row r="33" spans="1:10" s="355" customFormat="1" ht="20.1" customHeight="1">
      <c r="A33" s="447" t="s">
        <v>659</v>
      </c>
      <c r="B33" s="437" t="s">
        <v>253</v>
      </c>
      <c r="C33" s="437" t="s">
        <v>241</v>
      </c>
      <c r="D33" s="437">
        <v>3923</v>
      </c>
      <c r="E33" s="442" t="s">
        <v>286</v>
      </c>
      <c r="F33" s="443">
        <f>'Sch. G 2018'!K39</f>
        <v>5058.1400000000003</v>
      </c>
      <c r="G33" s="438">
        <v>4645.3100000000004</v>
      </c>
      <c r="H33" s="439">
        <f t="shared" si="0"/>
        <v>412.82999999999993</v>
      </c>
      <c r="I33" s="926"/>
      <c r="J33" s="345"/>
    </row>
    <row r="34" spans="1:10" s="355" customFormat="1" ht="20.1" customHeight="1">
      <c r="A34" s="447" t="s">
        <v>659</v>
      </c>
      <c r="B34" s="437" t="s">
        <v>253</v>
      </c>
      <c r="C34" s="437" t="s">
        <v>241</v>
      </c>
      <c r="D34" s="437">
        <v>3924</v>
      </c>
      <c r="E34" s="442" t="s">
        <v>291</v>
      </c>
      <c r="F34" s="443">
        <f>'Sch. G 2018'!K40</f>
        <v>61529.910000000003</v>
      </c>
      <c r="G34" s="438">
        <v>61942.739999999998</v>
      </c>
      <c r="H34" s="439">
        <f t="shared" si="0"/>
        <v>-412.82999999999447</v>
      </c>
      <c r="I34" s="926"/>
      <c r="J34" s="345"/>
    </row>
    <row r="35" spans="1:10" s="355" customFormat="1" ht="20.1" customHeight="1">
      <c r="A35" s="447" t="s">
        <v>659</v>
      </c>
      <c r="B35" s="437" t="s">
        <v>240</v>
      </c>
      <c r="C35" s="437" t="s">
        <v>241</v>
      </c>
      <c r="D35" s="437">
        <v>3950</v>
      </c>
      <c r="E35" s="437" t="s">
        <v>268</v>
      </c>
      <c r="F35" s="439">
        <f>'Sch. G 2018'!B43</f>
        <v>0</v>
      </c>
      <c r="G35" s="438">
        <v>95136.759999999995</v>
      </c>
      <c r="H35" s="439">
        <f t="shared" si="0"/>
        <v>-95136.759999999995</v>
      </c>
      <c r="I35" s="926"/>
      <c r="J35" s="345"/>
    </row>
    <row r="36" spans="1:10" s="355" customFormat="1" ht="20.1" customHeight="1">
      <c r="A36" s="447" t="s">
        <v>659</v>
      </c>
      <c r="B36" s="437" t="s">
        <v>240</v>
      </c>
      <c r="C36" s="437" t="s">
        <v>241</v>
      </c>
      <c r="D36" s="437">
        <v>3960</v>
      </c>
      <c r="E36" s="437" t="s">
        <v>269</v>
      </c>
      <c r="F36" s="439">
        <f>'Sch. G 2018'!B44</f>
        <v>1525131.2000000002</v>
      </c>
      <c r="G36" s="438">
        <v>1429994.4399999999</v>
      </c>
      <c r="H36" s="439">
        <f t="shared" si="0"/>
        <v>95136.760000000242</v>
      </c>
      <c r="I36" s="927"/>
      <c r="J36" s="345"/>
    </row>
    <row r="37" spans="1:9" s="355" customFormat="1" ht="20.1" customHeight="1">
      <c r="A37" s="447" t="s">
        <v>659</v>
      </c>
      <c r="B37" s="437" t="s">
        <v>240</v>
      </c>
      <c r="C37" s="437" t="s">
        <v>194</v>
      </c>
      <c r="D37" s="437">
        <v>3921</v>
      </c>
      <c r="E37" s="437" t="s">
        <v>272</v>
      </c>
      <c r="F37" s="439">
        <f>'Sch. G 2018'!D37</f>
        <v>-45858.610000000001</v>
      </c>
      <c r="G37" s="438">
        <v>-19052.68</v>
      </c>
      <c r="H37" s="439">
        <f t="shared" si="0"/>
        <v>-26805.93</v>
      </c>
      <c r="I37" s="925" t="s">
        <v>619</v>
      </c>
    </row>
    <row r="38" spans="1:9" s="355" customFormat="1" ht="20.1" customHeight="1">
      <c r="A38" s="447" t="s">
        <v>659</v>
      </c>
      <c r="B38" s="437" t="s">
        <v>240</v>
      </c>
      <c r="C38" s="437" t="s">
        <v>596</v>
      </c>
      <c r="D38" s="437">
        <v>3921</v>
      </c>
      <c r="E38" s="437" t="s">
        <v>273</v>
      </c>
      <c r="F38" s="439">
        <f>'Sch. G 2018'!E37</f>
        <v>19904.34</v>
      </c>
      <c r="G38" s="438">
        <v>-6901.5900000000001</v>
      </c>
      <c r="H38" s="439">
        <f t="shared" si="0"/>
        <v>26805.93</v>
      </c>
      <c r="I38" s="926"/>
    </row>
    <row r="39" spans="1:10" s="355" customFormat="1" ht="20.1" customHeight="1">
      <c r="A39" s="447" t="s">
        <v>659</v>
      </c>
      <c r="B39" s="437" t="s">
        <v>253</v>
      </c>
      <c r="C39" s="437" t="s">
        <v>596</v>
      </c>
      <c r="D39" s="437">
        <v>3921</v>
      </c>
      <c r="E39" s="437" t="s">
        <v>274</v>
      </c>
      <c r="F39" s="439">
        <f>'Sch. G 2018'!M37</f>
        <v>26805.93</v>
      </c>
      <c r="G39" s="438">
        <v>0</v>
      </c>
      <c r="H39" s="439">
        <f t="shared" si="1" ref="H39:H56">F39-G39</f>
        <v>26805.93</v>
      </c>
      <c r="I39" s="926"/>
      <c r="J39" s="345"/>
    </row>
    <row r="40" spans="1:10" s="355" customFormat="1" ht="20.1" customHeight="1">
      <c r="A40" s="447" t="s">
        <v>659</v>
      </c>
      <c r="B40" s="437" t="s">
        <v>253</v>
      </c>
      <c r="C40" s="437" t="s">
        <v>194</v>
      </c>
      <c r="D40" s="437">
        <v>3921</v>
      </c>
      <c r="E40" s="437" t="s">
        <v>275</v>
      </c>
      <c r="F40" s="439">
        <f>'Sch. G 2018'!N37</f>
        <v>-45858.610000000001</v>
      </c>
      <c r="G40" s="438">
        <v>-19052.68</v>
      </c>
      <c r="H40" s="439">
        <f t="shared" si="1"/>
        <v>-26805.93</v>
      </c>
      <c r="I40" s="926"/>
      <c r="J40" s="345"/>
    </row>
    <row r="41" spans="1:9" s="355" customFormat="1" ht="20.1" customHeight="1">
      <c r="A41" s="447" t="s">
        <v>659</v>
      </c>
      <c r="B41" s="437" t="s">
        <v>240</v>
      </c>
      <c r="C41" s="437" t="s">
        <v>194</v>
      </c>
      <c r="D41" s="437">
        <v>3922</v>
      </c>
      <c r="E41" s="437" t="s">
        <v>279</v>
      </c>
      <c r="F41" s="438">
        <f>'Sch. G 2018'!D38</f>
        <v>-1222787.55</v>
      </c>
      <c r="G41" s="438">
        <v>-1249593.48</v>
      </c>
      <c r="H41" s="439">
        <f t="shared" si="1"/>
        <v>26805.929999999935</v>
      </c>
      <c r="I41" s="926"/>
    </row>
    <row r="42" spans="1:10" s="355" customFormat="1" ht="20.1" customHeight="1">
      <c r="A42" s="447" t="s">
        <v>659</v>
      </c>
      <c r="B42" s="437" t="s">
        <v>253</v>
      </c>
      <c r="C42" s="437" t="s">
        <v>194</v>
      </c>
      <c r="D42" s="437">
        <v>3922</v>
      </c>
      <c r="E42" s="437" t="s">
        <v>283</v>
      </c>
      <c r="F42" s="438">
        <f>'Sch. G 2018'!N38</f>
        <v>-1222787.55</v>
      </c>
      <c r="G42" s="438">
        <v>-1249593.48</v>
      </c>
      <c r="H42" s="439">
        <f t="shared" si="1"/>
        <v>26805.929999999935</v>
      </c>
      <c r="I42" s="927"/>
      <c r="J42" s="345"/>
    </row>
    <row r="43" spans="1:10" s="355" customFormat="1" ht="37.5" customHeight="1">
      <c r="A43" s="447" t="s">
        <v>659</v>
      </c>
      <c r="B43" s="437" t="s">
        <v>240</v>
      </c>
      <c r="C43" s="437" t="s">
        <v>596</v>
      </c>
      <c r="D43" s="437">
        <v>3922</v>
      </c>
      <c r="E43" s="437" t="s">
        <v>280</v>
      </c>
      <c r="F43" s="438">
        <f>'Sch. G 2018'!E38</f>
        <v>-23968.040000000001</v>
      </c>
      <c r="G43" s="438">
        <v>0</v>
      </c>
      <c r="H43" s="439">
        <f t="shared" si="1"/>
        <v>-23968.040000000001</v>
      </c>
      <c r="I43" s="925" t="s">
        <v>614</v>
      </c>
      <c r="J43" s="345"/>
    </row>
    <row r="44" spans="1:10" s="355" customFormat="1" ht="37.5" customHeight="1">
      <c r="A44" s="447" t="s">
        <v>659</v>
      </c>
      <c r="B44" s="437" t="s">
        <v>253</v>
      </c>
      <c r="C44" s="437" t="s">
        <v>596</v>
      </c>
      <c r="D44" s="437">
        <v>3922</v>
      </c>
      <c r="E44" s="437" t="s">
        <v>282</v>
      </c>
      <c r="F44" s="438">
        <f>'Sch. G 2018'!M38</f>
        <v>-23968.040000000001</v>
      </c>
      <c r="G44" s="438">
        <v>0</v>
      </c>
      <c r="H44" s="439">
        <f t="shared" si="1"/>
        <v>-23968.040000000001</v>
      </c>
      <c r="I44" s="927"/>
      <c r="J44" s="345"/>
    </row>
    <row r="45" spans="1:10" s="355" customFormat="1" ht="55.5" customHeight="1">
      <c r="A45" s="447" t="s">
        <v>659</v>
      </c>
      <c r="B45" s="437" t="s">
        <v>253</v>
      </c>
      <c r="C45" s="437" t="s">
        <v>227</v>
      </c>
      <c r="D45" s="437">
        <v>3922</v>
      </c>
      <c r="E45" s="437" t="s">
        <v>285</v>
      </c>
      <c r="F45" s="438">
        <f>'Sch. G 2018'!R38</f>
        <v>-25994.870000000003</v>
      </c>
      <c r="G45" s="438">
        <v>-43042.110000000001</v>
      </c>
      <c r="H45" s="439">
        <f t="shared" si="1"/>
        <v>17047.239999999998</v>
      </c>
      <c r="I45" s="454" t="s">
        <v>613</v>
      </c>
      <c r="J45" s="345"/>
    </row>
    <row r="46" spans="1:10" s="355" customFormat="1" ht="46.5" customHeight="1">
      <c r="A46" s="447" t="s">
        <v>659</v>
      </c>
      <c r="B46" s="437" t="s">
        <v>253</v>
      </c>
      <c r="C46" s="437" t="s">
        <v>228</v>
      </c>
      <c r="D46" s="437">
        <v>3922</v>
      </c>
      <c r="E46" s="437" t="s">
        <v>281</v>
      </c>
      <c r="F46" s="438">
        <f>'Sch. G 2018'!L38</f>
        <v>423053.32999999996</v>
      </c>
      <c r="G46" s="439">
        <v>422969.22999999998</v>
      </c>
      <c r="H46" s="439">
        <f t="shared" si="1"/>
        <v>84.099999999976717</v>
      </c>
      <c r="I46" s="454" t="s">
        <v>610</v>
      </c>
      <c r="J46" s="345"/>
    </row>
    <row r="47" spans="1:9" s="355" customFormat="1" ht="18.6" customHeight="1">
      <c r="A47" s="447" t="s">
        <v>659</v>
      </c>
      <c r="B47" s="437" t="s">
        <v>240</v>
      </c>
      <c r="C47" s="442" t="s">
        <v>224</v>
      </c>
      <c r="D47" s="442">
        <v>3922</v>
      </c>
      <c r="E47" s="442" t="s">
        <v>278</v>
      </c>
      <c r="F47" s="438">
        <f>'Sch. G 2018'!C38</f>
        <v>497314.48999999999</v>
      </c>
      <c r="G47" s="438">
        <v>500152.38</v>
      </c>
      <c r="H47" s="439">
        <f t="shared" si="1"/>
        <v>-2837.890000000014</v>
      </c>
      <c r="I47" s="925" t="s">
        <v>611</v>
      </c>
    </row>
    <row r="48" spans="1:10" s="355" customFormat="1" ht="18.6" customHeight="1">
      <c r="A48" s="447" t="s">
        <v>659</v>
      </c>
      <c r="B48" s="437" t="s">
        <v>240</v>
      </c>
      <c r="C48" s="442" t="s">
        <v>224</v>
      </c>
      <c r="D48" s="442">
        <v>3924</v>
      </c>
      <c r="E48" s="442" t="s">
        <v>289</v>
      </c>
      <c r="F48" s="438">
        <f>'Sch. G 2018'!C40</f>
        <v>0</v>
      </c>
      <c r="G48" s="438">
        <v>-2837.8899999999999</v>
      </c>
      <c r="H48" s="439">
        <f t="shared" si="1"/>
        <v>2837.8899999999999</v>
      </c>
      <c r="I48" s="926"/>
      <c r="J48" s="345"/>
    </row>
    <row r="49" spans="1:10" s="355" customFormat="1" ht="18.6" customHeight="1">
      <c r="A49" s="447" t="s">
        <v>659</v>
      </c>
      <c r="B49" s="437" t="s">
        <v>240</v>
      </c>
      <c r="C49" s="437" t="s">
        <v>596</v>
      </c>
      <c r="D49" s="442">
        <v>3924</v>
      </c>
      <c r="E49" s="442" t="s">
        <v>290</v>
      </c>
      <c r="F49" s="438">
        <f>'Sch. G 2018'!E40</f>
        <v>11919.640000000001</v>
      </c>
      <c r="G49" s="438">
        <v>14757.530000000001</v>
      </c>
      <c r="H49" s="439">
        <f t="shared" si="1"/>
        <v>-2837.8899999999994</v>
      </c>
      <c r="I49" s="927"/>
      <c r="J49" s="345"/>
    </row>
    <row r="50" spans="1:10" s="355" customFormat="1" ht="18" customHeight="1">
      <c r="A50" s="447" t="s">
        <v>659</v>
      </c>
      <c r="B50" s="437" t="s">
        <v>253</v>
      </c>
      <c r="C50" s="437" t="s">
        <v>226</v>
      </c>
      <c r="D50" s="437">
        <v>3921</v>
      </c>
      <c r="E50" s="437" t="s">
        <v>276</v>
      </c>
      <c r="F50" s="438">
        <f>'Sch. G 2018'!Q37</f>
        <v>-6295</v>
      </c>
      <c r="G50" s="438">
        <v>0</v>
      </c>
      <c r="H50" s="439">
        <f t="shared" si="1"/>
        <v>-6295</v>
      </c>
      <c r="I50" s="925" t="s">
        <v>612</v>
      </c>
      <c r="J50" s="345"/>
    </row>
    <row r="51" spans="1:10" s="355" customFormat="1" ht="18" customHeight="1">
      <c r="A51" s="447" t="s">
        <v>659</v>
      </c>
      <c r="B51" s="437" t="s">
        <v>253</v>
      </c>
      <c r="C51" s="437" t="s">
        <v>227</v>
      </c>
      <c r="D51" s="437">
        <v>3921</v>
      </c>
      <c r="E51" s="437" t="s">
        <v>277</v>
      </c>
      <c r="F51" s="438">
        <f>'Sch. G 2018'!R37</f>
        <v>0</v>
      </c>
      <c r="G51" s="438">
        <v>-6295</v>
      </c>
      <c r="H51" s="439">
        <f t="shared" si="1"/>
        <v>6295</v>
      </c>
      <c r="I51" s="926"/>
      <c r="J51" s="345"/>
    </row>
    <row r="52" spans="1:10" s="355" customFormat="1" ht="18" customHeight="1">
      <c r="A52" s="447" t="s">
        <v>659</v>
      </c>
      <c r="B52" s="437" t="s">
        <v>253</v>
      </c>
      <c r="C52" s="437" t="s">
        <v>226</v>
      </c>
      <c r="D52" s="437">
        <v>3922</v>
      </c>
      <c r="E52" s="437" t="s">
        <v>284</v>
      </c>
      <c r="F52" s="438">
        <f>'Sch. G 2018'!Q38</f>
        <v>-19969.23</v>
      </c>
      <c r="G52" s="438">
        <v>0</v>
      </c>
      <c r="H52" s="439">
        <f t="shared" si="1"/>
        <v>-19969.23</v>
      </c>
      <c r="I52" s="926"/>
      <c r="J52" s="345"/>
    </row>
    <row r="53" spans="1:10" s="355" customFormat="1" ht="18" customHeight="1">
      <c r="A53" s="447" t="s">
        <v>659</v>
      </c>
      <c r="B53" s="437" t="s">
        <v>253</v>
      </c>
      <c r="C53" s="437" t="s">
        <v>226</v>
      </c>
      <c r="D53" s="440">
        <v>3923</v>
      </c>
      <c r="E53" s="437" t="s">
        <v>287</v>
      </c>
      <c r="F53" s="438">
        <f>'Sch. G 2018'!Q39</f>
        <v>-5490.1400000000003</v>
      </c>
      <c r="G53" s="438">
        <v>0</v>
      </c>
      <c r="H53" s="439">
        <f t="shared" si="1"/>
        <v>-5490.1400000000003</v>
      </c>
      <c r="I53" s="926"/>
      <c r="J53" s="345"/>
    </row>
    <row r="54" spans="1:10" s="355" customFormat="1" ht="18" customHeight="1">
      <c r="A54" s="447" t="s">
        <v>659</v>
      </c>
      <c r="B54" s="437" t="s">
        <v>253</v>
      </c>
      <c r="C54" s="437" t="s">
        <v>227</v>
      </c>
      <c r="D54" s="440">
        <v>3923</v>
      </c>
      <c r="E54" s="437" t="s">
        <v>288</v>
      </c>
      <c r="F54" s="438">
        <f>'Sch. G 2018'!R39</f>
        <v>0</v>
      </c>
      <c r="G54" s="438">
        <v>-5490.1400000000003</v>
      </c>
      <c r="H54" s="439">
        <f t="shared" si="1"/>
        <v>5490.1400000000003</v>
      </c>
      <c r="I54" s="926"/>
      <c r="J54" s="345"/>
    </row>
    <row r="55" spans="1:10" s="355" customFormat="1" ht="18" customHeight="1">
      <c r="A55" s="447" t="s">
        <v>659</v>
      </c>
      <c r="B55" s="437" t="s">
        <v>253</v>
      </c>
      <c r="C55" s="437" t="s">
        <v>226</v>
      </c>
      <c r="D55" s="440">
        <v>3924</v>
      </c>
      <c r="E55" s="437" t="s">
        <v>292</v>
      </c>
      <c r="F55" s="438">
        <f>'Sch. G 2018'!Q40</f>
        <v>2527.5999999999999</v>
      </c>
      <c r="G55" s="438">
        <v>0</v>
      </c>
      <c r="H55" s="439">
        <f t="shared" si="1"/>
        <v>2527.5999999999999</v>
      </c>
      <c r="I55" s="926"/>
      <c r="J55" s="345"/>
    </row>
    <row r="56" spans="1:10" s="355" customFormat="1" ht="18" customHeight="1">
      <c r="A56" s="447" t="s">
        <v>659</v>
      </c>
      <c r="B56" s="437" t="s">
        <v>253</v>
      </c>
      <c r="C56" s="437" t="s">
        <v>227</v>
      </c>
      <c r="D56" s="437">
        <v>3924</v>
      </c>
      <c r="E56" s="437" t="s">
        <v>293</v>
      </c>
      <c r="F56" s="438">
        <f>'Sch. G 2018'!R40</f>
        <v>0</v>
      </c>
      <c r="G56" s="438">
        <v>2527.5999999999999</v>
      </c>
      <c r="H56" s="439">
        <f t="shared" si="1"/>
        <v>-2527.5999999999999</v>
      </c>
      <c r="I56" s="927"/>
      <c r="J56" s="345"/>
    </row>
    <row r="57" spans="1:10" ht="15.75" thickBot="1">
      <c r="A57" s="449"/>
      <c r="B57" s="450"/>
      <c r="C57" s="451"/>
      <c r="D57" s="450"/>
      <c r="E57" s="451"/>
      <c r="F57" s="451"/>
      <c r="G57" s="452"/>
      <c r="H57" s="452"/>
      <c r="I57" s="453"/>
      <c r="J57" s="345"/>
    </row>
    <row r="58" spans="1:9" ht="15">
      <c r="A58" s="344"/>
      <c r="B58" s="344"/>
      <c r="C58" s="344"/>
      <c r="D58" s="344"/>
      <c r="E58" s="344"/>
      <c r="F58" s="344"/>
      <c r="G58" s="344"/>
      <c r="H58" s="344"/>
      <c r="I58" s="344"/>
    </row>
    <row r="59" spans="1:9" ht="15">
      <c r="A59" s="344"/>
      <c r="B59" s="344"/>
      <c r="C59" s="344"/>
      <c r="D59" s="344"/>
      <c r="E59" s="344"/>
      <c r="F59" s="344"/>
      <c r="G59" s="344"/>
      <c r="H59" s="344"/>
      <c r="I59" s="344"/>
    </row>
    <row r="60" spans="1:9" ht="15">
      <c r="A60" s="344"/>
      <c r="B60" s="344"/>
      <c r="C60" s="344"/>
      <c r="D60" s="344"/>
      <c r="E60" s="344"/>
      <c r="F60" s="344"/>
      <c r="G60" s="344"/>
      <c r="H60" s="344"/>
      <c r="I60" s="344"/>
    </row>
    <row r="61" spans="1:9" ht="15">
      <c r="A61" s="344"/>
      <c r="B61" s="344"/>
      <c r="C61" s="344"/>
      <c r="D61" s="344"/>
      <c r="E61" s="344"/>
      <c r="F61" s="344"/>
      <c r="G61" s="344"/>
      <c r="H61" s="344"/>
      <c r="I61" s="344"/>
    </row>
    <row r="62" spans="1:9" ht="15">
      <c r="A62" s="344"/>
      <c r="B62" s="344"/>
      <c r="C62" s="344"/>
      <c r="D62" s="344"/>
      <c r="E62" s="344"/>
      <c r="F62" s="344"/>
      <c r="G62" s="344"/>
      <c r="H62" s="344"/>
      <c r="I62" s="344"/>
    </row>
    <row r="63" spans="1:9" ht="15">
      <c r="A63" s="344"/>
      <c r="B63" s="344"/>
      <c r="C63" s="344"/>
      <c r="D63" s="344"/>
      <c r="E63" s="344"/>
      <c r="F63" s="344"/>
      <c r="G63" s="344"/>
      <c r="H63" s="344"/>
      <c r="I63" s="344"/>
    </row>
    <row r="64" spans="1:9" ht="15">
      <c r="A64" s="344"/>
      <c r="B64" s="344"/>
      <c r="C64" s="344"/>
      <c r="D64" s="344"/>
      <c r="E64" s="344"/>
      <c r="F64" s="344"/>
      <c r="G64" s="344"/>
      <c r="H64" s="344"/>
      <c r="I64" s="344"/>
    </row>
    <row r="65" spans="1:9" ht="15">
      <c r="A65" s="344"/>
      <c r="B65" s="344"/>
      <c r="C65" s="344"/>
      <c r="D65" s="344"/>
      <c r="E65" s="344"/>
      <c r="F65" s="344"/>
      <c r="G65" s="344"/>
      <c r="H65" s="344"/>
      <c r="I65" s="344"/>
    </row>
    <row r="66" spans="1:9" ht="15">
      <c r="A66" s="344"/>
      <c r="B66" s="344"/>
      <c r="C66" s="344"/>
      <c r="D66" s="344"/>
      <c r="E66" s="344"/>
      <c r="F66" s="344"/>
      <c r="G66" s="344"/>
      <c r="H66" s="344"/>
      <c r="I66" s="344"/>
    </row>
    <row r="67" spans="1:9" ht="15">
      <c r="A67" s="344"/>
      <c r="B67" s="344"/>
      <c r="C67" s="344"/>
      <c r="D67" s="344"/>
      <c r="E67" s="344"/>
      <c r="F67" s="344"/>
      <c r="G67" s="344"/>
      <c r="H67" s="344"/>
      <c r="I67" s="344"/>
    </row>
    <row r="68" spans="1:9" ht="15">
      <c r="A68" s="344"/>
      <c r="B68" s="344"/>
      <c r="C68" s="344"/>
      <c r="D68" s="344"/>
      <c r="E68" s="344"/>
      <c r="F68" s="344"/>
      <c r="G68" s="344"/>
      <c r="H68" s="344"/>
      <c r="I68" s="344"/>
    </row>
    <row r="69" spans="1:9" ht="15">
      <c r="A69" s="344"/>
      <c r="B69" s="344"/>
      <c r="C69" s="344"/>
      <c r="D69" s="344"/>
      <c r="E69" s="344"/>
      <c r="F69" s="344"/>
      <c r="G69" s="344"/>
      <c r="H69" s="344"/>
      <c r="I69" s="344"/>
    </row>
    <row r="70" spans="1:9" ht="15">
      <c r="A70" s="344"/>
      <c r="B70" s="344"/>
      <c r="C70" s="344"/>
      <c r="D70" s="344"/>
      <c r="E70" s="344"/>
      <c r="F70" s="344"/>
      <c r="G70" s="344"/>
      <c r="H70" s="344"/>
      <c r="I70" s="344"/>
    </row>
    <row r="71" spans="1:9" ht="15">
      <c r="A71" s="344"/>
      <c r="B71" s="344"/>
      <c r="C71" s="344"/>
      <c r="D71" s="344"/>
      <c r="E71" s="344"/>
      <c r="F71" s="344"/>
      <c r="G71" s="344"/>
      <c r="H71" s="344"/>
      <c r="I71" s="344"/>
    </row>
    <row r="72" spans="1:9" ht="15">
      <c r="A72" s="344"/>
      <c r="B72" s="344"/>
      <c r="C72" s="344"/>
      <c r="D72" s="344"/>
      <c r="E72" s="344"/>
      <c r="F72" s="344"/>
      <c r="G72" s="344"/>
      <c r="H72" s="344"/>
      <c r="I72" s="344"/>
    </row>
    <row r="73" spans="1:9" ht="15">
      <c r="A73" s="344"/>
      <c r="B73" s="344"/>
      <c r="C73" s="344"/>
      <c r="D73" s="344"/>
      <c r="E73" s="344"/>
      <c r="F73" s="344"/>
      <c r="G73" s="344"/>
      <c r="H73" s="344"/>
      <c r="I73" s="344"/>
    </row>
    <row r="74" spans="1:9" ht="15">
      <c r="A74" s="344"/>
      <c r="B74" s="344"/>
      <c r="C74" s="344"/>
      <c r="D74" s="344"/>
      <c r="E74" s="344"/>
      <c r="F74" s="344"/>
      <c r="G74" s="344"/>
      <c r="H74" s="344"/>
      <c r="I74" s="344"/>
    </row>
    <row r="75" spans="1:9" ht="15">
      <c r="A75" s="344"/>
      <c r="B75" s="344"/>
      <c r="C75" s="344"/>
      <c r="D75" s="344"/>
      <c r="E75" s="344"/>
      <c r="F75" s="344"/>
      <c r="G75" s="344"/>
      <c r="H75" s="344"/>
      <c r="I75" s="344"/>
    </row>
    <row r="76" spans="1:9" ht="15">
      <c r="A76" s="344"/>
      <c r="B76" s="344"/>
      <c r="C76" s="344"/>
      <c r="D76" s="344"/>
      <c r="E76" s="344"/>
      <c r="F76" s="344"/>
      <c r="G76" s="344"/>
      <c r="H76" s="344"/>
      <c r="I76" s="344"/>
    </row>
    <row r="77" spans="1:9" ht="15">
      <c r="A77" s="344"/>
      <c r="B77" s="344"/>
      <c r="C77" s="344"/>
      <c r="D77" s="344"/>
      <c r="E77" s="344"/>
      <c r="F77" s="344"/>
      <c r="G77" s="344"/>
      <c r="H77" s="344"/>
      <c r="I77" s="344"/>
    </row>
    <row r="78" spans="1:9" ht="15">
      <c r="A78" s="344"/>
      <c r="B78" s="344"/>
      <c r="C78" s="344"/>
      <c r="D78" s="344"/>
      <c r="E78" s="344"/>
      <c r="F78" s="344"/>
      <c r="G78" s="344"/>
      <c r="H78" s="344"/>
      <c r="I78" s="344"/>
    </row>
    <row r="79" spans="1:9" ht="15">
      <c r="A79" s="344"/>
      <c r="B79" s="344"/>
      <c r="C79" s="344"/>
      <c r="D79" s="344"/>
      <c r="E79" s="344"/>
      <c r="F79" s="344"/>
      <c r="G79" s="344"/>
      <c r="H79" s="344"/>
      <c r="I79" s="344"/>
    </row>
    <row r="80" spans="1:9" ht="15">
      <c r="A80" s="344"/>
      <c r="B80" s="344"/>
      <c r="C80" s="344"/>
      <c r="D80" s="344"/>
      <c r="E80" s="344"/>
      <c r="F80" s="344"/>
      <c r="G80" s="344"/>
      <c r="H80" s="344"/>
      <c r="I80" s="344"/>
    </row>
    <row r="81" spans="1:9" ht="15">
      <c r="A81" s="344"/>
      <c r="B81" s="344"/>
      <c r="C81" s="344"/>
      <c r="D81" s="344"/>
      <c r="E81" s="344"/>
      <c r="F81" s="344"/>
      <c r="G81" s="344"/>
      <c r="H81" s="344"/>
      <c r="I81" s="344"/>
    </row>
    <row r="82" spans="1:9" ht="15">
      <c r="A82" s="344"/>
      <c r="B82" s="344"/>
      <c r="C82" s="344"/>
      <c r="D82" s="344"/>
      <c r="E82" s="344"/>
      <c r="F82" s="344"/>
      <c r="G82" s="344"/>
      <c r="H82" s="344"/>
      <c r="I82" s="344"/>
    </row>
    <row r="83" spans="1:9" ht="15">
      <c r="A83" s="344"/>
      <c r="B83" s="344"/>
      <c r="C83" s="344"/>
      <c r="D83" s="344"/>
      <c r="E83" s="344"/>
      <c r="F83" s="344"/>
      <c r="G83" s="344"/>
      <c r="H83" s="344"/>
      <c r="I83" s="344"/>
    </row>
    <row r="84" spans="1:9" ht="15">
      <c r="A84" s="344"/>
      <c r="B84" s="344"/>
      <c r="C84" s="344"/>
      <c r="D84" s="344"/>
      <c r="E84" s="344"/>
      <c r="F84" s="344"/>
      <c r="G84" s="344"/>
      <c r="H84" s="344"/>
      <c r="I84" s="344"/>
    </row>
    <row r="85" spans="1:9" ht="15">
      <c r="A85" s="344"/>
      <c r="B85" s="344"/>
      <c r="C85" s="344"/>
      <c r="D85" s="344"/>
      <c r="E85" s="344"/>
      <c r="F85" s="344"/>
      <c r="G85" s="344"/>
      <c r="H85" s="344"/>
      <c r="I85" s="344"/>
    </row>
    <row r="86" spans="1:9" ht="15">
      <c r="A86" s="344"/>
      <c r="B86" s="344"/>
      <c r="C86" s="344"/>
      <c r="D86" s="344"/>
      <c r="E86" s="344"/>
      <c r="F86" s="344"/>
      <c r="G86" s="344"/>
      <c r="H86" s="344"/>
      <c r="I86" s="344"/>
    </row>
    <row r="87" spans="1:9" ht="15">
      <c r="A87" s="344"/>
      <c r="B87" s="344"/>
      <c r="C87" s="344"/>
      <c r="D87" s="344"/>
      <c r="E87" s="344"/>
      <c r="F87" s="344"/>
      <c r="G87" s="344"/>
      <c r="H87" s="344"/>
      <c r="I87" s="344"/>
    </row>
    <row r="88" spans="1:9" ht="15">
      <c r="A88" s="344"/>
      <c r="B88" s="344"/>
      <c r="C88" s="344"/>
      <c r="D88" s="344"/>
      <c r="E88" s="344"/>
      <c r="F88" s="344"/>
      <c r="G88" s="344"/>
      <c r="H88" s="344"/>
      <c r="I88" s="344"/>
    </row>
    <row r="89" spans="1:9" ht="15">
      <c r="A89" s="344"/>
      <c r="B89" s="344"/>
      <c r="C89" s="344"/>
      <c r="D89" s="344"/>
      <c r="E89" s="344"/>
      <c r="F89" s="344"/>
      <c r="G89" s="344"/>
      <c r="H89" s="344"/>
      <c r="I89" s="344"/>
    </row>
    <row r="90" spans="1:9" ht="15">
      <c r="A90" s="344"/>
      <c r="B90" s="344"/>
      <c r="C90" s="344"/>
      <c r="D90" s="344"/>
      <c r="E90" s="344"/>
      <c r="F90" s="344"/>
      <c r="G90" s="344"/>
      <c r="H90" s="344"/>
      <c r="I90" s="344"/>
    </row>
    <row r="91" spans="1:9" ht="15">
      <c r="A91" s="344"/>
      <c r="B91" s="344"/>
      <c r="C91" s="344"/>
      <c r="D91" s="344"/>
      <c r="E91" s="344"/>
      <c r="F91" s="344"/>
      <c r="G91" s="344"/>
      <c r="H91" s="344"/>
      <c r="I91" s="344"/>
    </row>
    <row r="92" spans="1:9" ht="15">
      <c r="A92" s="344"/>
      <c r="B92" s="344"/>
      <c r="C92" s="344"/>
      <c r="D92" s="344"/>
      <c r="E92" s="344"/>
      <c r="F92" s="344"/>
      <c r="G92" s="344"/>
      <c r="H92" s="344"/>
      <c r="I92" s="344"/>
    </row>
    <row r="93" spans="1:9" ht="15">
      <c r="A93" s="344"/>
      <c r="B93" s="344"/>
      <c r="C93" s="344"/>
      <c r="D93" s="344"/>
      <c r="E93" s="344"/>
      <c r="F93" s="344"/>
      <c r="G93" s="344"/>
      <c r="H93" s="344"/>
      <c r="I93" s="344"/>
    </row>
    <row r="94" spans="1:9" ht="15">
      <c r="A94" s="344"/>
      <c r="B94" s="344"/>
      <c r="C94" s="344"/>
      <c r="D94" s="344"/>
      <c r="E94" s="344"/>
      <c r="F94" s="344"/>
      <c r="G94" s="344"/>
      <c r="H94" s="344"/>
      <c r="I94" s="344"/>
    </row>
    <row r="95" spans="1:9" ht="15">
      <c r="A95" s="344"/>
      <c r="B95" s="344"/>
      <c r="C95" s="344"/>
      <c r="D95" s="344"/>
      <c r="E95" s="344"/>
      <c r="F95" s="344"/>
      <c r="G95" s="344"/>
      <c r="H95" s="344"/>
      <c r="I95" s="344"/>
    </row>
    <row r="96" spans="1:9" ht="15">
      <c r="A96" s="344"/>
      <c r="B96" s="344"/>
      <c r="C96" s="344"/>
      <c r="D96" s="344"/>
      <c r="E96" s="344"/>
      <c r="F96" s="344"/>
      <c r="G96" s="344"/>
      <c r="H96" s="344"/>
      <c r="I96" s="344"/>
    </row>
    <row r="97" spans="1:9" ht="15">
      <c r="A97" s="344"/>
      <c r="B97" s="344"/>
      <c r="C97" s="344"/>
      <c r="D97" s="344"/>
      <c r="E97" s="344"/>
      <c r="F97" s="344"/>
      <c r="G97" s="344"/>
      <c r="H97" s="344"/>
      <c r="I97" s="344"/>
    </row>
    <row r="98" spans="1:9" ht="15">
      <c r="A98" s="344"/>
      <c r="B98" s="344"/>
      <c r="C98" s="344"/>
      <c r="D98" s="344"/>
      <c r="E98" s="344"/>
      <c r="F98" s="344"/>
      <c r="G98" s="344"/>
      <c r="H98" s="344"/>
      <c r="I98" s="344"/>
    </row>
    <row r="99" spans="1:9" ht="15">
      <c r="A99" s="344"/>
      <c r="B99" s="344"/>
      <c r="C99" s="344"/>
      <c r="D99" s="344"/>
      <c r="E99" s="344"/>
      <c r="F99" s="344"/>
      <c r="G99" s="344"/>
      <c r="H99" s="344"/>
      <c r="I99" s="344"/>
    </row>
    <row r="100" spans="1:9" ht="15">
      <c r="A100" s="344"/>
      <c r="B100" s="344"/>
      <c r="C100" s="344"/>
      <c r="D100" s="344"/>
      <c r="E100" s="344"/>
      <c r="F100" s="344"/>
      <c r="G100" s="344"/>
      <c r="H100" s="344"/>
      <c r="I100" s="344"/>
    </row>
    <row r="101" spans="1:9" ht="15">
      <c r="A101" s="344"/>
      <c r="B101" s="344"/>
      <c r="C101" s="344"/>
      <c r="D101" s="344"/>
      <c r="E101" s="344"/>
      <c r="F101" s="344"/>
      <c r="G101" s="344"/>
      <c r="H101" s="344"/>
      <c r="I101" s="344"/>
    </row>
    <row r="102" spans="1:9" ht="15">
      <c r="A102" s="344"/>
      <c r="B102" s="344"/>
      <c r="C102" s="344"/>
      <c r="D102" s="344"/>
      <c r="E102" s="344"/>
      <c r="F102" s="344"/>
      <c r="G102" s="344"/>
      <c r="H102" s="344"/>
      <c r="I102" s="344"/>
    </row>
    <row r="103" spans="1:9" ht="15">
      <c r="A103" s="344"/>
      <c r="B103" s="344"/>
      <c r="C103" s="344"/>
      <c r="D103" s="344"/>
      <c r="E103" s="344"/>
      <c r="F103" s="344"/>
      <c r="G103" s="344"/>
      <c r="H103" s="344"/>
      <c r="I103" s="344"/>
    </row>
    <row r="104" spans="1:9" ht="15">
      <c r="A104" s="344"/>
      <c r="B104" s="344"/>
      <c r="C104" s="344"/>
      <c r="D104" s="344"/>
      <c r="E104" s="344"/>
      <c r="F104" s="344"/>
      <c r="G104" s="344"/>
      <c r="H104" s="344"/>
      <c r="I104" s="344"/>
    </row>
    <row r="105" spans="1:9" ht="15">
      <c r="A105" s="344"/>
      <c r="B105" s="344"/>
      <c r="C105" s="344"/>
      <c r="D105" s="344"/>
      <c r="E105" s="344"/>
      <c r="F105" s="344"/>
      <c r="G105" s="344"/>
      <c r="H105" s="344"/>
      <c r="I105" s="344"/>
    </row>
    <row r="106" spans="1:9" ht="15">
      <c r="A106" s="344"/>
      <c r="B106" s="344"/>
      <c r="C106" s="344"/>
      <c r="D106" s="344"/>
      <c r="E106" s="344"/>
      <c r="F106" s="344"/>
      <c r="G106" s="344"/>
      <c r="H106" s="344"/>
      <c r="I106" s="344"/>
    </row>
    <row r="107" spans="1:9" ht="15">
      <c r="A107" s="344"/>
      <c r="B107" s="344"/>
      <c r="C107" s="344"/>
      <c r="D107" s="344"/>
      <c r="E107" s="344"/>
      <c r="F107" s="344"/>
      <c r="G107" s="344"/>
      <c r="H107" s="344"/>
      <c r="I107" s="344"/>
    </row>
    <row r="108" spans="1:9" ht="15">
      <c r="A108" s="344"/>
      <c r="B108" s="344"/>
      <c r="C108" s="344"/>
      <c r="D108" s="344"/>
      <c r="E108" s="344"/>
      <c r="F108" s="344"/>
      <c r="G108" s="344"/>
      <c r="H108" s="344"/>
      <c r="I108" s="344"/>
    </row>
    <row r="109" spans="1:9" ht="15">
      <c r="A109" s="344"/>
      <c r="B109" s="344"/>
      <c r="C109" s="344"/>
      <c r="D109" s="344"/>
      <c r="E109" s="344"/>
      <c r="F109" s="344"/>
      <c r="G109" s="344"/>
      <c r="H109" s="344"/>
      <c r="I109" s="344"/>
    </row>
    <row r="110" spans="1:9" ht="15">
      <c r="A110" s="344"/>
      <c r="B110" s="344"/>
      <c r="C110" s="344"/>
      <c r="D110" s="344"/>
      <c r="E110" s="344"/>
      <c r="F110" s="344"/>
      <c r="G110" s="344"/>
      <c r="H110" s="344"/>
      <c r="I110" s="344"/>
    </row>
    <row r="111" spans="1:9" ht="15">
      <c r="A111" s="344"/>
      <c r="B111" s="344"/>
      <c r="C111" s="344"/>
      <c r="D111" s="344"/>
      <c r="E111" s="344"/>
      <c r="F111" s="344"/>
      <c r="G111" s="344"/>
      <c r="H111" s="344"/>
      <c r="I111" s="344"/>
    </row>
    <row r="112" spans="1:9" ht="15">
      <c r="A112" s="344"/>
      <c r="B112" s="344"/>
      <c r="C112" s="344"/>
      <c r="D112" s="344"/>
      <c r="E112" s="344"/>
      <c r="F112" s="344"/>
      <c r="G112" s="344"/>
      <c r="H112" s="344"/>
      <c r="I112" s="344"/>
    </row>
    <row r="113" spans="1:9" ht="15">
      <c r="A113" s="344"/>
      <c r="B113" s="344"/>
      <c r="C113" s="344"/>
      <c r="D113" s="344"/>
      <c r="E113" s="344"/>
      <c r="F113" s="344"/>
      <c r="G113" s="344"/>
      <c r="H113" s="344"/>
      <c r="I113" s="344"/>
    </row>
    <row r="114" spans="1:9" ht="15">
      <c r="A114" s="344"/>
      <c r="B114" s="344"/>
      <c r="C114" s="344"/>
      <c r="D114" s="344"/>
      <c r="E114" s="344"/>
      <c r="F114" s="344"/>
      <c r="G114" s="344"/>
      <c r="H114" s="344"/>
      <c r="I114" s="344"/>
    </row>
    <row r="115" spans="1:9" ht="15">
      <c r="A115" s="344"/>
      <c r="B115" s="344"/>
      <c r="C115" s="344"/>
      <c r="D115" s="344"/>
      <c r="E115" s="344"/>
      <c r="F115" s="344"/>
      <c r="G115" s="344"/>
      <c r="H115" s="344"/>
      <c r="I115" s="344"/>
    </row>
    <row r="116" spans="1:9" ht="15">
      <c r="A116" s="344"/>
      <c r="B116" s="344"/>
      <c r="C116" s="344"/>
      <c r="D116" s="344"/>
      <c r="E116" s="344"/>
      <c r="F116" s="344"/>
      <c r="G116" s="344"/>
      <c r="H116" s="344"/>
      <c r="I116" s="344"/>
    </row>
    <row r="117" spans="1:9" ht="15">
      <c r="A117" s="344"/>
      <c r="B117" s="344"/>
      <c r="C117" s="344"/>
      <c r="D117" s="344"/>
      <c r="E117" s="344"/>
      <c r="F117" s="344"/>
      <c r="G117" s="344"/>
      <c r="H117" s="344"/>
      <c r="I117" s="344"/>
    </row>
    <row r="118" spans="1:9" ht="15">
      <c r="A118" s="344"/>
      <c r="B118" s="344"/>
      <c r="C118" s="344"/>
      <c r="D118" s="344"/>
      <c r="E118" s="344"/>
      <c r="F118" s="344"/>
      <c r="G118" s="344"/>
      <c r="H118" s="344"/>
      <c r="I118" s="344"/>
    </row>
    <row r="119" spans="1:9" ht="15">
      <c r="A119" s="344"/>
      <c r="B119" s="344"/>
      <c r="C119" s="344"/>
      <c r="D119" s="344"/>
      <c r="E119" s="344"/>
      <c r="F119" s="344"/>
      <c r="G119" s="344"/>
      <c r="H119" s="344"/>
      <c r="I119" s="344"/>
    </row>
    <row r="120" spans="1:9" ht="15">
      <c r="A120" s="344"/>
      <c r="B120" s="344"/>
      <c r="C120" s="344"/>
      <c r="D120" s="344"/>
      <c r="E120" s="344"/>
      <c r="F120" s="344"/>
      <c r="G120" s="344"/>
      <c r="H120" s="344"/>
      <c r="I120" s="344"/>
    </row>
    <row r="121" spans="1:9" ht="15">
      <c r="A121" s="344"/>
      <c r="B121" s="344"/>
      <c r="C121" s="344"/>
      <c r="D121" s="344"/>
      <c r="E121" s="344"/>
      <c r="F121" s="344"/>
      <c r="G121" s="344"/>
      <c r="H121" s="344"/>
      <c r="I121" s="344"/>
    </row>
    <row r="122" spans="1:9" ht="15">
      <c r="A122" s="344"/>
      <c r="B122" s="344"/>
      <c r="C122" s="344"/>
      <c r="D122" s="344"/>
      <c r="E122" s="344"/>
      <c r="F122" s="344"/>
      <c r="G122" s="344"/>
      <c r="H122" s="344"/>
      <c r="I122" s="344"/>
    </row>
    <row r="123" spans="1:9" ht="15">
      <c r="A123" s="344"/>
      <c r="B123" s="344"/>
      <c r="C123" s="344"/>
      <c r="D123" s="344"/>
      <c r="E123" s="344"/>
      <c r="F123" s="344"/>
      <c r="G123" s="344"/>
      <c r="H123" s="344"/>
      <c r="I123" s="344"/>
    </row>
    <row r="124" spans="1:9" ht="15">
      <c r="A124" s="344"/>
      <c r="B124" s="344"/>
      <c r="C124" s="344"/>
      <c r="D124" s="344"/>
      <c r="E124" s="344"/>
      <c r="F124" s="344"/>
      <c r="G124" s="344"/>
      <c r="H124" s="344"/>
      <c r="I124" s="344"/>
    </row>
    <row r="125" spans="1:9" ht="15">
      <c r="A125" s="344"/>
      <c r="B125" s="344"/>
      <c r="C125" s="344"/>
      <c r="D125" s="344"/>
      <c r="E125" s="344"/>
      <c r="F125" s="344"/>
      <c r="G125" s="344"/>
      <c r="H125" s="344"/>
      <c r="I125" s="344"/>
    </row>
    <row r="126" spans="1:9" ht="15">
      <c r="A126" s="344"/>
      <c r="B126" s="344"/>
      <c r="C126" s="344"/>
      <c r="D126" s="344"/>
      <c r="E126" s="344"/>
      <c r="F126" s="344"/>
      <c r="G126" s="344"/>
      <c r="H126" s="344"/>
      <c r="I126" s="344"/>
    </row>
    <row r="127" spans="1:9" ht="15">
      <c r="A127" s="344"/>
      <c r="B127" s="344"/>
      <c r="C127" s="344"/>
      <c r="D127" s="344"/>
      <c r="E127" s="344"/>
      <c r="F127" s="344"/>
      <c r="G127" s="344"/>
      <c r="H127" s="344"/>
      <c r="I127" s="344"/>
    </row>
    <row r="128" spans="1:9" ht="15">
      <c r="A128" s="344"/>
      <c r="B128" s="344"/>
      <c r="C128" s="344"/>
      <c r="D128" s="344"/>
      <c r="E128" s="344"/>
      <c r="F128" s="344"/>
      <c r="G128" s="344"/>
      <c r="H128" s="344"/>
      <c r="I128" s="344"/>
    </row>
    <row r="129" spans="1:9" ht="15">
      <c r="A129" s="344"/>
      <c r="B129" s="344"/>
      <c r="C129" s="344"/>
      <c r="D129" s="344"/>
      <c r="E129" s="344"/>
      <c r="F129" s="344"/>
      <c r="G129" s="344"/>
      <c r="H129" s="344"/>
      <c r="I129" s="344"/>
    </row>
    <row r="130" spans="1:9" ht="15">
      <c r="A130" s="344"/>
      <c r="B130" s="344"/>
      <c r="C130" s="344"/>
      <c r="D130" s="344"/>
      <c r="E130" s="344"/>
      <c r="F130" s="344"/>
      <c r="G130" s="344"/>
      <c r="H130" s="344"/>
      <c r="I130" s="344"/>
    </row>
    <row r="131" spans="1:9" ht="15">
      <c r="A131" s="344"/>
      <c r="B131" s="344"/>
      <c r="C131" s="344"/>
      <c r="D131" s="344"/>
      <c r="E131" s="344"/>
      <c r="F131" s="344"/>
      <c r="G131" s="344"/>
      <c r="H131" s="344"/>
      <c r="I131" s="344"/>
    </row>
    <row r="132" spans="1:9" ht="15">
      <c r="A132" s="344"/>
      <c r="B132" s="344"/>
      <c r="C132" s="344"/>
      <c r="D132" s="344"/>
      <c r="E132" s="344"/>
      <c r="F132" s="344"/>
      <c r="G132" s="344"/>
      <c r="H132" s="344"/>
      <c r="I132" s="344"/>
    </row>
    <row r="133" spans="1:9" ht="15">
      <c r="A133" s="344"/>
      <c r="B133" s="344"/>
      <c r="C133" s="344"/>
      <c r="D133" s="344"/>
      <c r="E133" s="344"/>
      <c r="F133" s="344"/>
      <c r="G133" s="344"/>
      <c r="H133" s="344"/>
      <c r="I133" s="344"/>
    </row>
    <row r="134" spans="1:9" ht="15">
      <c r="A134" s="344"/>
      <c r="B134" s="344"/>
      <c r="C134" s="344"/>
      <c r="D134" s="344"/>
      <c r="E134" s="344"/>
      <c r="F134" s="344"/>
      <c r="G134" s="344"/>
      <c r="H134" s="344"/>
      <c r="I134" s="344"/>
    </row>
    <row r="135" spans="1:9" ht="15">
      <c r="A135" s="344"/>
      <c r="B135" s="344"/>
      <c r="C135" s="344"/>
      <c r="D135" s="344"/>
      <c r="E135" s="344"/>
      <c r="F135" s="344"/>
      <c r="G135" s="344"/>
      <c r="H135" s="344"/>
      <c r="I135" s="344"/>
    </row>
    <row r="136" spans="1:9" ht="15">
      <c r="A136" s="344"/>
      <c r="B136" s="344"/>
      <c r="C136" s="344"/>
      <c r="D136" s="344"/>
      <c r="E136" s="344"/>
      <c r="F136" s="344"/>
      <c r="G136" s="344"/>
      <c r="H136" s="344"/>
      <c r="I136" s="344"/>
    </row>
    <row r="137" spans="1:9" ht="15">
      <c r="A137" s="344"/>
      <c r="B137" s="344"/>
      <c r="C137" s="344"/>
      <c r="D137" s="344"/>
      <c r="E137" s="344"/>
      <c r="F137" s="344"/>
      <c r="G137" s="344"/>
      <c r="H137" s="344"/>
      <c r="I137" s="344"/>
    </row>
    <row r="138" spans="1:9" ht="15">
      <c r="A138" s="344"/>
      <c r="B138" s="344"/>
      <c r="C138" s="344"/>
      <c r="D138" s="344"/>
      <c r="E138" s="344"/>
      <c r="F138" s="344"/>
      <c r="G138" s="344"/>
      <c r="H138" s="344"/>
      <c r="I138" s="344"/>
    </row>
    <row r="139" spans="1:9" ht="15">
      <c r="A139" s="344"/>
      <c r="B139" s="344"/>
      <c r="C139" s="344"/>
      <c r="D139" s="344"/>
      <c r="E139" s="344"/>
      <c r="F139" s="344"/>
      <c r="G139" s="344"/>
      <c r="H139" s="344"/>
      <c r="I139" s="344"/>
    </row>
    <row r="140" spans="1:9" ht="15">
      <c r="A140" s="344"/>
      <c r="B140" s="344"/>
      <c r="C140" s="344"/>
      <c r="D140" s="344"/>
      <c r="E140" s="344"/>
      <c r="F140" s="344"/>
      <c r="G140" s="344"/>
      <c r="H140" s="344"/>
      <c r="I140" s="344"/>
    </row>
    <row r="141" spans="1:9" ht="15">
      <c r="A141" s="344"/>
      <c r="B141" s="344"/>
      <c r="C141" s="344"/>
      <c r="D141" s="344"/>
      <c r="E141" s="344"/>
      <c r="F141" s="344"/>
      <c r="G141" s="344"/>
      <c r="H141" s="344"/>
      <c r="I141" s="344"/>
    </row>
    <row r="142" spans="1:9" ht="15">
      <c r="A142" s="344"/>
      <c r="B142" s="344"/>
      <c r="C142" s="344"/>
      <c r="D142" s="344"/>
      <c r="E142" s="344"/>
      <c r="F142" s="344"/>
      <c r="G142" s="344"/>
      <c r="H142" s="344"/>
      <c r="I142" s="344"/>
    </row>
    <row r="143" spans="1:9" ht="15">
      <c r="A143" s="344"/>
      <c r="B143" s="344"/>
      <c r="C143" s="344"/>
      <c r="D143" s="344"/>
      <c r="E143" s="344"/>
      <c r="F143" s="344"/>
      <c r="G143" s="344"/>
      <c r="H143" s="344"/>
      <c r="I143" s="344"/>
    </row>
    <row r="144" spans="1:9" ht="15">
      <c r="A144" s="344"/>
      <c r="B144" s="344"/>
      <c r="C144" s="344"/>
      <c r="D144" s="344"/>
      <c r="E144" s="344"/>
      <c r="F144" s="344"/>
      <c r="G144" s="344"/>
      <c r="H144" s="344"/>
      <c r="I144" s="344"/>
    </row>
    <row r="145" spans="1:9" ht="15">
      <c r="A145" s="344"/>
      <c r="B145" s="344"/>
      <c r="C145" s="344"/>
      <c r="D145" s="344"/>
      <c r="E145" s="344"/>
      <c r="F145" s="344"/>
      <c r="G145" s="344"/>
      <c r="H145" s="344"/>
      <c r="I145" s="344"/>
    </row>
    <row r="146" spans="1:9" ht="15">
      <c r="A146" s="344"/>
      <c r="B146" s="344"/>
      <c r="C146" s="344"/>
      <c r="D146" s="344"/>
      <c r="E146" s="344"/>
      <c r="F146" s="344"/>
      <c r="G146" s="344"/>
      <c r="H146" s="344"/>
      <c r="I146" s="344"/>
    </row>
    <row r="147" spans="1:9" ht="15">
      <c r="A147" s="344"/>
      <c r="B147" s="344"/>
      <c r="C147" s="344"/>
      <c r="D147" s="344"/>
      <c r="E147" s="344"/>
      <c r="F147" s="344"/>
      <c r="G147" s="344"/>
      <c r="H147" s="344"/>
      <c r="I147" s="344"/>
    </row>
    <row r="148" spans="1:9" ht="15">
      <c r="A148" s="344"/>
      <c r="B148" s="344"/>
      <c r="C148" s="344"/>
      <c r="D148" s="344"/>
      <c r="E148" s="344"/>
      <c r="F148" s="344"/>
      <c r="G148" s="344"/>
      <c r="H148" s="344"/>
      <c r="I148" s="344"/>
    </row>
    <row r="149" spans="1:9" ht="15">
      <c r="A149" s="344"/>
      <c r="B149" s="344"/>
      <c r="C149" s="344"/>
      <c r="D149" s="344"/>
      <c r="E149" s="344"/>
      <c r="F149" s="344"/>
      <c r="G149" s="344"/>
      <c r="H149" s="344"/>
      <c r="I149" s="344"/>
    </row>
    <row r="150" spans="1:9" ht="15">
      <c r="A150" s="344"/>
      <c r="B150" s="344"/>
      <c r="C150" s="344"/>
      <c r="D150" s="344"/>
      <c r="E150" s="344"/>
      <c r="F150" s="344"/>
      <c r="G150" s="344"/>
      <c r="H150" s="344"/>
      <c r="I150" s="344"/>
    </row>
    <row r="151" spans="1:9" ht="15">
      <c r="A151" s="344"/>
      <c r="B151" s="344"/>
      <c r="C151" s="344"/>
      <c r="D151" s="344"/>
      <c r="E151" s="344"/>
      <c r="F151" s="344"/>
      <c r="G151" s="344"/>
      <c r="H151" s="344"/>
      <c r="I151" s="344"/>
    </row>
    <row r="152" spans="1:9" ht="15">
      <c r="A152" s="344"/>
      <c r="B152" s="344"/>
      <c r="C152" s="344"/>
      <c r="D152" s="344"/>
      <c r="E152" s="344"/>
      <c r="F152" s="344"/>
      <c r="G152" s="344"/>
      <c r="H152" s="344"/>
      <c r="I152" s="344"/>
    </row>
    <row r="153" spans="1:9" ht="15">
      <c r="A153" s="344"/>
      <c r="B153" s="344"/>
      <c r="C153" s="344"/>
      <c r="D153" s="344"/>
      <c r="E153" s="344"/>
      <c r="F153" s="344"/>
      <c r="G153" s="344"/>
      <c r="H153" s="344"/>
      <c r="I153" s="344"/>
    </row>
    <row r="154" spans="1:9" ht="15">
      <c r="A154" s="344"/>
      <c r="B154" s="344"/>
      <c r="C154" s="344"/>
      <c r="D154" s="344"/>
      <c r="E154" s="344"/>
      <c r="F154" s="344"/>
      <c r="G154" s="344"/>
      <c r="H154" s="344"/>
      <c r="I154" s="344"/>
    </row>
    <row r="155" spans="1:9" ht="15">
      <c r="A155" s="344"/>
      <c r="B155" s="344"/>
      <c r="C155" s="344"/>
      <c r="D155" s="344"/>
      <c r="E155" s="344"/>
      <c r="F155" s="344"/>
      <c r="G155" s="344"/>
      <c r="H155" s="344"/>
      <c r="I155" s="344"/>
    </row>
    <row r="156" spans="1:9" ht="15">
      <c r="A156" s="344"/>
      <c r="B156" s="344"/>
      <c r="C156" s="344"/>
      <c r="D156" s="344"/>
      <c r="E156" s="344"/>
      <c r="F156" s="344"/>
      <c r="G156" s="344"/>
      <c r="H156" s="344"/>
      <c r="I156" s="344"/>
    </row>
    <row r="157" spans="1:9" ht="15">
      <c r="A157" s="344"/>
      <c r="B157" s="344"/>
      <c r="C157" s="344"/>
      <c r="D157" s="344"/>
      <c r="E157" s="344"/>
      <c r="F157" s="344"/>
      <c r="G157" s="344"/>
      <c r="H157" s="344"/>
      <c r="I157" s="344"/>
    </row>
    <row r="158" spans="1:9" ht="15">
      <c r="A158" s="344"/>
      <c r="B158" s="344"/>
      <c r="C158" s="344"/>
      <c r="D158" s="344"/>
      <c r="E158" s="344"/>
      <c r="F158" s="344"/>
      <c r="G158" s="344"/>
      <c r="H158" s="344"/>
      <c r="I158" s="344"/>
    </row>
    <row r="159" spans="1:9" ht="15">
      <c r="A159" s="344"/>
      <c r="B159" s="344"/>
      <c r="C159" s="344"/>
      <c r="D159" s="344"/>
      <c r="E159" s="344"/>
      <c r="F159" s="344"/>
      <c r="G159" s="344"/>
      <c r="H159" s="344"/>
      <c r="I159" s="344"/>
    </row>
  </sheetData>
  <autoFilter ref="A6:I56"/>
  <sortState ref="A41:I56">
    <sortCondition sortBy="value" ref="D41:D56"/>
  </sortState>
  <mergeCells count="13">
    <mergeCell ref="A1:I1"/>
    <mergeCell ref="I37:I42"/>
    <mergeCell ref="I43:I44"/>
    <mergeCell ref="I47:I49"/>
    <mergeCell ref="I50:I56"/>
    <mergeCell ref="I27:I36"/>
    <mergeCell ref="I17:I22"/>
    <mergeCell ref="I23:I26"/>
    <mergeCell ref="A2:I2"/>
    <mergeCell ref="A3:I3"/>
    <mergeCell ref="A4:I4"/>
    <mergeCell ref="I7:I14"/>
    <mergeCell ref="I15:I16"/>
  </mergeCells>
  <printOptions horizontalCentered="1"/>
  <pageMargins left="0.5" right="0.5" top="1.25" bottom="0.5" header="0.5" footer="0.2"/>
  <pageSetup fitToHeight="0" orientation="portrait" scale="69"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48"/>
  <sheetViews>
    <sheetView workbookViewId="0" topLeftCell="A30">
      <selection pane="topLeft" activeCell="A30" sqref="A1:XFD1048576"/>
    </sheetView>
  </sheetViews>
  <sheetFormatPr defaultRowHeight="15"/>
  <cols>
    <col min="1" max="1" width="7.85714285714286" bestFit="1" customWidth="1"/>
    <col min="2" max="2" width="13.2857142857143" bestFit="1" customWidth="1"/>
    <col min="3" max="3" width="12.5714285714286" bestFit="1" customWidth="1"/>
    <col min="4" max="4" width="12.2857142857143" bestFit="1" customWidth="1"/>
    <col min="5" max="5" width="10.1428571428571" bestFit="1" customWidth="1"/>
    <col min="6" max="6" width="11.5714285714286" bestFit="1" customWidth="1"/>
    <col min="7" max="7" width="10.1428571428571" bestFit="1" customWidth="1"/>
    <col min="8" max="8" width="13.2857142857143" bestFit="1" customWidth="1"/>
    <col min="9" max="9" width="2.57142857142857" customWidth="1"/>
    <col min="10" max="10" width="7.85714285714286" bestFit="1" customWidth="1"/>
    <col min="11" max="11" width="13.2857142857143" bestFit="1" customWidth="1"/>
    <col min="12" max="12" width="12.5714285714286" bestFit="1" customWidth="1"/>
    <col min="13" max="13" width="9.42857142857143" bestFit="1" customWidth="1"/>
    <col min="14" max="14" width="12.2857142857143" bestFit="1" customWidth="1"/>
    <col min="15" max="15" width="8.42857142857143" customWidth="1"/>
    <col min="16" max="16" width="11.7142857142857" bestFit="1" customWidth="1"/>
    <col min="17" max="17" width="11.5714285714286" bestFit="1" customWidth="1"/>
    <col min="18" max="18" width="10.1428571428571" bestFit="1" customWidth="1"/>
    <col min="19" max="19" width="13.7142857142857" bestFit="1" customWidth="1"/>
  </cols>
  <sheetData>
    <row r="1" spans="1:19" s="645" customFormat="1" ht="18.75">
      <c r="A1" s="920" t="s">
        <v>56</v>
      </c>
      <c r="B1" s="920"/>
      <c r="C1" s="920"/>
      <c r="D1" s="920"/>
      <c r="E1" s="920"/>
      <c r="F1" s="920"/>
      <c r="G1" s="920"/>
      <c r="H1" s="920"/>
      <c r="I1" s="920"/>
      <c r="J1" s="920"/>
      <c r="K1" s="920"/>
      <c r="L1" s="920"/>
      <c r="M1" s="920"/>
      <c r="N1" s="920"/>
      <c r="O1" s="920"/>
      <c r="P1" s="920"/>
      <c r="Q1" s="920"/>
      <c r="R1" s="920"/>
      <c r="S1" s="920"/>
    </row>
    <row r="2" spans="1:19" s="543" customFormat="1" ht="15">
      <c r="A2" s="921" t="str">
        <f>Input!B3</f>
        <v>FPUC, FPUC - Common, FPUC - Indiantown, Florida Division of Chesapeake Utilities Corporation, FPUC - Ft Meade</v>
      </c>
      <c r="B2" s="921"/>
      <c r="C2" s="921"/>
      <c r="D2" s="921"/>
      <c r="E2" s="921"/>
      <c r="F2" s="921"/>
      <c r="G2" s="921"/>
      <c r="H2" s="921"/>
      <c r="I2" s="921"/>
      <c r="J2" s="921"/>
      <c r="K2" s="921"/>
      <c r="L2" s="921"/>
      <c r="M2" s="921"/>
      <c r="N2" s="921"/>
      <c r="O2" s="921"/>
      <c r="P2" s="921"/>
      <c r="Q2" s="921"/>
      <c r="R2" s="921"/>
      <c r="S2" s="921"/>
    </row>
    <row r="3" spans="1:19" s="544" customFormat="1" ht="15.75">
      <c r="A3" s="922" t="s">
        <v>216</v>
      </c>
      <c r="B3" s="922"/>
      <c r="C3" s="922"/>
      <c r="D3" s="922"/>
      <c r="E3" s="922"/>
      <c r="F3" s="922"/>
      <c r="G3" s="922"/>
      <c r="H3" s="922"/>
      <c r="I3" s="922"/>
      <c r="J3" s="922"/>
      <c r="K3" s="922"/>
      <c r="L3" s="922"/>
      <c r="M3" s="922"/>
      <c r="N3" s="922"/>
      <c r="O3" s="922"/>
      <c r="P3" s="922"/>
      <c r="Q3" s="922"/>
      <c r="R3" s="922"/>
      <c r="S3" s="922"/>
    </row>
    <row r="4" spans="1:19" s="544" customFormat="1" ht="15.75">
      <c r="A4" s="923">
        <v>2019</v>
      </c>
      <c r="B4" s="923"/>
      <c r="C4" s="923"/>
      <c r="D4" s="923"/>
      <c r="E4" s="923"/>
      <c r="F4" s="923"/>
      <c r="G4" s="923"/>
      <c r="H4" s="923"/>
      <c r="I4" s="923"/>
      <c r="J4" s="923"/>
      <c r="K4" s="923"/>
      <c r="L4" s="923"/>
      <c r="M4" s="923"/>
      <c r="N4" s="923"/>
      <c r="O4" s="923"/>
      <c r="P4" s="923"/>
      <c r="Q4" s="923"/>
      <c r="R4" s="923"/>
      <c r="S4" s="923"/>
    </row>
    <row r="5" ht="15.75" thickBot="1"/>
    <row r="6" spans="1:19" ht="15.75" thickTop="1">
      <c r="A6" s="917" t="s">
        <v>177</v>
      </c>
      <c r="B6" s="918"/>
      <c r="C6" s="918"/>
      <c r="D6" s="918"/>
      <c r="E6" s="918"/>
      <c r="F6" s="918"/>
      <c r="G6" s="918"/>
      <c r="H6" s="918"/>
      <c r="I6" s="209"/>
      <c r="J6" s="918" t="s">
        <v>217</v>
      </c>
      <c r="K6" s="918"/>
      <c r="L6" s="918"/>
      <c r="M6" s="918"/>
      <c r="N6" s="918"/>
      <c r="O6" s="918"/>
      <c r="P6" s="918"/>
      <c r="Q6" s="918"/>
      <c r="R6" s="918"/>
      <c r="S6" s="919"/>
    </row>
    <row r="7" spans="1:19" ht="15">
      <c r="A7" s="208" t="s">
        <v>178</v>
      </c>
      <c r="B7" s="545" t="s">
        <v>218</v>
      </c>
      <c r="C7" s="546"/>
      <c r="D7" s="546"/>
      <c r="E7" s="545" t="s">
        <v>219</v>
      </c>
      <c r="F7" s="545"/>
      <c r="G7" s="546"/>
      <c r="H7" s="545" t="s">
        <v>220</v>
      </c>
      <c r="I7" s="194"/>
      <c r="J7" s="547" t="s">
        <v>178</v>
      </c>
      <c r="K7" s="545" t="s">
        <v>218</v>
      </c>
      <c r="L7" s="546"/>
      <c r="M7" s="545" t="s">
        <v>219</v>
      </c>
      <c r="N7" s="546"/>
      <c r="O7" s="548" t="s">
        <v>221</v>
      </c>
      <c r="P7" s="545" t="s">
        <v>222</v>
      </c>
      <c r="Q7" s="545"/>
      <c r="R7" s="546"/>
      <c r="S7" s="203" t="s">
        <v>220</v>
      </c>
    </row>
    <row r="8" spans="1:19" ht="15">
      <c r="A8" s="202" t="s">
        <v>181</v>
      </c>
      <c r="B8" s="199" t="s">
        <v>223</v>
      </c>
      <c r="C8" s="199" t="s">
        <v>224</v>
      </c>
      <c r="D8" s="199" t="s">
        <v>194</v>
      </c>
      <c r="E8" s="199" t="s">
        <v>225</v>
      </c>
      <c r="F8" s="199" t="s">
        <v>226</v>
      </c>
      <c r="G8" s="199" t="s">
        <v>227</v>
      </c>
      <c r="H8" s="199" t="s">
        <v>223</v>
      </c>
      <c r="I8" s="201"/>
      <c r="J8" s="200" t="s">
        <v>181</v>
      </c>
      <c r="K8" s="199" t="s">
        <v>223</v>
      </c>
      <c r="L8" s="199" t="s">
        <v>228</v>
      </c>
      <c r="M8" s="199" t="s">
        <v>225</v>
      </c>
      <c r="N8" s="199" t="s">
        <v>194</v>
      </c>
      <c r="O8" s="199" t="s">
        <v>229</v>
      </c>
      <c r="P8" s="199" t="s">
        <v>230</v>
      </c>
      <c r="Q8" s="199" t="s">
        <v>226</v>
      </c>
      <c r="R8" s="199" t="s">
        <v>227</v>
      </c>
      <c r="S8" s="198" t="s">
        <v>223</v>
      </c>
    </row>
    <row r="9" spans="1:19" ht="15">
      <c r="A9" s="218">
        <v>3010</v>
      </c>
      <c r="B9" s="549">
        <f>'Sch. G 2018'!H9</f>
        <v>23328</v>
      </c>
      <c r="C9" s="549">
        <v>0</v>
      </c>
      <c r="D9" s="549">
        <v>0</v>
      </c>
      <c r="E9" s="549">
        <v>0</v>
      </c>
      <c r="F9" s="549">
        <v>0</v>
      </c>
      <c r="G9" s="549">
        <v>0</v>
      </c>
      <c r="H9" s="210">
        <f t="shared" si="0" ref="H9:H46">ROUND(SUM(B9:G9),2)</f>
        <v>23328</v>
      </c>
      <c r="I9" s="194"/>
      <c r="J9" s="550">
        <v>3010</v>
      </c>
      <c r="K9" s="549">
        <f>'Sch. G 2018'!S9</f>
        <v>23328</v>
      </c>
      <c r="L9" s="549">
        <v>0</v>
      </c>
      <c r="M9" s="549">
        <v>0</v>
      </c>
      <c r="N9" s="549">
        <v>0</v>
      </c>
      <c r="O9" s="549">
        <v>0</v>
      </c>
      <c r="P9" s="549">
        <v>0</v>
      </c>
      <c r="Q9" s="549">
        <v>0</v>
      </c>
      <c r="R9" s="549">
        <v>0</v>
      </c>
      <c r="S9" s="197">
        <f t="shared" si="1" ref="S9:S47">ROUND(SUM(K9:R9),0)</f>
        <v>23328</v>
      </c>
    </row>
    <row r="10" spans="1:19" ht="15">
      <c r="A10" s="218" t="s">
        <v>195</v>
      </c>
      <c r="B10" s="549">
        <f>'Sch. G 2018'!H10</f>
        <v>14132</v>
      </c>
      <c r="C10" s="549">
        <v>0</v>
      </c>
      <c r="D10" s="549">
        <v>0</v>
      </c>
      <c r="E10" s="549">
        <v>0</v>
      </c>
      <c r="F10" s="549">
        <v>0</v>
      </c>
      <c r="G10" s="549">
        <v>0</v>
      </c>
      <c r="H10" s="195">
        <f t="shared" si="0"/>
        <v>14132</v>
      </c>
      <c r="I10" s="194"/>
      <c r="J10" s="550" t="s">
        <v>195</v>
      </c>
      <c r="K10" s="549">
        <f>'Sch. G 2018'!S10</f>
        <v>13391</v>
      </c>
      <c r="L10" s="549">
        <v>420</v>
      </c>
      <c r="M10" s="549">
        <v>0</v>
      </c>
      <c r="N10" s="549">
        <v>0</v>
      </c>
      <c r="O10" s="549">
        <v>0</v>
      </c>
      <c r="P10" s="549">
        <v>0</v>
      </c>
      <c r="Q10" s="549">
        <v>0</v>
      </c>
      <c r="R10" s="549">
        <v>0</v>
      </c>
      <c r="S10" s="197">
        <f t="shared" si="1"/>
        <v>13811</v>
      </c>
    </row>
    <row r="11" spans="1:19" ht="15">
      <c r="A11" s="218" t="s">
        <v>196</v>
      </c>
      <c r="B11" s="549">
        <f>'Sch. G 2018'!H11</f>
        <v>213641</v>
      </c>
      <c r="C11" s="549">
        <v>0</v>
      </c>
      <c r="D11" s="549">
        <v>0</v>
      </c>
      <c r="E11" s="549">
        <v>0</v>
      </c>
      <c r="F11" s="549">
        <v>0</v>
      </c>
      <c r="G11" s="549">
        <v>0</v>
      </c>
      <c r="H11" s="195">
        <f t="shared" si="0"/>
        <v>213641</v>
      </c>
      <c r="I11" s="194"/>
      <c r="J11" s="550" t="s">
        <v>196</v>
      </c>
      <c r="K11" s="549">
        <f>'Sch. G 2018'!S11</f>
        <v>127642</v>
      </c>
      <c r="L11" s="549">
        <v>0</v>
      </c>
      <c r="M11" s="549">
        <v>0</v>
      </c>
      <c r="N11" s="549">
        <v>0</v>
      </c>
      <c r="O11" s="549">
        <v>0</v>
      </c>
      <c r="P11" s="549">
        <v>0</v>
      </c>
      <c r="Q11" s="549">
        <v>0</v>
      </c>
      <c r="R11" s="549">
        <v>0</v>
      </c>
      <c r="S11" s="197">
        <f t="shared" si="1"/>
        <v>127642</v>
      </c>
    </row>
    <row r="12" spans="1:19" ht="15">
      <c r="A12" s="218" t="s">
        <v>197</v>
      </c>
      <c r="B12" s="549">
        <f>'Sch. G 2018'!H12</f>
        <v>376799</v>
      </c>
      <c r="C12" s="549">
        <v>0</v>
      </c>
      <c r="D12" s="549">
        <v>0</v>
      </c>
      <c r="E12" s="549">
        <v>0</v>
      </c>
      <c r="F12" s="549">
        <v>0</v>
      </c>
      <c r="G12" s="549">
        <v>0</v>
      </c>
      <c r="H12" s="195">
        <f t="shared" si="0"/>
        <v>376799</v>
      </c>
      <c r="I12" s="194"/>
      <c r="J12" s="550" t="s">
        <v>197</v>
      </c>
      <c r="K12" s="549">
        <f>'Sch. G 2018'!S12</f>
        <v>0</v>
      </c>
      <c r="L12" s="549">
        <v>0</v>
      </c>
      <c r="M12" s="549">
        <v>0</v>
      </c>
      <c r="N12" s="549">
        <v>0</v>
      </c>
      <c r="O12" s="549">
        <v>0</v>
      </c>
      <c r="P12" s="549">
        <v>0</v>
      </c>
      <c r="Q12" s="549">
        <v>0</v>
      </c>
      <c r="R12" s="549">
        <v>0</v>
      </c>
      <c r="S12" s="197">
        <f t="shared" si="1"/>
        <v>0</v>
      </c>
    </row>
    <row r="13" spans="1:19" ht="15">
      <c r="A13" s="218">
        <v>3741</v>
      </c>
      <c r="B13" s="549">
        <f>'Sch. G 2018'!H13</f>
        <v>12910</v>
      </c>
      <c r="C13" s="549">
        <v>0</v>
      </c>
      <c r="D13" s="549">
        <v>0</v>
      </c>
      <c r="E13" s="549">
        <v>0</v>
      </c>
      <c r="F13" s="549">
        <v>0</v>
      </c>
      <c r="G13" s="549">
        <v>0</v>
      </c>
      <c r="H13" s="195">
        <f t="shared" si="0"/>
        <v>12910</v>
      </c>
      <c r="I13" s="194"/>
      <c r="J13" s="550">
        <v>3741</v>
      </c>
      <c r="K13" s="549">
        <f>'Sch. G 2018'!S13</f>
        <v>7620</v>
      </c>
      <c r="L13" s="549">
        <v>708</v>
      </c>
      <c r="M13" s="549">
        <v>0</v>
      </c>
      <c r="N13" s="549">
        <v>0</v>
      </c>
      <c r="O13" s="549">
        <v>0</v>
      </c>
      <c r="P13" s="549">
        <v>0</v>
      </c>
      <c r="Q13" s="549">
        <v>0</v>
      </c>
      <c r="R13" s="549">
        <v>0</v>
      </c>
      <c r="S13" s="197">
        <f t="shared" si="1"/>
        <v>8328</v>
      </c>
    </row>
    <row r="14" spans="1:19" ht="15">
      <c r="A14" s="218" t="s">
        <v>198</v>
      </c>
      <c r="B14" s="549">
        <f>'Sch. G 2018'!H14</f>
        <v>1604358</v>
      </c>
      <c r="C14" s="549">
        <v>308425.54999999999</v>
      </c>
      <c r="D14" s="549">
        <v>0</v>
      </c>
      <c r="E14" s="549">
        <v>0</v>
      </c>
      <c r="F14" s="549">
        <v>0</v>
      </c>
      <c r="G14" s="549">
        <v>0</v>
      </c>
      <c r="H14" s="195">
        <f t="shared" si="0"/>
        <v>1912783.55</v>
      </c>
      <c r="I14" s="194"/>
      <c r="J14" s="550" t="s">
        <v>198</v>
      </c>
      <c r="K14" s="549">
        <f>'Sch. G 2018'!S14</f>
        <v>674109</v>
      </c>
      <c r="L14" s="549">
        <v>43670</v>
      </c>
      <c r="M14" s="549">
        <v>0</v>
      </c>
      <c r="N14" s="549">
        <v>0</v>
      </c>
      <c r="O14" s="549">
        <v>0</v>
      </c>
      <c r="P14" s="549">
        <v>0</v>
      </c>
      <c r="Q14" s="549">
        <v>0</v>
      </c>
      <c r="R14" s="549">
        <v>0</v>
      </c>
      <c r="S14" s="197">
        <f t="shared" si="1"/>
        <v>717779</v>
      </c>
    </row>
    <row r="15" spans="1:19" ht="15">
      <c r="A15" s="218">
        <v>3761</v>
      </c>
      <c r="B15" s="549">
        <f>'Sch. G 2018'!H15</f>
        <v>93892667</v>
      </c>
      <c r="C15" s="549">
        <v>6287473.2699999996</v>
      </c>
      <c r="D15" s="549">
        <v>-210843.21999999997</v>
      </c>
      <c r="E15" s="549">
        <v>0</v>
      </c>
      <c r="F15" s="549">
        <v>13355.5</v>
      </c>
      <c r="G15" s="549">
        <v>0</v>
      </c>
      <c r="H15" s="195">
        <f t="shared" si="0"/>
        <v>99982652.549999997</v>
      </c>
      <c r="I15" s="194"/>
      <c r="J15" s="550">
        <v>3761</v>
      </c>
      <c r="K15" s="549">
        <f>'Sch. G 2018'!S15</f>
        <v>24988609</v>
      </c>
      <c r="L15" s="549">
        <v>2030878</v>
      </c>
      <c r="M15" s="549">
        <v>0</v>
      </c>
      <c r="N15" s="549">
        <v>-210843.21999999997</v>
      </c>
      <c r="O15" s="549">
        <v>0</v>
      </c>
      <c r="P15" s="549">
        <v>-186615.47</v>
      </c>
      <c r="Q15" s="549">
        <v>13339.5</v>
      </c>
      <c r="R15" s="549">
        <v>0</v>
      </c>
      <c r="S15" s="197">
        <f t="shared" si="1"/>
        <v>26635368</v>
      </c>
    </row>
    <row r="16" spans="1:19" ht="15">
      <c r="A16" s="218">
        <v>3762</v>
      </c>
      <c r="B16" s="549">
        <f>'Sch. G 2018'!H16</f>
        <v>60159250</v>
      </c>
      <c r="C16" s="549">
        <v>707619.70999999996</v>
      </c>
      <c r="D16" s="549">
        <v>-386560.69</v>
      </c>
      <c r="E16" s="549">
        <v>0</v>
      </c>
      <c r="F16" s="549">
        <v>0</v>
      </c>
      <c r="G16" s="549">
        <v>-521272.34000000003</v>
      </c>
      <c r="H16" s="195">
        <f t="shared" si="0"/>
        <v>59959036.68</v>
      </c>
      <c r="I16" s="194"/>
      <c r="J16" s="550">
        <v>3762</v>
      </c>
      <c r="K16" s="549">
        <f>'Sch. G 2018'!S16</f>
        <v>28928953</v>
      </c>
      <c r="L16" s="549">
        <v>1326480.4099999999</v>
      </c>
      <c r="M16" s="549">
        <v>0</v>
      </c>
      <c r="N16" s="549">
        <v>-386560.69</v>
      </c>
      <c r="O16" s="549">
        <v>0</v>
      </c>
      <c r="P16" s="549">
        <v>-341890.92000000004</v>
      </c>
      <c r="Q16" s="549">
        <v>0</v>
      </c>
      <c r="R16" s="549">
        <v>-419654.21000000002</v>
      </c>
      <c r="S16" s="197">
        <f t="shared" si="1"/>
        <v>29107328</v>
      </c>
    </row>
    <row r="17" spans="1:19" ht="15">
      <c r="A17" s="218" t="s">
        <v>87</v>
      </c>
      <c r="B17" s="549">
        <f>'Sch. G 2018'!H17</f>
        <v>100098436</v>
      </c>
      <c r="C17" s="549">
        <v>13391725.75</v>
      </c>
      <c r="D17" s="549">
        <v>0</v>
      </c>
      <c r="E17" s="549">
        <v>0</v>
      </c>
      <c r="F17" s="549">
        <v>-13355.5</v>
      </c>
      <c r="G17" s="549">
        <v>0</v>
      </c>
      <c r="H17" s="195">
        <f t="shared" si="0"/>
        <v>113476806.25</v>
      </c>
      <c r="I17" s="194"/>
      <c r="J17" s="550" t="s">
        <v>87</v>
      </c>
      <c r="K17" s="549">
        <f>'Sch. G 2018'!S17</f>
        <v>6967976</v>
      </c>
      <c r="L17" s="549">
        <v>2205811.5300000003</v>
      </c>
      <c r="M17" s="549">
        <v>0</v>
      </c>
      <c r="N17" s="549">
        <v>0</v>
      </c>
      <c r="O17" s="549">
        <v>0</v>
      </c>
      <c r="P17" s="549">
        <v>-91994.669999999998</v>
      </c>
      <c r="Q17" s="549">
        <v>-13355.6</v>
      </c>
      <c r="R17" s="549">
        <v>0</v>
      </c>
      <c r="S17" s="197">
        <f t="shared" si="1"/>
        <v>9068437</v>
      </c>
    </row>
    <row r="18" spans="1:19" ht="15">
      <c r="A18" s="218" t="s">
        <v>199</v>
      </c>
      <c r="B18" s="549">
        <f>'Sch. G 2018'!H18</f>
        <v>4359740</v>
      </c>
      <c r="C18" s="549">
        <v>155769.14000000001</v>
      </c>
      <c r="D18" s="549">
        <v>-1542.8099999999999</v>
      </c>
      <c r="E18" s="549">
        <v>0</v>
      </c>
      <c r="F18" s="549">
        <v>0</v>
      </c>
      <c r="G18" s="549">
        <v>0</v>
      </c>
      <c r="H18" s="195">
        <f t="shared" si="0"/>
        <v>4513966.3300000001</v>
      </c>
      <c r="I18" s="194"/>
      <c r="J18" s="550" t="s">
        <v>199</v>
      </c>
      <c r="K18" s="549">
        <f>'Sch. G 2018'!S18</f>
        <v>1098958</v>
      </c>
      <c r="L18" s="549">
        <v>152636</v>
      </c>
      <c r="M18" s="549">
        <v>0</v>
      </c>
      <c r="N18" s="549">
        <v>-1542.8099999999999</v>
      </c>
      <c r="O18" s="549">
        <v>0</v>
      </c>
      <c r="P18" s="549">
        <v>-20792.299999999999</v>
      </c>
      <c r="Q18" s="549">
        <v>0</v>
      </c>
      <c r="R18" s="549">
        <v>0</v>
      </c>
      <c r="S18" s="197">
        <f t="shared" si="1"/>
        <v>1229259</v>
      </c>
    </row>
    <row r="19" spans="1:19" ht="15">
      <c r="A19" s="218" t="s">
        <v>200</v>
      </c>
      <c r="B19" s="549">
        <f>'Sch. G 2018'!H19</f>
        <v>13017664</v>
      </c>
      <c r="C19" s="549">
        <v>591642.14000000001</v>
      </c>
      <c r="D19" s="549">
        <v>0</v>
      </c>
      <c r="E19" s="549">
        <v>0</v>
      </c>
      <c r="F19" s="549">
        <v>0.040000000000000001</v>
      </c>
      <c r="G19" s="549">
        <v>0</v>
      </c>
      <c r="H19" s="195">
        <f t="shared" si="0"/>
        <v>13609306.18</v>
      </c>
      <c r="I19" s="194"/>
      <c r="J19" s="550" t="s">
        <v>200</v>
      </c>
      <c r="K19" s="549">
        <f>'Sch. G 2018'!S19</f>
        <v>4314506</v>
      </c>
      <c r="L19" s="549">
        <v>416479</v>
      </c>
      <c r="M19" s="549">
        <v>0</v>
      </c>
      <c r="N19" s="549">
        <v>0</v>
      </c>
      <c r="O19" s="549">
        <v>0</v>
      </c>
      <c r="P19" s="549">
        <v>-118201.17999999999</v>
      </c>
      <c r="Q19" s="549">
        <v>0</v>
      </c>
      <c r="R19" s="549">
        <v>0</v>
      </c>
      <c r="S19" s="197">
        <f t="shared" si="1"/>
        <v>4612784</v>
      </c>
    </row>
    <row r="20" spans="1:19" ht="15">
      <c r="A20" s="218">
        <v>3801</v>
      </c>
      <c r="B20" s="549">
        <f>'Sch. G 2018'!H20</f>
        <v>51151357</v>
      </c>
      <c r="C20" s="549">
        <v>4326029.0099999998</v>
      </c>
      <c r="D20" s="549">
        <v>-339686.29999999993</v>
      </c>
      <c r="E20" s="549">
        <v>0</v>
      </c>
      <c r="F20" s="549">
        <v>0</v>
      </c>
      <c r="G20" s="549">
        <v>0</v>
      </c>
      <c r="H20" s="195">
        <f t="shared" si="0"/>
        <v>55137699.710000001</v>
      </c>
      <c r="I20" s="194"/>
      <c r="J20" s="550">
        <v>3801</v>
      </c>
      <c r="K20" s="549">
        <f>'Sch. G 2018'!S20</f>
        <v>13365591</v>
      </c>
      <c r="L20" s="549">
        <v>1159634.8700000001</v>
      </c>
      <c r="M20" s="549">
        <v>0</v>
      </c>
      <c r="N20" s="549">
        <v>-339686.29999999993</v>
      </c>
      <c r="O20" s="549">
        <v>600</v>
      </c>
      <c r="P20" s="549">
        <v>-398477.62999999995</v>
      </c>
      <c r="Q20" s="549">
        <v>0</v>
      </c>
      <c r="R20" s="549">
        <v>0</v>
      </c>
      <c r="S20" s="197">
        <f t="shared" si="1"/>
        <v>13787662</v>
      </c>
    </row>
    <row r="21" spans="1:19" ht="15">
      <c r="A21" s="218">
        <v>3802</v>
      </c>
      <c r="B21" s="549">
        <f>'Sch. G 2018'!H21</f>
        <v>1788293</v>
      </c>
      <c r="C21" s="549">
        <v>0</v>
      </c>
      <c r="D21" s="549">
        <v>-72249.549999999988</v>
      </c>
      <c r="E21" s="549">
        <v>0</v>
      </c>
      <c r="F21" s="549">
        <v>-377</v>
      </c>
      <c r="G21" s="549">
        <v>0</v>
      </c>
      <c r="H21" s="195">
        <f t="shared" si="0"/>
        <v>1715666.45</v>
      </c>
      <c r="I21" s="194"/>
      <c r="J21" s="550">
        <v>3802</v>
      </c>
      <c r="K21" s="549">
        <f>'Sch. G 2018'!S21</f>
        <v>2616108</v>
      </c>
      <c r="L21" s="549">
        <v>161755</v>
      </c>
      <c r="M21" s="549">
        <v>0</v>
      </c>
      <c r="N21" s="549">
        <v>-72249.549999999988</v>
      </c>
      <c r="O21" s="549">
        <v>0</v>
      </c>
      <c r="P21" s="549">
        <v>-350282.45999999996</v>
      </c>
      <c r="Q21" s="549">
        <v>0</v>
      </c>
      <c r="R21" s="549">
        <v>0</v>
      </c>
      <c r="S21" s="197">
        <f t="shared" si="1"/>
        <v>2355331</v>
      </c>
    </row>
    <row r="22" spans="1:19" ht="15">
      <c r="A22" s="218" t="s">
        <v>95</v>
      </c>
      <c r="B22" s="549">
        <f>'Sch. G 2018'!H22</f>
        <v>25851783</v>
      </c>
      <c r="C22" s="549">
        <v>3909775.6499999999</v>
      </c>
      <c r="D22" s="549">
        <v>0</v>
      </c>
      <c r="E22" s="549">
        <v>0</v>
      </c>
      <c r="F22" s="549">
        <v>0</v>
      </c>
      <c r="G22" s="549">
        <v>0</v>
      </c>
      <c r="H22" s="195">
        <f t="shared" si="0"/>
        <v>29761558.649999999</v>
      </c>
      <c r="I22" s="194"/>
      <c r="J22" s="550" t="s">
        <v>95</v>
      </c>
      <c r="K22" s="549">
        <f>'Sch. G 2018'!S22</f>
        <v>36109</v>
      </c>
      <c r="L22" s="549">
        <v>595814</v>
      </c>
      <c r="M22" s="549">
        <v>0</v>
      </c>
      <c r="N22" s="549">
        <v>0</v>
      </c>
      <c r="O22" s="549">
        <v>0</v>
      </c>
      <c r="P22" s="549">
        <v>-15878.040000000001</v>
      </c>
      <c r="Q22" s="549">
        <v>0</v>
      </c>
      <c r="R22" s="549">
        <v>0</v>
      </c>
      <c r="S22" s="197">
        <f t="shared" si="1"/>
        <v>616045</v>
      </c>
    </row>
    <row r="23" spans="1:19" ht="15">
      <c r="A23" s="218" t="s">
        <v>201</v>
      </c>
      <c r="B23" s="549">
        <f>'Sch. G 2018'!H23</f>
        <v>16659827</v>
      </c>
      <c r="C23" s="549">
        <v>2370621.2199999997</v>
      </c>
      <c r="D23" s="549">
        <v>-334860.79000000004</v>
      </c>
      <c r="E23" s="549">
        <v>0</v>
      </c>
      <c r="F23" s="549">
        <v>-783584.81999999995</v>
      </c>
      <c r="G23" s="549">
        <v>0</v>
      </c>
      <c r="H23" s="195">
        <f t="shared" si="0"/>
        <v>17912002.609999999</v>
      </c>
      <c r="I23" s="194"/>
      <c r="J23" s="550" t="s">
        <v>201</v>
      </c>
      <c r="K23" s="549">
        <f>'Sch. G 2018'!S23</f>
        <v>6373227</v>
      </c>
      <c r="L23" s="549">
        <v>604553</v>
      </c>
      <c r="M23" s="549">
        <v>0</v>
      </c>
      <c r="N23" s="549">
        <v>-334860.79000000004</v>
      </c>
      <c r="O23" s="549">
        <v>0</v>
      </c>
      <c r="P23" s="549">
        <v>-45</v>
      </c>
      <c r="Q23" s="549">
        <v>-839639.58999999997</v>
      </c>
      <c r="R23" s="549">
        <v>0</v>
      </c>
      <c r="S23" s="197">
        <f t="shared" si="1"/>
        <v>5803235</v>
      </c>
    </row>
    <row r="24" spans="1:19" ht="15">
      <c r="A24" s="218">
        <v>3811</v>
      </c>
      <c r="B24" s="549">
        <f>'Sch. G 2018'!H24</f>
        <v>2236536</v>
      </c>
      <c r="C24" s="549">
        <v>0</v>
      </c>
      <c r="D24" s="549">
        <v>0</v>
      </c>
      <c r="E24" s="549">
        <v>0</v>
      </c>
      <c r="F24" s="549">
        <v>0</v>
      </c>
      <c r="G24" s="549">
        <v>0</v>
      </c>
      <c r="H24" s="195">
        <f t="shared" si="0"/>
        <v>2236536</v>
      </c>
      <c r="I24" s="194"/>
      <c r="J24" s="550">
        <v>3811</v>
      </c>
      <c r="K24" s="549">
        <f>'Sch. G 2018'!S24</f>
        <v>1063431</v>
      </c>
      <c r="L24" s="549">
        <v>96852</v>
      </c>
      <c r="M24" s="549">
        <v>0</v>
      </c>
      <c r="N24" s="549">
        <v>0</v>
      </c>
      <c r="O24" s="549">
        <v>0</v>
      </c>
      <c r="P24" s="549">
        <v>0</v>
      </c>
      <c r="Q24" s="549">
        <v>0</v>
      </c>
      <c r="R24" s="549">
        <v>0</v>
      </c>
      <c r="S24" s="197">
        <f t="shared" si="1"/>
        <v>1160283</v>
      </c>
    </row>
    <row r="25" spans="1:19" ht="15">
      <c r="A25" s="218" t="s">
        <v>202</v>
      </c>
      <c r="B25" s="549">
        <f>'Sch. G 2018'!H25</f>
        <v>13526048</v>
      </c>
      <c r="C25" s="549">
        <v>1418540.0600000001</v>
      </c>
      <c r="D25" s="549">
        <v>-17343.549999999999</v>
      </c>
      <c r="E25" s="549">
        <v>0</v>
      </c>
      <c r="F25" s="549">
        <v>0</v>
      </c>
      <c r="G25" s="549">
        <v>0</v>
      </c>
      <c r="H25" s="195">
        <f t="shared" si="0"/>
        <v>14927244.51</v>
      </c>
      <c r="I25" s="194"/>
      <c r="J25" s="550" t="s">
        <v>202</v>
      </c>
      <c r="K25" s="549">
        <f>'Sch. G 2018'!S25</f>
        <v>3213386</v>
      </c>
      <c r="L25" s="549">
        <v>451694</v>
      </c>
      <c r="M25" s="549">
        <v>0</v>
      </c>
      <c r="N25" s="549">
        <v>-17343.549999999999</v>
      </c>
      <c r="O25" s="549">
        <v>315</v>
      </c>
      <c r="P25" s="549">
        <v>-41688.779999999999</v>
      </c>
      <c r="Q25" s="549">
        <v>-1101</v>
      </c>
      <c r="R25" s="549">
        <v>0</v>
      </c>
      <c r="S25" s="197">
        <f t="shared" si="1"/>
        <v>3605262</v>
      </c>
    </row>
    <row r="26" spans="1:19" ht="15">
      <c r="A26" s="218">
        <v>3821</v>
      </c>
      <c r="B26" s="549">
        <f>'Sch. G 2018'!H26</f>
        <v>593040</v>
      </c>
      <c r="C26" s="549">
        <v>0</v>
      </c>
      <c r="D26" s="549">
        <v>0</v>
      </c>
      <c r="E26" s="549">
        <v>0</v>
      </c>
      <c r="F26" s="549">
        <v>0</v>
      </c>
      <c r="G26" s="549">
        <v>0</v>
      </c>
      <c r="H26" s="195">
        <f t="shared" si="0"/>
        <v>593040</v>
      </c>
      <c r="I26" s="194"/>
      <c r="J26" s="550">
        <v>3821</v>
      </c>
      <c r="K26" s="549">
        <f>'Sch. G 2018'!S26</f>
        <v>221768</v>
      </c>
      <c r="L26" s="549">
        <v>15420</v>
      </c>
      <c r="M26" s="549">
        <v>0</v>
      </c>
      <c r="N26" s="549">
        <v>0</v>
      </c>
      <c r="O26" s="549">
        <v>0</v>
      </c>
      <c r="P26" s="549">
        <v>0</v>
      </c>
      <c r="Q26" s="549">
        <v>0</v>
      </c>
      <c r="R26" s="549">
        <v>0</v>
      </c>
      <c r="S26" s="197">
        <f t="shared" si="1"/>
        <v>237188</v>
      </c>
    </row>
    <row r="27" spans="1:19" ht="15">
      <c r="A27" s="218" t="s">
        <v>203</v>
      </c>
      <c r="B27" s="549">
        <f>'Sch. G 2018'!H27</f>
        <v>5318803</v>
      </c>
      <c r="C27" s="549">
        <v>445272.53000000003</v>
      </c>
      <c r="D27" s="549">
        <v>-15612.139999999998</v>
      </c>
      <c r="E27" s="549">
        <v>0</v>
      </c>
      <c r="F27" s="549">
        <v>-68961.649999999994</v>
      </c>
      <c r="G27" s="549">
        <v>0</v>
      </c>
      <c r="H27" s="195">
        <f t="shared" si="0"/>
        <v>5679501.7400000002</v>
      </c>
      <c r="I27" s="194"/>
      <c r="J27" s="550" t="s">
        <v>203</v>
      </c>
      <c r="K27" s="549">
        <f>'Sch. G 2018'!S27</f>
        <v>2445409</v>
      </c>
      <c r="L27" s="549">
        <v>179110</v>
      </c>
      <c r="M27" s="549">
        <v>0</v>
      </c>
      <c r="N27" s="549">
        <v>-15612.139999999998</v>
      </c>
      <c r="O27" s="549">
        <v>0</v>
      </c>
      <c r="P27" s="549">
        <v>-9544.5</v>
      </c>
      <c r="Q27" s="549">
        <v>-74283.239999999991</v>
      </c>
      <c r="R27" s="549">
        <v>0</v>
      </c>
      <c r="S27" s="197">
        <f t="shared" si="1"/>
        <v>2525079</v>
      </c>
    </row>
    <row r="28" spans="1:19" ht="15">
      <c r="A28" s="218" t="s">
        <v>204</v>
      </c>
      <c r="B28" s="549">
        <f>'Sch. G 2018'!H28</f>
        <v>1043408</v>
      </c>
      <c r="C28" s="549">
        <v>343.05000000000001</v>
      </c>
      <c r="D28" s="549">
        <v>0</v>
      </c>
      <c r="E28" s="549">
        <v>0</v>
      </c>
      <c r="F28" s="549">
        <v>0</v>
      </c>
      <c r="G28" s="549">
        <v>0</v>
      </c>
      <c r="H28" s="195">
        <f t="shared" si="0"/>
        <v>1043751.05</v>
      </c>
      <c r="I28" s="194"/>
      <c r="J28" s="550" t="s">
        <v>204</v>
      </c>
      <c r="K28" s="549">
        <f>'Sch. G 2018'!S28</f>
        <v>580700</v>
      </c>
      <c r="L28" s="549">
        <v>28177</v>
      </c>
      <c r="M28" s="549">
        <v>0</v>
      </c>
      <c r="N28" s="549">
        <v>0</v>
      </c>
      <c r="O28" s="549">
        <v>0</v>
      </c>
      <c r="P28" s="549">
        <v>0</v>
      </c>
      <c r="Q28" s="549">
        <v>0</v>
      </c>
      <c r="R28" s="549">
        <v>0</v>
      </c>
      <c r="S28" s="197">
        <f t="shared" si="1"/>
        <v>608877</v>
      </c>
    </row>
    <row r="29" spans="1:19" ht="15">
      <c r="A29" s="218" t="s">
        <v>205</v>
      </c>
      <c r="B29" s="549">
        <f>'Sch. G 2018'!H29</f>
        <v>1848723</v>
      </c>
      <c r="C29" s="549">
        <v>1100</v>
      </c>
      <c r="D29" s="549">
        <v>0</v>
      </c>
      <c r="E29" s="549">
        <v>0</v>
      </c>
      <c r="F29" s="549">
        <v>0</v>
      </c>
      <c r="G29" s="549">
        <v>0</v>
      </c>
      <c r="H29" s="195">
        <f t="shared" si="0"/>
        <v>1849823</v>
      </c>
      <c r="I29" s="194"/>
      <c r="J29" s="550" t="s">
        <v>205</v>
      </c>
      <c r="K29" s="549">
        <f>'Sch. G 2018'!S29</f>
        <v>1102495</v>
      </c>
      <c r="L29" s="549">
        <v>42560</v>
      </c>
      <c r="M29" s="549">
        <v>0</v>
      </c>
      <c r="N29" s="549">
        <v>0</v>
      </c>
      <c r="O29" s="549">
        <v>0</v>
      </c>
      <c r="P29" s="549">
        <v>0</v>
      </c>
      <c r="Q29" s="549">
        <v>0</v>
      </c>
      <c r="R29" s="549">
        <v>0</v>
      </c>
      <c r="S29" s="197">
        <f t="shared" si="1"/>
        <v>1145055</v>
      </c>
    </row>
    <row r="30" spans="1:19" ht="15">
      <c r="A30" s="218" t="s">
        <v>206</v>
      </c>
      <c r="B30" s="549">
        <f>'Sch. G 2018'!H30</f>
        <v>2944227</v>
      </c>
      <c r="C30" s="549">
        <v>97983.009999999995</v>
      </c>
      <c r="D30" s="549">
        <v>0</v>
      </c>
      <c r="E30" s="549">
        <v>0</v>
      </c>
      <c r="F30" s="549">
        <v>0</v>
      </c>
      <c r="G30" s="549">
        <v>0</v>
      </c>
      <c r="H30" s="195">
        <f t="shared" si="0"/>
        <v>3042210.0099999998</v>
      </c>
      <c r="I30" s="194"/>
      <c r="J30" s="550" t="s">
        <v>206</v>
      </c>
      <c r="K30" s="549">
        <f>'Sch. G 2018'!S30</f>
        <v>1096350</v>
      </c>
      <c r="L30" s="549">
        <v>118748.29000000001</v>
      </c>
      <c r="M30" s="549">
        <v>0</v>
      </c>
      <c r="N30" s="549">
        <v>0</v>
      </c>
      <c r="O30" s="549">
        <v>0</v>
      </c>
      <c r="P30" s="549">
        <v>0</v>
      </c>
      <c r="Q30" s="549">
        <v>0</v>
      </c>
      <c r="R30" s="549">
        <v>0</v>
      </c>
      <c r="S30" s="197">
        <f t="shared" si="1"/>
        <v>1215098</v>
      </c>
    </row>
    <row r="31" spans="1:19" ht="15">
      <c r="A31" s="218" t="s">
        <v>207</v>
      </c>
      <c r="B31" s="549">
        <f>'Sch. G 2018'!H31</f>
        <v>4904327</v>
      </c>
      <c r="C31" s="549">
        <v>5022.6999999999998</v>
      </c>
      <c r="D31" s="549">
        <v>0</v>
      </c>
      <c r="E31" s="549">
        <v>0</v>
      </c>
      <c r="F31" s="549">
        <v>0</v>
      </c>
      <c r="G31" s="549">
        <v>0</v>
      </c>
      <c r="H31" s="195">
        <f t="shared" si="0"/>
        <v>4909349.7000000002</v>
      </c>
      <c r="I31" s="194"/>
      <c r="J31" s="550" t="s">
        <v>207</v>
      </c>
      <c r="K31" s="549">
        <f>'Sch. G 2018'!S31</f>
        <v>1318</v>
      </c>
      <c r="L31" s="549">
        <v>0</v>
      </c>
      <c r="M31" s="549">
        <v>0</v>
      </c>
      <c r="N31" s="549">
        <v>0</v>
      </c>
      <c r="O31" s="549">
        <v>0</v>
      </c>
      <c r="P31" s="549">
        <v>0</v>
      </c>
      <c r="Q31" s="549">
        <v>0</v>
      </c>
      <c r="R31" s="549">
        <v>0</v>
      </c>
      <c r="S31" s="197">
        <f t="shared" si="1"/>
        <v>1318</v>
      </c>
    </row>
    <row r="32" spans="1:19" ht="15">
      <c r="A32" s="218" t="s">
        <v>208</v>
      </c>
      <c r="B32" s="549">
        <f>'Sch. G 2018'!H32</f>
        <v>3138764</v>
      </c>
      <c r="C32" s="549">
        <v>6910825.5999999996</v>
      </c>
      <c r="D32" s="549">
        <v>-84753.699999999997</v>
      </c>
      <c r="E32" s="549">
        <v>0</v>
      </c>
      <c r="F32" s="549">
        <v>0</v>
      </c>
      <c r="G32" s="549">
        <v>0</v>
      </c>
      <c r="H32" s="195">
        <f t="shared" si="0"/>
        <v>9964835.9000000004</v>
      </c>
      <c r="I32" s="194"/>
      <c r="J32" s="550" t="s">
        <v>208</v>
      </c>
      <c r="K32" s="549">
        <f>'Sch. G 2018'!S32</f>
        <v>491419</v>
      </c>
      <c r="L32" s="549">
        <v>99359</v>
      </c>
      <c r="M32" s="549">
        <v>0</v>
      </c>
      <c r="N32" s="549">
        <v>-84753.699999999997</v>
      </c>
      <c r="O32" s="549">
        <v>0</v>
      </c>
      <c r="P32" s="549">
        <v>0</v>
      </c>
      <c r="Q32" s="549">
        <v>0</v>
      </c>
      <c r="R32" s="549">
        <v>0</v>
      </c>
      <c r="S32" s="197">
        <f t="shared" si="1"/>
        <v>506024</v>
      </c>
    </row>
    <row r="33" spans="1:19" ht="15">
      <c r="A33" s="218">
        <v>3910</v>
      </c>
      <c r="B33" s="549">
        <f>'Sch. G 2018'!H33</f>
        <v>1587323</v>
      </c>
      <c r="C33" s="549">
        <v>623821.80000000005</v>
      </c>
      <c r="D33" s="549">
        <v>-117964</v>
      </c>
      <c r="E33" s="549">
        <v>-165583.69</v>
      </c>
      <c r="F33" s="549">
        <v>-235098.84</v>
      </c>
      <c r="G33" s="549">
        <v>0</v>
      </c>
      <c r="H33" s="195">
        <f t="shared" si="0"/>
        <v>1692498.27</v>
      </c>
      <c r="I33" s="196"/>
      <c r="J33" s="550">
        <v>3910</v>
      </c>
      <c r="K33" s="549">
        <f>'Sch. G 2018'!S33</f>
        <v>350808</v>
      </c>
      <c r="L33" s="549">
        <v>337466.85000000003</v>
      </c>
      <c r="M33" s="549">
        <v>-50603.159999999996</v>
      </c>
      <c r="N33" s="549">
        <v>-117964</v>
      </c>
      <c r="O33" s="549">
        <v>0</v>
      </c>
      <c r="P33" s="549">
        <v>0</v>
      </c>
      <c r="Q33" s="549">
        <v>419803.96999999997</v>
      </c>
      <c r="R33" s="549">
        <v>0</v>
      </c>
      <c r="S33" s="192">
        <f t="shared" si="1"/>
        <v>939512</v>
      </c>
    </row>
    <row r="34" spans="1:19" ht="15">
      <c r="A34" s="218">
        <v>3912</v>
      </c>
      <c r="B34" s="549">
        <f>'Sch. G 2018'!H34</f>
        <v>1360659</v>
      </c>
      <c r="C34" s="549">
        <v>0</v>
      </c>
      <c r="D34" s="549">
        <v>-1212.8900000000001</v>
      </c>
      <c r="E34" s="549">
        <v>13945.23</v>
      </c>
      <c r="F34" s="549">
        <v>-205782.42000000001</v>
      </c>
      <c r="G34" s="549">
        <v>0</v>
      </c>
      <c r="H34" s="195">
        <f t="shared" si="0"/>
        <v>1167608.9199999999</v>
      </c>
      <c r="I34" s="196"/>
      <c r="J34" s="550">
        <v>3912</v>
      </c>
      <c r="K34" s="549">
        <f>'Sch. G 2018'!S34</f>
        <v>283007</v>
      </c>
      <c r="L34" s="549">
        <v>85582.529999999999</v>
      </c>
      <c r="M34" s="549">
        <v>12528.15</v>
      </c>
      <c r="N34" s="549">
        <v>-1212.8900000000001</v>
      </c>
      <c r="O34" s="549">
        <v>0</v>
      </c>
      <c r="P34" s="549">
        <v>0</v>
      </c>
      <c r="Q34" s="549">
        <v>-151317.03999999998</v>
      </c>
      <c r="R34" s="549">
        <v>0</v>
      </c>
      <c r="S34" s="192">
        <f t="shared" si="1"/>
        <v>228588</v>
      </c>
    </row>
    <row r="35" spans="1:19" ht="15">
      <c r="A35" s="218">
        <v>3913</v>
      </c>
      <c r="B35" s="549">
        <f>'Sch. G 2018'!H35</f>
        <v>1353826</v>
      </c>
      <c r="C35" s="549">
        <v>12177.280000000001</v>
      </c>
      <c r="D35" s="549">
        <v>-363442.77000000002</v>
      </c>
      <c r="E35" s="549">
        <v>0</v>
      </c>
      <c r="F35" s="549">
        <v>-325648.14000000001</v>
      </c>
      <c r="G35" s="549">
        <v>0</v>
      </c>
      <c r="H35" s="195">
        <f t="shared" si="0"/>
        <v>676912.37</v>
      </c>
      <c r="I35" s="196"/>
      <c r="J35" s="550">
        <v>3913</v>
      </c>
      <c r="K35" s="549">
        <f>'Sch. G 2018'!S35</f>
        <v>434164</v>
      </c>
      <c r="L35" s="549">
        <v>52735.419999999998</v>
      </c>
      <c r="M35" s="549">
        <v>0</v>
      </c>
      <c r="N35" s="549">
        <v>-363442.77000000002</v>
      </c>
      <c r="O35" s="549">
        <v>18000</v>
      </c>
      <c r="P35" s="549">
        <v>0</v>
      </c>
      <c r="Q35" s="549">
        <v>-100682.83</v>
      </c>
      <c r="R35" s="549">
        <v>0</v>
      </c>
      <c r="S35" s="192">
        <f t="shared" si="1"/>
        <v>40774</v>
      </c>
    </row>
    <row r="36" spans="1:19" ht="15">
      <c r="A36" s="218">
        <v>3914</v>
      </c>
      <c r="B36" s="549">
        <f>'Sch. G 2018'!H36</f>
        <v>7819155</v>
      </c>
      <c r="C36" s="549">
        <v>99218</v>
      </c>
      <c r="D36" s="549">
        <v>-12311.25</v>
      </c>
      <c r="E36" s="549">
        <v>0</v>
      </c>
      <c r="F36" s="549">
        <v>639307.59999999998</v>
      </c>
      <c r="G36" s="549">
        <v>0</v>
      </c>
      <c r="H36" s="195">
        <f t="shared" si="0"/>
        <v>8545369.3499999996</v>
      </c>
      <c r="I36" s="196"/>
      <c r="J36" s="550">
        <v>3914</v>
      </c>
      <c r="K36" s="549">
        <f>'Sch. G 2018'!S36</f>
        <v>2896970</v>
      </c>
      <c r="L36" s="549">
        <v>606602.52000000002</v>
      </c>
      <c r="M36" s="549">
        <v>0</v>
      </c>
      <c r="N36" s="549">
        <v>-12311.25</v>
      </c>
      <c r="O36" s="549">
        <v>0</v>
      </c>
      <c r="P36" s="549">
        <v>0</v>
      </c>
      <c r="Q36" s="549">
        <v>-53529.239999999998</v>
      </c>
      <c r="R36" s="549">
        <v>0</v>
      </c>
      <c r="S36" s="192">
        <f t="shared" si="1"/>
        <v>3437732</v>
      </c>
    </row>
    <row r="37" spans="1:19" ht="15">
      <c r="A37" s="218">
        <v>3921</v>
      </c>
      <c r="B37" s="549">
        <f>'Sch. G 2018'!H37</f>
        <v>286211</v>
      </c>
      <c r="C37" s="549">
        <v>29329</v>
      </c>
      <c r="D37" s="549">
        <v>-19778.849999999999</v>
      </c>
      <c r="E37" s="549">
        <v>0</v>
      </c>
      <c r="F37" s="549">
        <v>-8300</v>
      </c>
      <c r="G37" s="549">
        <v>0</v>
      </c>
      <c r="H37" s="195">
        <f t="shared" si="0"/>
        <v>287461.15000000002</v>
      </c>
      <c r="I37" s="196"/>
      <c r="J37" s="550">
        <v>3921</v>
      </c>
      <c r="K37" s="549">
        <f>'Sch. G 2018'!S37</f>
        <v>75468</v>
      </c>
      <c r="L37" s="549">
        <v>52706.080000000002</v>
      </c>
      <c r="M37" s="549">
        <v>0</v>
      </c>
      <c r="N37" s="549">
        <v>-19778.849999999999</v>
      </c>
      <c r="O37" s="549">
        <v>0</v>
      </c>
      <c r="P37" s="549">
        <v>0</v>
      </c>
      <c r="Q37" s="549">
        <v>0</v>
      </c>
      <c r="R37" s="549">
        <v>0</v>
      </c>
      <c r="S37" s="192">
        <f t="shared" si="1"/>
        <v>108395</v>
      </c>
    </row>
    <row r="38" spans="1:19" ht="15">
      <c r="A38" s="218">
        <v>3922</v>
      </c>
      <c r="B38" s="549">
        <f>'Sch. G 2018'!H38</f>
        <v>5388652</v>
      </c>
      <c r="C38" s="549">
        <v>238237.40999999997</v>
      </c>
      <c r="D38" s="549">
        <v>-228907.79000000004</v>
      </c>
      <c r="E38" s="549">
        <v>-2837.8899999999999</v>
      </c>
      <c r="F38" s="549">
        <v>0</v>
      </c>
      <c r="G38" s="549">
        <v>43391.089999999997</v>
      </c>
      <c r="H38" s="195">
        <f t="shared" si="0"/>
        <v>5438534.8200000003</v>
      </c>
      <c r="I38" s="196"/>
      <c r="J38" s="550">
        <v>3922</v>
      </c>
      <c r="K38" s="549">
        <f>'Sch. G 2018'!S38</f>
        <v>2005385</v>
      </c>
      <c r="L38" s="549">
        <v>450514.06</v>
      </c>
      <c r="M38" s="549">
        <v>-2837.8899999999999</v>
      </c>
      <c r="N38" s="549">
        <v>-228907.79000000004</v>
      </c>
      <c r="O38" s="549">
        <v>21805.799999999999</v>
      </c>
      <c r="P38" s="549">
        <v>0</v>
      </c>
      <c r="Q38" s="549">
        <v>-2815</v>
      </c>
      <c r="R38" s="549">
        <v>9401</v>
      </c>
      <c r="S38" s="192">
        <f t="shared" si="1"/>
        <v>2252545</v>
      </c>
    </row>
    <row r="39" spans="1:19" ht="15">
      <c r="A39" s="218">
        <v>3923</v>
      </c>
      <c r="B39" s="549">
        <f>'Sch. G 2018'!H39</f>
        <v>0</v>
      </c>
      <c r="C39" s="549">
        <v>0</v>
      </c>
      <c r="D39" s="549">
        <v>0</v>
      </c>
      <c r="E39" s="549">
        <v>0</v>
      </c>
      <c r="F39" s="549">
        <v>0</v>
      </c>
      <c r="G39" s="549">
        <v>0</v>
      </c>
      <c r="H39" s="195">
        <f t="shared" si="0"/>
        <v>0</v>
      </c>
      <c r="I39" s="196"/>
      <c r="J39" s="550">
        <v>3923</v>
      </c>
      <c r="K39" s="549">
        <f>'Sch. G 2018'!S39</f>
        <v>0</v>
      </c>
      <c r="L39" s="549">
        <v>0</v>
      </c>
      <c r="M39" s="549">
        <v>0</v>
      </c>
      <c r="N39" s="549">
        <v>0</v>
      </c>
      <c r="O39" s="549">
        <v>0</v>
      </c>
      <c r="P39" s="549">
        <v>0</v>
      </c>
      <c r="Q39" s="549">
        <v>0</v>
      </c>
      <c r="R39" s="549">
        <v>0</v>
      </c>
      <c r="S39" s="192">
        <f t="shared" si="1"/>
        <v>0</v>
      </c>
    </row>
    <row r="40" spans="1:19" ht="15">
      <c r="A40" s="218">
        <v>3924</v>
      </c>
      <c r="B40" s="549">
        <f>'Sch. G 2018'!H40</f>
        <v>88401</v>
      </c>
      <c r="C40" s="549">
        <v>0</v>
      </c>
      <c r="D40" s="549">
        <v>-7855.9399999999996</v>
      </c>
      <c r="E40" s="549">
        <v>-1481.1100000000001</v>
      </c>
      <c r="F40" s="549">
        <v>0</v>
      </c>
      <c r="G40" s="549">
        <v>0</v>
      </c>
      <c r="H40" s="195">
        <f t="shared" si="0"/>
        <v>79063.949999999997</v>
      </c>
      <c r="I40" s="196"/>
      <c r="J40" s="550">
        <v>3924</v>
      </c>
      <c r="K40" s="549">
        <f>'Sch. G 2018'!S40</f>
        <v>39481</v>
      </c>
      <c r="L40" s="549">
        <v>3744.9200000000001</v>
      </c>
      <c r="M40" s="549">
        <v>1697.7299999999998</v>
      </c>
      <c r="N40" s="549">
        <v>-7855.9399999999996</v>
      </c>
      <c r="O40" s="549">
        <v>0</v>
      </c>
      <c r="P40" s="549">
        <v>0</v>
      </c>
      <c r="Q40" s="549">
        <v>0</v>
      </c>
      <c r="R40" s="549">
        <v>0</v>
      </c>
      <c r="S40" s="192">
        <f t="shared" si="1"/>
        <v>37068</v>
      </c>
    </row>
    <row r="41" spans="1:19" ht="15">
      <c r="A41" s="218" t="s">
        <v>209</v>
      </c>
      <c r="B41" s="549">
        <f>'Sch. G 2018'!H41</f>
        <v>32698</v>
      </c>
      <c r="C41" s="549">
        <v>2928.75</v>
      </c>
      <c r="D41" s="549">
        <v>-7116.5900000000001</v>
      </c>
      <c r="E41" s="549">
        <v>0</v>
      </c>
      <c r="F41" s="549">
        <v>0</v>
      </c>
      <c r="G41" s="549">
        <v>0</v>
      </c>
      <c r="H41" s="195">
        <f t="shared" si="0"/>
        <v>28510.16</v>
      </c>
      <c r="I41" s="194"/>
      <c r="J41" s="550" t="s">
        <v>209</v>
      </c>
      <c r="K41" s="549">
        <f>'Sch. G 2018'!S41</f>
        <v>18704</v>
      </c>
      <c r="L41" s="549">
        <v>894.80999999999983</v>
      </c>
      <c r="M41" s="549">
        <v>0</v>
      </c>
      <c r="N41" s="549">
        <v>-7116.5900000000001</v>
      </c>
      <c r="O41" s="549">
        <v>0</v>
      </c>
      <c r="P41" s="549">
        <v>0</v>
      </c>
      <c r="Q41" s="549">
        <v>0</v>
      </c>
      <c r="R41" s="549">
        <v>0</v>
      </c>
      <c r="S41" s="192">
        <f t="shared" si="1"/>
        <v>12482</v>
      </c>
    </row>
    <row r="42" spans="1:19" ht="15">
      <c r="A42" s="218" t="s">
        <v>210</v>
      </c>
      <c r="B42" s="549">
        <f>'Sch. G 2018'!H42</f>
        <v>1243914</v>
      </c>
      <c r="C42" s="549">
        <v>134560.91999999998</v>
      </c>
      <c r="D42" s="549">
        <v>-319243.81999999995</v>
      </c>
      <c r="E42" s="549">
        <v>0</v>
      </c>
      <c r="F42" s="549">
        <v>0</v>
      </c>
      <c r="G42" s="549">
        <v>0</v>
      </c>
      <c r="H42" s="195">
        <f t="shared" si="0"/>
        <v>1059231.1000000001</v>
      </c>
      <c r="I42" s="194"/>
      <c r="J42" s="550" t="s">
        <v>210</v>
      </c>
      <c r="K42" s="549">
        <f>'Sch. G 2018'!S42</f>
        <v>800898</v>
      </c>
      <c r="L42" s="549">
        <v>84997.089999999997</v>
      </c>
      <c r="M42" s="549">
        <v>0</v>
      </c>
      <c r="N42" s="549">
        <v>-319243.81999999995</v>
      </c>
      <c r="O42" s="549">
        <v>0</v>
      </c>
      <c r="P42" s="549">
        <v>0</v>
      </c>
      <c r="Q42" s="549">
        <v>0</v>
      </c>
      <c r="R42" s="549">
        <v>0</v>
      </c>
      <c r="S42" s="192">
        <f t="shared" si="1"/>
        <v>566651</v>
      </c>
    </row>
    <row r="43" spans="1:19" ht="15">
      <c r="A43" s="218" t="s">
        <v>211</v>
      </c>
      <c r="B43" s="549">
        <f>'Sch. G 2018'!H43</f>
        <v>0</v>
      </c>
      <c r="C43" s="549">
        <v>0</v>
      </c>
      <c r="D43" s="549">
        <v>0</v>
      </c>
      <c r="E43" s="549">
        <v>0</v>
      </c>
      <c r="F43" s="549">
        <v>0</v>
      </c>
      <c r="G43" s="549">
        <v>0</v>
      </c>
      <c r="H43" s="195">
        <f t="shared" si="0"/>
        <v>0</v>
      </c>
      <c r="I43" s="194"/>
      <c r="J43" s="550" t="s">
        <v>211</v>
      </c>
      <c r="K43" s="549">
        <f>'Sch. G 2018'!S43</f>
        <v>0</v>
      </c>
      <c r="L43" s="549">
        <v>0</v>
      </c>
      <c r="M43" s="549">
        <v>0</v>
      </c>
      <c r="N43" s="549">
        <v>0</v>
      </c>
      <c r="O43" s="549">
        <v>0</v>
      </c>
      <c r="P43" s="549">
        <v>0</v>
      </c>
      <c r="Q43" s="549">
        <v>0</v>
      </c>
      <c r="R43" s="549">
        <v>0</v>
      </c>
      <c r="S43" s="192">
        <f t="shared" si="1"/>
        <v>0</v>
      </c>
    </row>
    <row r="44" spans="1:19" ht="15">
      <c r="A44" s="218" t="s">
        <v>212</v>
      </c>
      <c r="B44" s="549">
        <f>'Sch. G 2018'!H44</f>
        <v>1525131</v>
      </c>
      <c r="C44" s="549">
        <v>0</v>
      </c>
      <c r="D44" s="549">
        <v>-40024.419999999998</v>
      </c>
      <c r="E44" s="549">
        <v>4319</v>
      </c>
      <c r="F44" s="549">
        <v>0</v>
      </c>
      <c r="G44" s="549">
        <v>0</v>
      </c>
      <c r="H44" s="195">
        <f t="shared" si="0"/>
        <v>1489425.5800000001</v>
      </c>
      <c r="I44" s="194"/>
      <c r="J44" s="550" t="s">
        <v>212</v>
      </c>
      <c r="K44" s="549">
        <f>'Sch. G 2018'!S44</f>
        <v>932334</v>
      </c>
      <c r="L44" s="549">
        <v>52860</v>
      </c>
      <c r="M44" s="549">
        <v>1140.1600000000001</v>
      </c>
      <c r="N44" s="549">
        <v>-40024.419999999998</v>
      </c>
      <c r="O44" s="549">
        <v>4800</v>
      </c>
      <c r="P44" s="549">
        <v>0</v>
      </c>
      <c r="Q44" s="549">
        <v>0</v>
      </c>
      <c r="R44" s="549">
        <v>0</v>
      </c>
      <c r="S44" s="192">
        <f t="shared" si="1"/>
        <v>951110</v>
      </c>
    </row>
    <row r="45" spans="1:19" ht="15">
      <c r="A45" s="218" t="s">
        <v>213</v>
      </c>
      <c r="B45" s="549">
        <f>'Sch. G 2018'!H45</f>
        <v>2418952</v>
      </c>
      <c r="C45" s="549">
        <v>404813.92999999993</v>
      </c>
      <c r="D45" s="549">
        <v>-195703.27000000002</v>
      </c>
      <c r="E45" s="549">
        <v>151638</v>
      </c>
      <c r="F45" s="549">
        <v>159466.10000000001</v>
      </c>
      <c r="G45" s="549">
        <v>0</v>
      </c>
      <c r="H45" s="195">
        <f t="shared" si="0"/>
        <v>2939166.7599999998</v>
      </c>
      <c r="I45" s="194"/>
      <c r="J45" s="550" t="s">
        <v>213</v>
      </c>
      <c r="K45" s="549">
        <f>'Sch. G 2018'!S45</f>
        <v>1224912</v>
      </c>
      <c r="L45" s="549">
        <v>136038.14000000001</v>
      </c>
      <c r="M45" s="549">
        <v>38075.010000000002</v>
      </c>
      <c r="N45" s="549">
        <v>-195703.27000000002</v>
      </c>
      <c r="O45" s="549">
        <v>0</v>
      </c>
      <c r="P45" s="549">
        <v>0</v>
      </c>
      <c r="Q45" s="549">
        <v>6553.9499999999998</v>
      </c>
      <c r="R45" s="549">
        <v>0</v>
      </c>
      <c r="S45" s="192">
        <f t="shared" si="1"/>
        <v>1209876</v>
      </c>
    </row>
    <row r="46" spans="1:19" ht="15">
      <c r="A46" s="218" t="s">
        <v>214</v>
      </c>
      <c r="B46" s="549">
        <f>'Sch. G 2018'!H46</f>
        <v>412120</v>
      </c>
      <c r="C46" s="549">
        <v>16682.830000000002</v>
      </c>
      <c r="D46" s="549">
        <v>-54625.860000000001</v>
      </c>
      <c r="E46" s="549">
        <v>0</v>
      </c>
      <c r="F46" s="549">
        <v>29502</v>
      </c>
      <c r="G46" s="549">
        <v>0</v>
      </c>
      <c r="H46" s="195">
        <f t="shared" si="0"/>
        <v>403678.96999999997</v>
      </c>
      <c r="I46" s="194"/>
      <c r="J46" s="550" t="s">
        <v>214</v>
      </c>
      <c r="K46" s="549">
        <f>'Sch. G 2018'!S46</f>
        <v>207236</v>
      </c>
      <c r="L46" s="549">
        <v>28220.239999999998</v>
      </c>
      <c r="M46" s="549">
        <v>0</v>
      </c>
      <c r="N46" s="549">
        <v>-54625.860000000001</v>
      </c>
      <c r="O46" s="549">
        <v>0</v>
      </c>
      <c r="P46" s="549">
        <v>0</v>
      </c>
      <c r="Q46" s="549">
        <v>0</v>
      </c>
      <c r="R46" s="549">
        <v>0</v>
      </c>
      <c r="S46" s="192">
        <f t="shared" si="1"/>
        <v>180830</v>
      </c>
    </row>
    <row r="47" spans="1:19" ht="15">
      <c r="A47" s="218" t="s">
        <v>215</v>
      </c>
      <c r="B47" s="549">
        <f>'Sch. G 2018'!H47</f>
        <v>24970</v>
      </c>
      <c r="C47" s="549">
        <v>0</v>
      </c>
      <c r="D47" s="549">
        <v>0</v>
      </c>
      <c r="E47" s="549">
        <v>0</v>
      </c>
      <c r="F47" s="549">
        <v>0</v>
      </c>
      <c r="G47" s="549">
        <v>0</v>
      </c>
      <c r="H47" s="195">
        <f>ROUND(SUM(B47:G47),0)</f>
        <v>24970</v>
      </c>
      <c r="I47" s="194"/>
      <c r="J47" s="550" t="s">
        <v>215</v>
      </c>
      <c r="K47" s="549">
        <f>'Sch. G 2018'!S47</f>
        <v>24970</v>
      </c>
      <c r="L47" s="549">
        <v>0</v>
      </c>
      <c r="M47" s="549">
        <v>0</v>
      </c>
      <c r="N47" s="549">
        <v>0</v>
      </c>
      <c r="O47" s="549">
        <v>0</v>
      </c>
      <c r="P47" s="549">
        <v>0</v>
      </c>
      <c r="Q47" s="549">
        <v>0</v>
      </c>
      <c r="R47" s="549">
        <v>0</v>
      </c>
      <c r="S47" s="192">
        <f t="shared" si="1"/>
        <v>24970</v>
      </c>
    </row>
    <row r="48" spans="1:19" ht="15.75" thickBot="1">
      <c r="A48" s="191"/>
      <c r="B48" s="187">
        <f t="shared" si="2" ref="B48:H48">ROUND(SUM(B9:B47),0)</f>
        <v>428320073</v>
      </c>
      <c r="C48" s="187">
        <f t="shared" si="2"/>
        <v>42489938</v>
      </c>
      <c r="D48" s="187">
        <f t="shared" si="2"/>
        <v>-2831640</v>
      </c>
      <c r="E48" s="187">
        <f t="shared" si="2"/>
        <v>0</v>
      </c>
      <c r="F48" s="188">
        <f t="shared" si="2"/>
        <v>-799477</v>
      </c>
      <c r="G48" s="187">
        <f t="shared" si="2"/>
        <v>-477881</v>
      </c>
      <c r="H48" s="187">
        <f t="shared" si="2"/>
        <v>466701012</v>
      </c>
      <c r="I48" s="190"/>
      <c r="J48" s="189"/>
      <c r="K48" s="188">
        <f t="shared" si="3" ref="K48:S48">ROUND(SUM(K9:K47),0)</f>
        <v>109046740</v>
      </c>
      <c r="L48" s="188">
        <f t="shared" si="3"/>
        <v>11623123</v>
      </c>
      <c r="M48" s="188">
        <f t="shared" si="3"/>
        <v>0</v>
      </c>
      <c r="N48" s="188">
        <f t="shared" si="3"/>
        <v>-2831640</v>
      </c>
      <c r="O48" s="188">
        <f t="shared" si="3"/>
        <v>45521</v>
      </c>
      <c r="P48" s="188">
        <f t="shared" si="3"/>
        <v>-1575411</v>
      </c>
      <c r="Q48" s="188">
        <f t="shared" si="3"/>
        <v>-797026</v>
      </c>
      <c r="R48" s="187">
        <f t="shared" si="3"/>
        <v>-410253</v>
      </c>
      <c r="S48" s="186">
        <f t="shared" si="3"/>
        <v>115101054</v>
      </c>
    </row>
    <row r="49" ht="15.75" thickTop="1"/>
  </sheetData>
  <mergeCells count="6">
    <mergeCell ref="A1:S1"/>
    <mergeCell ref="A2:S2"/>
    <mergeCell ref="A3:S3"/>
    <mergeCell ref="A4:S4"/>
    <mergeCell ref="A6:H6"/>
    <mergeCell ref="J6:S6"/>
  </mergeCells>
  <printOptions horizontalCentered="1"/>
  <pageMargins left="0.5" right="0.5" top="0.97" bottom="0.5" header="0.5" footer="0.2"/>
  <pageSetup orientation="landscape" scale="62"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T60"/>
  <sheetViews>
    <sheetView workbookViewId="0" topLeftCell="A41">
      <selection pane="topLeft" activeCell="A41" sqref="A1:XFD1048576"/>
    </sheetView>
  </sheetViews>
  <sheetFormatPr defaultColWidth="8.71428571428571" defaultRowHeight="15"/>
  <cols>
    <col min="1" max="1" width="11.4285714285714" bestFit="1" customWidth="1"/>
    <col min="2" max="2" width="14.2857142857143" bestFit="1" customWidth="1"/>
    <col min="3" max="3" width="17.1428571428571" bestFit="1" customWidth="1"/>
    <col min="4" max="4" width="9.28571428571429" customWidth="1"/>
    <col min="5" max="5" width="8.14285714285714" style="219" customWidth="1"/>
    <col min="6" max="6" width="10.4285714285714" bestFit="1" customWidth="1"/>
    <col min="7" max="7" width="13.2857142857143" bestFit="1" customWidth="1"/>
    <col min="8" max="8" width="15.4285714285714" bestFit="1" customWidth="1"/>
    <col min="9" max="9" width="42.1428571428571" customWidth="1"/>
    <col min="10" max="10" width="36.5714285714286" customWidth="1"/>
  </cols>
  <sheetData>
    <row r="1" spans="1:14" s="649" customFormat="1" ht="18.75">
      <c r="A1" s="924" t="s">
        <v>56</v>
      </c>
      <c r="B1" s="924"/>
      <c r="C1" s="924"/>
      <c r="D1" s="924"/>
      <c r="E1" s="924"/>
      <c r="F1" s="924"/>
      <c r="G1" s="924"/>
      <c r="H1" s="924"/>
      <c r="I1" s="924"/>
      <c r="J1" s="648"/>
      <c r="K1" s="648"/>
      <c r="L1" s="648"/>
      <c r="M1" s="648"/>
      <c r="N1" s="648"/>
    </row>
    <row r="2" spans="1:21" s="651" customFormat="1" ht="15">
      <c r="A2" s="929" t="str">
        <f>Input!B3</f>
        <v>FPUC, FPUC - Common, FPUC - Indiantown, Florida Division of Chesapeake Utilities Corporation, FPUC - Ft Meade</v>
      </c>
      <c r="B2" s="929"/>
      <c r="C2" s="929"/>
      <c r="D2" s="929"/>
      <c r="E2" s="929"/>
      <c r="F2" s="929"/>
      <c r="G2" s="929"/>
      <c r="H2" s="929"/>
      <c r="I2" s="929"/>
      <c r="J2" s="650"/>
      <c r="K2" s="650"/>
      <c r="L2" s="650"/>
      <c r="M2" s="650"/>
      <c r="N2" s="650"/>
      <c r="O2" s="650"/>
      <c r="P2" s="650"/>
      <c r="Q2" s="650"/>
      <c r="R2" s="650"/>
      <c r="S2" s="650"/>
      <c r="T2" s="650"/>
      <c r="U2" s="650"/>
    </row>
    <row r="3" spans="1:21" s="653" customFormat="1" ht="15.75">
      <c r="A3" s="930" t="s">
        <v>216</v>
      </c>
      <c r="B3" s="930"/>
      <c r="C3" s="930"/>
      <c r="D3" s="930"/>
      <c r="E3" s="930"/>
      <c r="F3" s="930"/>
      <c r="G3" s="930"/>
      <c r="H3" s="930"/>
      <c r="I3" s="930"/>
      <c r="J3" s="652"/>
      <c r="K3" s="652"/>
      <c r="L3" s="652"/>
      <c r="M3" s="652"/>
      <c r="N3" s="652"/>
      <c r="O3" s="652"/>
      <c r="P3" s="652"/>
      <c r="Q3" s="652"/>
      <c r="R3" s="652"/>
      <c r="S3" s="652"/>
      <c r="T3" s="652"/>
      <c r="U3" s="652"/>
    </row>
    <row r="4" spans="1:21" s="653" customFormat="1" ht="15.75">
      <c r="A4" s="931" t="s">
        <v>294</v>
      </c>
      <c r="B4" s="931"/>
      <c r="C4" s="931"/>
      <c r="D4" s="931"/>
      <c r="E4" s="931"/>
      <c r="F4" s="931"/>
      <c r="G4" s="931"/>
      <c r="H4" s="931"/>
      <c r="I4" s="931"/>
      <c r="J4" s="654"/>
      <c r="K4" s="654"/>
      <c r="L4" s="654"/>
      <c r="M4" s="654"/>
      <c r="N4" s="654"/>
      <c r="O4" s="654"/>
      <c r="P4" s="654"/>
      <c r="Q4" s="654"/>
      <c r="R4" s="654"/>
      <c r="S4" s="654"/>
      <c r="T4" s="654"/>
      <c r="U4" s="654"/>
    </row>
    <row r="5" spans="1:21" ht="15.75" thickBot="1">
      <c r="A5" s="335"/>
      <c r="B5" s="335"/>
      <c r="C5" s="335"/>
      <c r="D5" s="335"/>
      <c r="E5" s="431"/>
      <c r="F5" s="335"/>
      <c r="G5" s="335"/>
      <c r="H5" s="335"/>
      <c r="I5" s="335"/>
      <c r="J5" s="335"/>
      <c r="K5" s="335"/>
      <c r="L5" s="335"/>
      <c r="M5" s="335"/>
      <c r="N5" s="335"/>
      <c r="O5" s="335"/>
      <c r="P5" s="335"/>
      <c r="Q5" s="335"/>
      <c r="R5" s="335"/>
      <c r="S5" s="335"/>
      <c r="T5" s="335"/>
      <c r="U5" s="335"/>
    </row>
    <row r="6" spans="1:98" s="219" customFormat="1" ht="27" thickBot="1">
      <c r="A6" s="346" t="s">
        <v>232</v>
      </c>
      <c r="B6" s="347" t="s">
        <v>232</v>
      </c>
      <c r="C6" s="347" t="s">
        <v>233</v>
      </c>
      <c r="D6" s="347" t="s">
        <v>234</v>
      </c>
      <c r="E6" s="347" t="s">
        <v>235</v>
      </c>
      <c r="F6" s="347" t="s">
        <v>236</v>
      </c>
      <c r="G6" s="347" t="s">
        <v>237</v>
      </c>
      <c r="H6" s="347" t="s">
        <v>238</v>
      </c>
      <c r="I6" s="348" t="s">
        <v>239</v>
      </c>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c r="AJ6" s="342"/>
      <c r="AK6" s="342"/>
      <c r="AL6" s="342"/>
      <c r="AM6" s="342"/>
      <c r="AN6" s="342"/>
      <c r="AO6" s="342"/>
      <c r="AP6" s="342"/>
      <c r="AQ6" s="342"/>
      <c r="AR6" s="342"/>
      <c r="AS6" s="342"/>
      <c r="AT6" s="342"/>
      <c r="AU6" s="342"/>
      <c r="AV6" s="342"/>
      <c r="AW6" s="342"/>
      <c r="AX6" s="342"/>
      <c r="AY6" s="342"/>
      <c r="AZ6" s="342"/>
      <c r="BA6" s="342"/>
      <c r="BB6" s="342"/>
      <c r="BC6" s="342"/>
      <c r="BD6" s="342"/>
      <c r="BE6" s="342"/>
      <c r="BF6" s="342"/>
      <c r="BG6" s="342"/>
      <c r="BH6" s="342"/>
      <c r="BI6" s="342"/>
      <c r="BJ6" s="342"/>
      <c r="BK6" s="342"/>
      <c r="BL6" s="342"/>
      <c r="BM6" s="342"/>
      <c r="BN6" s="342"/>
      <c r="BO6" s="342"/>
      <c r="BP6" s="342"/>
      <c r="BQ6" s="342"/>
      <c r="BR6" s="342"/>
      <c r="BS6" s="342"/>
      <c r="BT6" s="342"/>
      <c r="BU6" s="342"/>
      <c r="BV6" s="342"/>
      <c r="BW6" s="342"/>
      <c r="BX6" s="342"/>
      <c r="BY6" s="342"/>
      <c r="BZ6" s="342"/>
      <c r="CA6" s="342"/>
      <c r="CB6" s="342"/>
      <c r="CC6" s="342"/>
      <c r="CD6" s="342"/>
      <c r="CE6" s="342"/>
      <c r="CF6" s="342"/>
      <c r="CG6" s="342"/>
      <c r="CH6" s="342"/>
      <c r="CI6" s="342"/>
      <c r="CJ6" s="342"/>
      <c r="CK6" s="342"/>
      <c r="CL6" s="342"/>
      <c r="CM6" s="342"/>
      <c r="CN6" s="342"/>
      <c r="CO6" s="342"/>
      <c r="CP6" s="342"/>
      <c r="CQ6" s="342"/>
      <c r="CR6" s="342"/>
      <c r="CS6" s="342"/>
      <c r="CT6" s="342"/>
    </row>
    <row r="7" spans="1:98" ht="14.45" customHeight="1">
      <c r="A7" s="444" t="s">
        <v>660</v>
      </c>
      <c r="B7" s="445" t="s">
        <v>240</v>
      </c>
      <c r="C7" s="445" t="s">
        <v>241</v>
      </c>
      <c r="D7" s="445">
        <v>3030</v>
      </c>
      <c r="E7" s="464" t="s">
        <v>242</v>
      </c>
      <c r="F7" s="446">
        <f>'Sch. G 2019'!B11</f>
        <v>213641</v>
      </c>
      <c r="G7" s="446">
        <v>648058.93999999994</v>
      </c>
      <c r="H7" s="461">
        <f t="shared" si="0" ref="H7:H54">F7-G7</f>
        <v>-434417.93999999994</v>
      </c>
      <c r="I7" s="945" t="s">
        <v>617</v>
      </c>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c r="AJ7" s="344"/>
      <c r="AK7" s="344"/>
      <c r="AL7" s="344"/>
      <c r="AM7" s="344"/>
      <c r="AN7" s="344"/>
      <c r="AO7" s="344"/>
      <c r="AP7" s="344"/>
      <c r="AQ7" s="344"/>
      <c r="AR7" s="344"/>
      <c r="AS7" s="344"/>
      <c r="AT7" s="344"/>
      <c r="AU7" s="344"/>
      <c r="AV7" s="344"/>
      <c r="AW7" s="344"/>
      <c r="AX7" s="344"/>
      <c r="AY7" s="344"/>
      <c r="AZ7" s="344"/>
      <c r="BA7" s="344"/>
      <c r="BB7" s="344"/>
      <c r="BC7" s="344"/>
      <c r="BD7" s="344"/>
      <c r="BE7" s="344"/>
      <c r="BF7" s="344"/>
      <c r="BG7" s="344"/>
      <c r="BH7" s="344"/>
      <c r="BI7" s="344"/>
      <c r="BJ7" s="344"/>
      <c r="BK7" s="344"/>
      <c r="BL7" s="344"/>
      <c r="BM7" s="344"/>
      <c r="BN7" s="344"/>
      <c r="BO7" s="344"/>
      <c r="BP7" s="344"/>
      <c r="BQ7" s="344"/>
      <c r="BR7" s="344"/>
      <c r="BS7" s="344"/>
      <c r="BT7" s="344"/>
      <c r="BU7" s="344"/>
      <c r="BV7" s="344"/>
      <c r="BW7" s="344"/>
      <c r="BX7" s="344"/>
      <c r="BY7" s="344"/>
      <c r="BZ7" s="344"/>
      <c r="CA7" s="344"/>
      <c r="CB7" s="344"/>
      <c r="CC7" s="344"/>
      <c r="CD7" s="344"/>
      <c r="CE7" s="344"/>
      <c r="CF7" s="344"/>
      <c r="CG7" s="344"/>
      <c r="CH7" s="344"/>
      <c r="CI7" s="344"/>
      <c r="CJ7" s="344"/>
      <c r="CK7" s="344"/>
      <c r="CL7" s="344"/>
      <c r="CM7" s="344"/>
      <c r="CN7" s="344"/>
      <c r="CO7" s="344"/>
      <c r="CP7" s="344"/>
      <c r="CQ7" s="344"/>
      <c r="CR7" s="344"/>
      <c r="CS7" s="344"/>
      <c r="CT7" s="344"/>
    </row>
    <row r="8" spans="1:12" s="7" customFormat="1" ht="14.25">
      <c r="A8" s="447" t="s">
        <v>660</v>
      </c>
      <c r="B8" s="437" t="s">
        <v>240</v>
      </c>
      <c r="C8" s="437" t="s">
        <v>241</v>
      </c>
      <c r="D8" s="437">
        <v>3914</v>
      </c>
      <c r="E8" s="455" t="s">
        <v>264</v>
      </c>
      <c r="F8" s="438">
        <f>'Sch. G 2019'!B36</f>
        <v>7819155</v>
      </c>
      <c r="G8" s="443">
        <v>7384737.0800000001</v>
      </c>
      <c r="H8" s="461">
        <f t="shared" si="0"/>
        <v>434417.91999999993</v>
      </c>
      <c r="I8" s="946"/>
      <c r="J8" s="344"/>
      <c r="K8" s="344"/>
      <c r="L8" s="344"/>
    </row>
    <row r="9" spans="1:98" ht="15">
      <c r="A9" s="447" t="s">
        <v>660</v>
      </c>
      <c r="B9" s="437" t="s">
        <v>240</v>
      </c>
      <c r="C9" s="437" t="s">
        <v>224</v>
      </c>
      <c r="D9" s="437">
        <v>3030</v>
      </c>
      <c r="E9" s="455" t="s">
        <v>243</v>
      </c>
      <c r="F9" s="438">
        <f>'Sch. G 2019'!C11</f>
        <v>0</v>
      </c>
      <c r="G9" s="443">
        <v>516.57000000000005</v>
      </c>
      <c r="H9" s="461">
        <f t="shared" si="0"/>
        <v>-516.57000000000005</v>
      </c>
      <c r="I9" s="946"/>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c r="AJ9" s="344"/>
      <c r="AK9" s="344"/>
      <c r="AL9" s="344"/>
      <c r="AM9" s="344"/>
      <c r="AN9" s="344"/>
      <c r="AO9" s="344"/>
      <c r="AP9" s="344"/>
      <c r="AQ9" s="344"/>
      <c r="AR9" s="344"/>
      <c r="AS9" s="344"/>
      <c r="AT9" s="344"/>
      <c r="AU9" s="344"/>
      <c r="AV9" s="344"/>
      <c r="AW9" s="344"/>
      <c r="AX9" s="344"/>
      <c r="AY9" s="344"/>
      <c r="AZ9" s="344"/>
      <c r="BA9" s="344"/>
      <c r="BB9" s="344"/>
      <c r="BC9" s="344"/>
      <c r="BD9" s="344"/>
      <c r="BE9" s="344"/>
      <c r="BF9" s="344"/>
      <c r="BG9" s="344"/>
      <c r="BH9" s="344"/>
      <c r="BI9" s="344"/>
      <c r="BJ9" s="344"/>
      <c r="BK9" s="344"/>
      <c r="BL9" s="344"/>
      <c r="BM9" s="344"/>
      <c r="BN9" s="344"/>
      <c r="BO9" s="344"/>
      <c r="BP9" s="344"/>
      <c r="BQ9" s="344"/>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c r="CQ9" s="344"/>
      <c r="CR9" s="344"/>
      <c r="CS9" s="344"/>
      <c r="CT9" s="344"/>
    </row>
    <row r="10" spans="1:12" s="7" customFormat="1" ht="14.25">
      <c r="A10" s="447" t="s">
        <v>660</v>
      </c>
      <c r="B10" s="437" t="s">
        <v>240</v>
      </c>
      <c r="C10" s="437" t="s">
        <v>224</v>
      </c>
      <c r="D10" s="437">
        <v>3914</v>
      </c>
      <c r="E10" s="455" t="s">
        <v>265</v>
      </c>
      <c r="F10" s="438">
        <f>'Sch. G 2019'!C36</f>
        <v>99218</v>
      </c>
      <c r="G10" s="443">
        <v>98701.360000000001</v>
      </c>
      <c r="H10" s="461">
        <f t="shared" si="0"/>
        <v>516.63999999999942</v>
      </c>
      <c r="I10" s="946"/>
      <c r="J10" s="344"/>
      <c r="K10" s="344"/>
      <c r="L10" s="344"/>
    </row>
    <row r="11" spans="1:12" s="7" customFormat="1" ht="14.25">
      <c r="A11" s="447" t="s">
        <v>660</v>
      </c>
      <c r="B11" s="437" t="s">
        <v>253</v>
      </c>
      <c r="C11" s="437" t="s">
        <v>241</v>
      </c>
      <c r="D11" s="437">
        <v>3030</v>
      </c>
      <c r="E11" s="455" t="s">
        <v>244</v>
      </c>
      <c r="F11" s="438">
        <f>'Sch. G 2019'!K11</f>
        <v>127642</v>
      </c>
      <c r="G11" s="443">
        <v>149179.78</v>
      </c>
      <c r="H11" s="461">
        <f t="shared" si="0"/>
        <v>-21537.779999999999</v>
      </c>
      <c r="I11" s="946"/>
      <c r="J11" s="344"/>
      <c r="K11" s="344"/>
      <c r="L11" s="344"/>
    </row>
    <row r="12" spans="1:21" ht="15">
      <c r="A12" s="447" t="s">
        <v>660</v>
      </c>
      <c r="B12" s="437" t="s">
        <v>253</v>
      </c>
      <c r="C12" s="437" t="s">
        <v>241</v>
      </c>
      <c r="D12" s="437">
        <v>3914</v>
      </c>
      <c r="E12" s="455" t="s">
        <v>266</v>
      </c>
      <c r="F12" s="438">
        <f>'Sch. G 2019'!K36</f>
        <v>2896970</v>
      </c>
      <c r="G12" s="443">
        <v>2875432.1800000002</v>
      </c>
      <c r="H12" s="461">
        <f t="shared" si="0"/>
        <v>21537.819999999832</v>
      </c>
      <c r="I12" s="947"/>
      <c r="J12" s="344"/>
      <c r="K12" s="335"/>
      <c r="L12" s="349"/>
      <c r="M12" s="336"/>
      <c r="N12" s="336"/>
      <c r="O12" s="336"/>
      <c r="P12" s="336"/>
      <c r="Q12" s="336"/>
      <c r="R12" s="336"/>
      <c r="S12" s="336"/>
      <c r="T12" s="336"/>
      <c r="U12" s="336"/>
    </row>
    <row r="13" spans="1:12" ht="14.45" customHeight="1">
      <c r="A13" s="465" t="s">
        <v>660</v>
      </c>
      <c r="B13" s="456" t="s">
        <v>240</v>
      </c>
      <c r="C13" s="437" t="s">
        <v>194</v>
      </c>
      <c r="D13" s="437">
        <v>3761</v>
      </c>
      <c r="E13" s="455" t="s">
        <v>296</v>
      </c>
      <c r="F13" s="438">
        <f>'Sch. G 2019'!D15</f>
        <v>-210843.21999999997</v>
      </c>
      <c r="G13" s="443">
        <v>-197487.72</v>
      </c>
      <c r="H13" s="461">
        <f t="shared" si="0"/>
        <v>-13355.499999999971</v>
      </c>
      <c r="I13" s="942" t="s">
        <v>624</v>
      </c>
      <c r="J13" s="343"/>
      <c r="K13" s="344"/>
      <c r="L13" s="344"/>
    </row>
    <row r="14" spans="1:10" s="344" customFormat="1" ht="12.75">
      <c r="A14" s="465" t="s">
        <v>660</v>
      </c>
      <c r="B14" s="456" t="s">
        <v>240</v>
      </c>
      <c r="C14" s="442" t="s">
        <v>596</v>
      </c>
      <c r="D14" s="437">
        <v>3761</v>
      </c>
      <c r="E14" s="455" t="s">
        <v>620</v>
      </c>
      <c r="F14" s="438">
        <f>'Sch. G 2019'!E15</f>
        <v>0</v>
      </c>
      <c r="G14" s="443">
        <v>0</v>
      </c>
      <c r="H14" s="461">
        <f t="shared" si="0"/>
        <v>0</v>
      </c>
      <c r="I14" s="943"/>
      <c r="J14" s="343"/>
    </row>
    <row r="15" spans="1:12" s="7" customFormat="1" ht="14.25">
      <c r="A15" s="465" t="s">
        <v>660</v>
      </c>
      <c r="B15" s="456" t="s">
        <v>240</v>
      </c>
      <c r="C15" s="437" t="s">
        <v>194</v>
      </c>
      <c r="D15" s="441" t="s">
        <v>87</v>
      </c>
      <c r="E15" s="455" t="s">
        <v>298</v>
      </c>
      <c r="F15" s="438">
        <f>'Sch. G 2019'!D17</f>
        <v>0</v>
      </c>
      <c r="G15" s="443">
        <v>-13355.5</v>
      </c>
      <c r="H15" s="461">
        <f t="shared" si="0"/>
        <v>13355.5</v>
      </c>
      <c r="I15" s="943"/>
      <c r="J15" s="343"/>
      <c r="K15" s="344"/>
      <c r="L15" s="344"/>
    </row>
    <row r="16" spans="1:12" s="7" customFormat="1" ht="14.25">
      <c r="A16" s="465" t="s">
        <v>660</v>
      </c>
      <c r="B16" s="456" t="s">
        <v>240</v>
      </c>
      <c r="C16" s="442" t="s">
        <v>596</v>
      </c>
      <c r="D16" s="441" t="s">
        <v>87</v>
      </c>
      <c r="E16" s="455" t="s">
        <v>621</v>
      </c>
      <c r="F16" s="438">
        <f>'Sch. G 2019'!E17</f>
        <v>0</v>
      </c>
      <c r="G16" s="443">
        <v>0</v>
      </c>
      <c r="H16" s="461">
        <f t="shared" si="0"/>
        <v>0</v>
      </c>
      <c r="I16" s="943"/>
      <c r="J16" s="343"/>
      <c r="K16" s="344"/>
      <c r="L16" s="344"/>
    </row>
    <row r="17" spans="1:21" ht="15">
      <c r="A17" s="465" t="s">
        <v>660</v>
      </c>
      <c r="B17" s="456" t="s">
        <v>253</v>
      </c>
      <c r="C17" s="437" t="s">
        <v>194</v>
      </c>
      <c r="D17" s="437">
        <v>3761</v>
      </c>
      <c r="E17" s="455" t="s">
        <v>297</v>
      </c>
      <c r="F17" s="438">
        <f>'Sch. G 2019'!N15</f>
        <v>-210843.21999999997</v>
      </c>
      <c r="G17" s="443">
        <f>-197491.16+4</f>
        <v>-197487.16</v>
      </c>
      <c r="H17" s="461">
        <f t="shared" si="0"/>
        <v>-13356.059999999969</v>
      </c>
      <c r="I17" s="943"/>
      <c r="J17" s="343"/>
      <c r="K17" s="349"/>
      <c r="L17" s="349"/>
      <c r="M17" s="345"/>
      <c r="N17" s="345"/>
      <c r="O17" s="345"/>
      <c r="P17" s="345"/>
      <c r="Q17" s="345"/>
      <c r="R17" s="345"/>
      <c r="S17" s="345"/>
      <c r="T17" s="345"/>
      <c r="U17" s="345"/>
    </row>
    <row r="18" spans="1:12" s="7" customFormat="1" ht="14.25">
      <c r="A18" s="465" t="s">
        <v>660</v>
      </c>
      <c r="B18" s="456" t="s">
        <v>253</v>
      </c>
      <c r="C18" s="442" t="s">
        <v>596</v>
      </c>
      <c r="D18" s="437">
        <v>3761</v>
      </c>
      <c r="E18" s="455" t="s">
        <v>623</v>
      </c>
      <c r="F18" s="438">
        <f>'Sch. G 2019'!M15</f>
        <v>0</v>
      </c>
      <c r="G18" s="443">
        <v>0</v>
      </c>
      <c r="H18" s="461">
        <f t="shared" si="0"/>
        <v>0</v>
      </c>
      <c r="I18" s="943"/>
      <c r="J18" s="343"/>
      <c r="K18" s="344"/>
      <c r="L18" s="344"/>
    </row>
    <row r="19" spans="1:21" ht="15">
      <c r="A19" s="465" t="s">
        <v>660</v>
      </c>
      <c r="B19" s="456" t="s">
        <v>253</v>
      </c>
      <c r="C19" s="437" t="s">
        <v>194</v>
      </c>
      <c r="D19" s="441" t="s">
        <v>87</v>
      </c>
      <c r="E19" s="455" t="s">
        <v>299</v>
      </c>
      <c r="F19" s="438">
        <f>'Sch. G 2019'!N17</f>
        <v>0</v>
      </c>
      <c r="G19" s="443">
        <v>-13355.5</v>
      </c>
      <c r="H19" s="461">
        <f t="shared" si="0"/>
        <v>13355.5</v>
      </c>
      <c r="I19" s="943"/>
      <c r="J19" s="343"/>
      <c r="K19" s="349"/>
      <c r="L19" s="349"/>
      <c r="M19" s="345"/>
      <c r="N19" s="345"/>
      <c r="O19" s="345"/>
      <c r="P19" s="345"/>
      <c r="Q19" s="345"/>
      <c r="R19" s="345"/>
      <c r="S19" s="345"/>
      <c r="T19" s="345"/>
      <c r="U19" s="345"/>
    </row>
    <row r="20" spans="1:21" ht="15">
      <c r="A20" s="465" t="s">
        <v>660</v>
      </c>
      <c r="B20" s="456" t="s">
        <v>253</v>
      </c>
      <c r="C20" s="442" t="s">
        <v>596</v>
      </c>
      <c r="D20" s="441" t="s">
        <v>87</v>
      </c>
      <c r="E20" s="455" t="s">
        <v>622</v>
      </c>
      <c r="F20" s="438">
        <f>'Sch. G 2019'!M17</f>
        <v>0</v>
      </c>
      <c r="G20" s="443">
        <v>0</v>
      </c>
      <c r="H20" s="461">
        <f t="shared" si="0"/>
        <v>0</v>
      </c>
      <c r="I20" s="944"/>
      <c r="J20" s="343"/>
      <c r="K20" s="349"/>
      <c r="L20" s="349"/>
      <c r="M20" s="345"/>
      <c r="N20" s="345"/>
      <c r="O20" s="345"/>
      <c r="P20" s="345"/>
      <c r="Q20" s="345"/>
      <c r="R20" s="345"/>
      <c r="S20" s="345"/>
      <c r="T20" s="345"/>
      <c r="U20" s="345"/>
    </row>
    <row r="21" spans="1:12" s="7" customFormat="1" ht="14.1" customHeight="1">
      <c r="A21" s="465" t="s">
        <v>660</v>
      </c>
      <c r="B21" s="456" t="s">
        <v>240</v>
      </c>
      <c r="C21" s="437" t="s">
        <v>194</v>
      </c>
      <c r="D21" s="437">
        <v>3810</v>
      </c>
      <c r="E21" s="455" t="s">
        <v>300</v>
      </c>
      <c r="F21" s="438">
        <f>'Sch. G 2019'!D23</f>
        <v>-334860.79000000004</v>
      </c>
      <c r="G21" s="443">
        <v>-1118445.6099999999</v>
      </c>
      <c r="H21" s="461">
        <f t="shared" si="0"/>
        <v>783584.81999999983</v>
      </c>
      <c r="I21" s="937" t="s">
        <v>627</v>
      </c>
      <c r="J21" s="343"/>
      <c r="K21" s="344"/>
      <c r="L21" s="344"/>
    </row>
    <row r="22" spans="1:21" ht="15">
      <c r="A22" s="465" t="s">
        <v>660</v>
      </c>
      <c r="B22" s="456" t="s">
        <v>240</v>
      </c>
      <c r="C22" s="442" t="s">
        <v>226</v>
      </c>
      <c r="D22" s="437">
        <v>3810</v>
      </c>
      <c r="E22" s="455" t="s">
        <v>301</v>
      </c>
      <c r="F22" s="438">
        <f>'Sch. G 2019'!F23</f>
        <v>-783584.81999999995</v>
      </c>
      <c r="G22" s="443">
        <v>0</v>
      </c>
      <c r="H22" s="461">
        <f t="shared" si="0"/>
        <v>-783584.81999999995</v>
      </c>
      <c r="I22" s="938"/>
      <c r="J22" s="343"/>
      <c r="K22" s="349"/>
      <c r="L22" s="349"/>
      <c r="M22" s="345"/>
      <c r="N22" s="345"/>
      <c r="O22" s="345"/>
      <c r="P22" s="345"/>
      <c r="Q22" s="345"/>
      <c r="R22" s="345"/>
      <c r="S22" s="345"/>
      <c r="T22" s="345"/>
      <c r="U22" s="345"/>
    </row>
    <row r="23" spans="1:12" s="7" customFormat="1" ht="14.25">
      <c r="A23" s="465" t="s">
        <v>660</v>
      </c>
      <c r="B23" s="456" t="s">
        <v>240</v>
      </c>
      <c r="C23" s="437" t="s">
        <v>194</v>
      </c>
      <c r="D23" s="437">
        <v>3830</v>
      </c>
      <c r="E23" s="455" t="s">
        <v>305</v>
      </c>
      <c r="F23" s="438">
        <f>'Sch. G 2019'!D27</f>
        <v>-15612.139999999998</v>
      </c>
      <c r="G23" s="443">
        <v>-84573.909999999974</v>
      </c>
      <c r="H23" s="461">
        <f t="shared" si="0"/>
        <v>68961.769999999975</v>
      </c>
      <c r="I23" s="938"/>
      <c r="J23" s="343"/>
      <c r="K23" s="344"/>
      <c r="L23" s="344"/>
    </row>
    <row r="24" spans="1:12" s="7" customFormat="1" ht="14.25">
      <c r="A24" s="465" t="s">
        <v>660</v>
      </c>
      <c r="B24" s="456" t="s">
        <v>240</v>
      </c>
      <c r="C24" s="442" t="s">
        <v>226</v>
      </c>
      <c r="D24" s="437">
        <v>3830</v>
      </c>
      <c r="E24" s="437" t="s">
        <v>306</v>
      </c>
      <c r="F24" s="438">
        <f>'Sch. G 2019'!F27</f>
        <v>-68961.649999999994</v>
      </c>
      <c r="G24" s="443">
        <v>0</v>
      </c>
      <c r="H24" s="461">
        <f t="shared" si="0"/>
        <v>-68961.649999999994</v>
      </c>
      <c r="I24" s="938"/>
      <c r="J24" s="343"/>
      <c r="K24" s="344"/>
      <c r="L24" s="344"/>
    </row>
    <row r="25" spans="1:21" ht="15">
      <c r="A25" s="465" t="s">
        <v>660</v>
      </c>
      <c r="B25" s="456" t="s">
        <v>253</v>
      </c>
      <c r="C25" s="437" t="s">
        <v>194</v>
      </c>
      <c r="D25" s="437">
        <v>3810</v>
      </c>
      <c r="E25" s="455" t="s">
        <v>303</v>
      </c>
      <c r="F25" s="438">
        <f>'Sch. G 2019'!N23</f>
        <v>-334860.79000000004</v>
      </c>
      <c r="G25" s="443">
        <v>-1118445.6100000001</v>
      </c>
      <c r="H25" s="461">
        <f t="shared" si="0"/>
        <v>783584.82000000007</v>
      </c>
      <c r="I25" s="938"/>
      <c r="J25" s="343"/>
      <c r="K25" s="349"/>
      <c r="L25" s="349"/>
      <c r="M25" s="345"/>
      <c r="N25" s="345"/>
      <c r="O25" s="345"/>
      <c r="P25" s="345"/>
      <c r="Q25" s="345"/>
      <c r="R25" s="345"/>
      <c r="S25" s="345"/>
      <c r="T25" s="345"/>
      <c r="U25" s="345"/>
    </row>
    <row r="26" spans="1:12" s="7" customFormat="1" ht="14.25">
      <c r="A26" s="465" t="s">
        <v>660</v>
      </c>
      <c r="B26" s="456" t="s">
        <v>253</v>
      </c>
      <c r="C26" s="437" t="s">
        <v>194</v>
      </c>
      <c r="D26" s="437">
        <v>3830</v>
      </c>
      <c r="E26" s="455" t="s">
        <v>308</v>
      </c>
      <c r="F26" s="438">
        <f>'Sch. G 2019'!N27</f>
        <v>-15612.139999999998</v>
      </c>
      <c r="G26" s="443">
        <v>-84573.910000000003</v>
      </c>
      <c r="H26" s="461">
        <f t="shared" si="0"/>
        <v>68961.770000000004</v>
      </c>
      <c r="I26" s="938"/>
      <c r="J26" s="343"/>
      <c r="K26" s="344"/>
      <c r="L26" s="344"/>
    </row>
    <row r="27" spans="1:21" ht="15">
      <c r="A27" s="465" t="s">
        <v>660</v>
      </c>
      <c r="B27" s="456" t="s">
        <v>253</v>
      </c>
      <c r="C27" s="437" t="s">
        <v>228</v>
      </c>
      <c r="D27" s="437">
        <v>3810</v>
      </c>
      <c r="E27" s="455" t="s">
        <v>302</v>
      </c>
      <c r="F27" s="438">
        <f>'Sch. G 2019'!L23</f>
        <v>604553</v>
      </c>
      <c r="G27" s="443">
        <v>558617.22999999998</v>
      </c>
      <c r="H27" s="461">
        <f t="shared" si="0"/>
        <v>45935.770000000019</v>
      </c>
      <c r="I27" s="938"/>
      <c r="J27" s="343"/>
      <c r="K27" s="349"/>
      <c r="L27" s="349"/>
      <c r="M27" s="345"/>
      <c r="N27" s="345"/>
      <c r="O27" s="345"/>
      <c r="P27" s="345"/>
      <c r="Q27" s="345"/>
      <c r="R27" s="345"/>
      <c r="S27" s="345"/>
      <c r="T27" s="345"/>
      <c r="U27" s="345"/>
    </row>
    <row r="28" spans="1:21" ht="15">
      <c r="A28" s="465" t="s">
        <v>660</v>
      </c>
      <c r="B28" s="456" t="s">
        <v>253</v>
      </c>
      <c r="C28" s="442" t="s">
        <v>226</v>
      </c>
      <c r="D28" s="437">
        <v>3810</v>
      </c>
      <c r="E28" s="455" t="s">
        <v>304</v>
      </c>
      <c r="F28" s="438">
        <f>'Sch. G 2019'!Q23</f>
        <v>-839639.58999999997</v>
      </c>
      <c r="G28" s="443">
        <v>-10118.719999999999</v>
      </c>
      <c r="H28" s="461">
        <f t="shared" si="0"/>
        <v>-829520.87</v>
      </c>
      <c r="I28" s="938"/>
      <c r="J28" s="343"/>
      <c r="K28" s="349"/>
      <c r="L28" s="349"/>
      <c r="M28" s="345"/>
      <c r="N28" s="345"/>
      <c r="O28" s="345"/>
      <c r="P28" s="345"/>
      <c r="Q28" s="345"/>
      <c r="R28" s="345"/>
      <c r="S28" s="345"/>
      <c r="T28" s="345"/>
      <c r="U28" s="345"/>
    </row>
    <row r="29" spans="1:21" ht="15">
      <c r="A29" s="465" t="s">
        <v>660</v>
      </c>
      <c r="B29" s="456" t="s">
        <v>253</v>
      </c>
      <c r="C29" s="437" t="s">
        <v>228</v>
      </c>
      <c r="D29" s="437">
        <v>3830</v>
      </c>
      <c r="E29" s="455" t="s">
        <v>307</v>
      </c>
      <c r="F29" s="438">
        <f>'Sch. G 2019'!L27</f>
        <v>179110</v>
      </c>
      <c r="G29" s="443">
        <v>173788.41</v>
      </c>
      <c r="H29" s="461">
        <f t="shared" si="0"/>
        <v>5321.5899999999965</v>
      </c>
      <c r="I29" s="938"/>
      <c r="J29" s="343"/>
      <c r="K29" s="349"/>
      <c r="L29" s="349"/>
      <c r="M29" s="345"/>
      <c r="N29" s="345"/>
      <c r="O29" s="345"/>
      <c r="P29" s="345"/>
      <c r="Q29" s="345"/>
      <c r="R29" s="345"/>
      <c r="S29" s="345"/>
      <c r="T29" s="345"/>
      <c r="U29" s="345"/>
    </row>
    <row r="30" spans="1:21" ht="15">
      <c r="A30" s="465" t="s">
        <v>660</v>
      </c>
      <c r="B30" s="456" t="s">
        <v>253</v>
      </c>
      <c r="C30" s="442" t="s">
        <v>226</v>
      </c>
      <c r="D30" s="437">
        <v>3830</v>
      </c>
      <c r="E30" s="455" t="s">
        <v>309</v>
      </c>
      <c r="F30" s="438">
        <f>'Sch. G 2019'!Q27</f>
        <v>-74283.239999999991</v>
      </c>
      <c r="G30" s="443">
        <v>0</v>
      </c>
      <c r="H30" s="461">
        <f t="shared" si="0"/>
        <v>-74283.239999999991</v>
      </c>
      <c r="I30" s="939"/>
      <c r="J30" s="343"/>
      <c r="K30" s="349"/>
      <c r="L30" s="349"/>
      <c r="M30" s="345"/>
      <c r="N30" s="345"/>
      <c r="O30" s="345"/>
      <c r="P30" s="345"/>
      <c r="Q30" s="345"/>
      <c r="R30" s="345"/>
      <c r="S30" s="345"/>
      <c r="T30" s="345"/>
      <c r="U30" s="345"/>
    </row>
    <row r="31" spans="1:10" s="355" customFormat="1" ht="15">
      <c r="A31" s="465" t="s">
        <v>660</v>
      </c>
      <c r="B31" s="456" t="s">
        <v>253</v>
      </c>
      <c r="C31" s="437" t="s">
        <v>241</v>
      </c>
      <c r="D31" s="437">
        <v>3923</v>
      </c>
      <c r="E31" s="455" t="s">
        <v>286</v>
      </c>
      <c r="F31" s="438">
        <f>'Sch. G 2019'!K39</f>
        <v>0</v>
      </c>
      <c r="G31" s="443">
        <v>-412.82999999999998</v>
      </c>
      <c r="H31" s="461">
        <f t="shared" si="0"/>
        <v>412.82999999999998</v>
      </c>
      <c r="I31" s="942" t="s">
        <v>618</v>
      </c>
      <c r="J31" s="343"/>
    </row>
    <row r="32" spans="1:10" s="355" customFormat="1" ht="15">
      <c r="A32" s="465" t="s">
        <v>660</v>
      </c>
      <c r="B32" s="456" t="s">
        <v>253</v>
      </c>
      <c r="C32" s="437" t="s">
        <v>241</v>
      </c>
      <c r="D32" s="437">
        <v>3924</v>
      </c>
      <c r="E32" s="455" t="s">
        <v>291</v>
      </c>
      <c r="F32" s="438">
        <f>'Sch. G 2019'!K40</f>
        <v>39481</v>
      </c>
      <c r="G32" s="443">
        <v>39893.790000000001</v>
      </c>
      <c r="H32" s="461">
        <f t="shared" si="0"/>
        <v>-412.79000000000087</v>
      </c>
      <c r="I32" s="943"/>
      <c r="J32" s="343"/>
    </row>
    <row r="33" spans="1:21" ht="15">
      <c r="A33" s="447" t="s">
        <v>660</v>
      </c>
      <c r="B33" s="437" t="s">
        <v>240</v>
      </c>
      <c r="C33" s="437" t="s">
        <v>241</v>
      </c>
      <c r="D33" s="437">
        <v>3950</v>
      </c>
      <c r="E33" s="455" t="s">
        <v>268</v>
      </c>
      <c r="F33" s="439">
        <f>'Sch. G 2019'!B43</f>
        <v>0</v>
      </c>
      <c r="G33" s="438">
        <v>95136.759999999995</v>
      </c>
      <c r="H33" s="461">
        <f t="shared" si="0"/>
        <v>-95136.759999999995</v>
      </c>
      <c r="I33" s="943"/>
      <c r="J33" s="345"/>
      <c r="K33" s="349"/>
      <c r="L33" s="349"/>
      <c r="M33" s="345"/>
      <c r="N33" s="345"/>
      <c r="O33" s="345"/>
      <c r="P33" s="345"/>
      <c r="Q33" s="345"/>
      <c r="R33" s="345"/>
      <c r="S33" s="345"/>
      <c r="T33" s="345"/>
      <c r="U33" s="345"/>
    </row>
    <row r="34" spans="1:12" s="7" customFormat="1" ht="14.25">
      <c r="A34" s="447" t="s">
        <v>660</v>
      </c>
      <c r="B34" s="437" t="s">
        <v>240</v>
      </c>
      <c r="C34" s="437" t="s">
        <v>241</v>
      </c>
      <c r="D34" s="437">
        <v>3960</v>
      </c>
      <c r="E34" s="455" t="s">
        <v>269</v>
      </c>
      <c r="F34" s="439">
        <f>'Sch. G 2019'!B44</f>
        <v>1525131</v>
      </c>
      <c r="G34" s="438">
        <v>1429994.4399999999</v>
      </c>
      <c r="H34" s="461">
        <f t="shared" si="0"/>
        <v>95136.560000000056</v>
      </c>
      <c r="I34" s="944"/>
      <c r="J34" s="345"/>
      <c r="K34" s="344"/>
      <c r="L34" s="344"/>
    </row>
    <row r="35" spans="1:12" s="7" customFormat="1" ht="18" customHeight="1">
      <c r="A35" s="447" t="s">
        <v>660</v>
      </c>
      <c r="B35" s="437" t="s">
        <v>253</v>
      </c>
      <c r="C35" s="442" t="s">
        <v>228</v>
      </c>
      <c r="D35" s="442">
        <v>3030</v>
      </c>
      <c r="E35" s="462" t="s">
        <v>245</v>
      </c>
      <c r="F35" s="438">
        <f>'Sch. G 2019'!L11</f>
        <v>0</v>
      </c>
      <c r="G35" s="443">
        <v>43475.610000000001</v>
      </c>
      <c r="H35" s="461">
        <f t="shared" si="0"/>
        <v>-43475.610000000001</v>
      </c>
      <c r="I35" s="925" t="s">
        <v>625</v>
      </c>
      <c r="J35" s="344"/>
      <c r="K35" s="344"/>
      <c r="L35" s="344"/>
    </row>
    <row r="36" spans="1:21" ht="18" customHeight="1">
      <c r="A36" s="447" t="s">
        <v>660</v>
      </c>
      <c r="B36" s="437" t="s">
        <v>253</v>
      </c>
      <c r="C36" s="442" t="s">
        <v>226</v>
      </c>
      <c r="D36" s="463">
        <v>3030</v>
      </c>
      <c r="E36" s="462" t="s">
        <v>295</v>
      </c>
      <c r="F36" s="438">
        <f>'Sch. G 2019'!Q11</f>
        <v>0</v>
      </c>
      <c r="G36" s="443">
        <v>16115.040000000001</v>
      </c>
      <c r="H36" s="461">
        <f t="shared" si="0"/>
        <v>-16115.040000000001</v>
      </c>
      <c r="I36" s="926"/>
      <c r="J36" s="349"/>
      <c r="K36" s="349"/>
      <c r="L36" s="349"/>
      <c r="M36" s="345"/>
      <c r="N36" s="345"/>
      <c r="O36" s="345"/>
      <c r="P36" s="345"/>
      <c r="Q36" s="345"/>
      <c r="R36" s="345"/>
      <c r="S36" s="345"/>
      <c r="T36" s="345"/>
      <c r="U36" s="345"/>
    </row>
    <row r="37" spans="1:21" ht="18" customHeight="1">
      <c r="A37" s="447" t="s">
        <v>660</v>
      </c>
      <c r="B37" s="437" t="s">
        <v>253</v>
      </c>
      <c r="C37" s="442" t="s">
        <v>228</v>
      </c>
      <c r="D37" s="442">
        <v>3914</v>
      </c>
      <c r="E37" s="462" t="s">
        <v>267</v>
      </c>
      <c r="F37" s="438">
        <f>'Sch. G 2019'!L36</f>
        <v>606602.52000000002</v>
      </c>
      <c r="G37" s="443">
        <v>694656.14000000001</v>
      </c>
      <c r="H37" s="461">
        <f t="shared" si="0"/>
        <v>-88053.619999999995</v>
      </c>
      <c r="I37" s="926"/>
      <c r="J37" s="344"/>
      <c r="K37" s="335"/>
      <c r="L37" s="349"/>
      <c r="M37" s="336"/>
      <c r="N37" s="336"/>
      <c r="O37" s="336"/>
      <c r="P37" s="336"/>
      <c r="Q37" s="336"/>
      <c r="R37" s="336"/>
      <c r="S37" s="336"/>
      <c r="T37" s="336"/>
      <c r="U37" s="336"/>
    </row>
    <row r="38" spans="1:21" ht="18" customHeight="1">
      <c r="A38" s="447" t="s">
        <v>660</v>
      </c>
      <c r="B38" s="437" t="s">
        <v>253</v>
      </c>
      <c r="C38" s="442" t="s">
        <v>226</v>
      </c>
      <c r="D38" s="442">
        <v>3914</v>
      </c>
      <c r="E38" s="462" t="s">
        <v>319</v>
      </c>
      <c r="F38" s="438">
        <f>'Sch. G 2019'!Q36</f>
        <v>-53529.239999999998</v>
      </c>
      <c r="G38" s="443">
        <v>-201173.51000000001</v>
      </c>
      <c r="H38" s="461">
        <f t="shared" si="0"/>
        <v>147644.27000000002</v>
      </c>
      <c r="I38" s="927"/>
      <c r="J38" s="349"/>
      <c r="K38" s="335"/>
      <c r="L38" s="349"/>
      <c r="M38" s="336"/>
      <c r="N38" s="336"/>
      <c r="O38" s="336"/>
      <c r="P38" s="336"/>
      <c r="Q38" s="336"/>
      <c r="R38" s="336"/>
      <c r="S38" s="336"/>
      <c r="T38" s="336"/>
      <c r="U38" s="336"/>
    </row>
    <row r="39" spans="1:21" ht="15">
      <c r="A39" s="447" t="s">
        <v>660</v>
      </c>
      <c r="B39" s="437" t="s">
        <v>253</v>
      </c>
      <c r="C39" s="437" t="s">
        <v>248</v>
      </c>
      <c r="D39" s="441" t="s">
        <v>95</v>
      </c>
      <c r="E39" s="455" t="s">
        <v>254</v>
      </c>
      <c r="F39" s="438">
        <f>'Sch. G 2019'!P22</f>
        <v>-15878.040000000001</v>
      </c>
      <c r="G39" s="443">
        <v>-4439.54</v>
      </c>
      <c r="H39" s="461">
        <f t="shared" si="0"/>
        <v>-11438.5</v>
      </c>
      <c r="I39" s="935" t="s">
        <v>626</v>
      </c>
      <c r="J39" s="349"/>
      <c r="K39" s="349"/>
      <c r="L39" s="349"/>
      <c r="M39" s="345"/>
      <c r="N39" s="345"/>
      <c r="O39" s="345"/>
      <c r="P39" s="345"/>
      <c r="Q39" s="345"/>
      <c r="R39" s="345"/>
      <c r="S39" s="345"/>
      <c r="T39" s="345"/>
      <c r="U39" s="345"/>
    </row>
    <row r="40" spans="1:21" ht="15">
      <c r="A40" s="465" t="s">
        <v>660</v>
      </c>
      <c r="B40" s="456" t="s">
        <v>253</v>
      </c>
      <c r="C40" s="442" t="s">
        <v>226</v>
      </c>
      <c r="D40" s="441" t="s">
        <v>95</v>
      </c>
      <c r="E40" s="455" t="s">
        <v>255</v>
      </c>
      <c r="F40" s="438">
        <f>'Sch. G 2019'!Q22</f>
        <v>0</v>
      </c>
      <c r="G40" s="443">
        <v>-11438.5</v>
      </c>
      <c r="H40" s="461">
        <f t="shared" si="0"/>
        <v>11438.5</v>
      </c>
      <c r="I40" s="936"/>
      <c r="J40" s="343"/>
      <c r="K40" s="349"/>
      <c r="L40" s="349"/>
      <c r="M40" s="345"/>
      <c r="N40" s="345"/>
      <c r="O40" s="345"/>
      <c r="P40" s="345"/>
      <c r="Q40" s="345"/>
      <c r="R40" s="345"/>
      <c r="S40" s="345"/>
      <c r="T40" s="345"/>
      <c r="U40" s="345"/>
    </row>
    <row r="41" spans="1:21" ht="23.45" customHeight="1">
      <c r="A41" s="466" t="s">
        <v>660</v>
      </c>
      <c r="B41" s="457" t="s">
        <v>253</v>
      </c>
      <c r="C41" s="457" t="s">
        <v>194</v>
      </c>
      <c r="D41" s="458">
        <v>3900</v>
      </c>
      <c r="E41" s="459" t="s">
        <v>310</v>
      </c>
      <c r="F41" s="438">
        <f>'Sch. G 2019'!N32</f>
        <v>-84753.699999999997</v>
      </c>
      <c r="G41" s="443">
        <v>0</v>
      </c>
      <c r="H41" s="461">
        <f t="shared" si="0"/>
        <v>-84753.699999999997</v>
      </c>
      <c r="I41" s="933" t="s">
        <v>628</v>
      </c>
      <c r="J41" s="344"/>
      <c r="K41" s="349"/>
      <c r="L41" s="349"/>
      <c r="M41" s="345"/>
      <c r="N41" s="345"/>
      <c r="O41" s="345"/>
      <c r="P41" s="345"/>
      <c r="Q41" s="345"/>
      <c r="R41" s="345"/>
      <c r="S41" s="345"/>
      <c r="T41" s="345"/>
      <c r="U41" s="345"/>
    </row>
    <row r="42" spans="1:21" ht="23.45" customHeight="1">
      <c r="A42" s="466" t="s">
        <v>660</v>
      </c>
      <c r="B42" s="437" t="s">
        <v>253</v>
      </c>
      <c r="C42" s="457" t="s">
        <v>194</v>
      </c>
      <c r="D42" s="458">
        <v>3913</v>
      </c>
      <c r="E42" s="459" t="s">
        <v>317</v>
      </c>
      <c r="F42" s="460">
        <f>'Sch. G 2019'!N35</f>
        <v>-363442.77000000002</v>
      </c>
      <c r="G42" s="443">
        <v>-449409.35999999999</v>
      </c>
      <c r="H42" s="461">
        <f t="shared" si="0"/>
        <v>85966.589999999967</v>
      </c>
      <c r="I42" s="934"/>
      <c r="J42" s="344"/>
      <c r="K42" s="335"/>
      <c r="L42" s="349"/>
      <c r="M42" s="336"/>
      <c r="N42" s="336"/>
      <c r="O42" s="336"/>
      <c r="P42" s="336"/>
      <c r="Q42" s="336"/>
      <c r="R42" s="336"/>
      <c r="S42" s="336"/>
      <c r="T42" s="336"/>
      <c r="U42" s="336"/>
    </row>
    <row r="43" spans="1:21" ht="14.45" customHeight="1">
      <c r="A43" s="465" t="s">
        <v>660</v>
      </c>
      <c r="B43" s="437" t="s">
        <v>253</v>
      </c>
      <c r="C43" s="442" t="s">
        <v>228</v>
      </c>
      <c r="D43" s="442">
        <v>3910</v>
      </c>
      <c r="E43" s="462" t="s">
        <v>311</v>
      </c>
      <c r="F43" s="438">
        <f>'Sch. G 2019'!L33</f>
        <v>337466.85000000003</v>
      </c>
      <c r="G43" s="443">
        <v>131927.73000000001</v>
      </c>
      <c r="H43" s="461">
        <f t="shared" si="0"/>
        <v>205539.12000000002</v>
      </c>
      <c r="I43" s="933" t="s">
        <v>629</v>
      </c>
      <c r="J43" s="343"/>
      <c r="K43" s="349"/>
      <c r="L43" s="349"/>
      <c r="M43" s="345"/>
      <c r="N43" s="345"/>
      <c r="O43" s="345"/>
      <c r="P43" s="345"/>
      <c r="Q43" s="345"/>
      <c r="R43" s="345"/>
      <c r="S43" s="345"/>
      <c r="T43" s="345"/>
      <c r="U43" s="345"/>
    </row>
    <row r="44" spans="1:21" ht="15">
      <c r="A44" s="465" t="s">
        <v>660</v>
      </c>
      <c r="B44" s="437" t="s">
        <v>253</v>
      </c>
      <c r="C44" s="442" t="s">
        <v>226</v>
      </c>
      <c r="D44" s="442">
        <v>3910</v>
      </c>
      <c r="E44" s="462" t="s">
        <v>312</v>
      </c>
      <c r="F44" s="438">
        <f>'Sch. G 2019'!Q33</f>
        <v>419803.96999999997</v>
      </c>
      <c r="G44" s="443">
        <v>625343.08999999997</v>
      </c>
      <c r="H44" s="461">
        <f t="shared" si="0"/>
        <v>-205539.12</v>
      </c>
      <c r="I44" s="940"/>
      <c r="J44" s="343"/>
      <c r="K44" s="349"/>
      <c r="L44" s="349"/>
      <c r="M44" s="345"/>
      <c r="N44" s="345"/>
      <c r="O44" s="345"/>
      <c r="P44" s="345"/>
      <c r="Q44" s="345"/>
      <c r="R44" s="345"/>
      <c r="S44" s="345"/>
      <c r="T44" s="345"/>
      <c r="U44" s="345"/>
    </row>
    <row r="45" spans="1:12" s="7" customFormat="1" ht="14.1" customHeight="1">
      <c r="A45" s="465" t="s">
        <v>660</v>
      </c>
      <c r="B45" s="437" t="s">
        <v>253</v>
      </c>
      <c r="C45" s="437" t="s">
        <v>228</v>
      </c>
      <c r="D45" s="437">
        <v>3912</v>
      </c>
      <c r="E45" s="455" t="s">
        <v>313</v>
      </c>
      <c r="F45" s="438">
        <f>'Sch. G 2019'!L34</f>
        <v>85582.529999999999</v>
      </c>
      <c r="G45" s="443">
        <v>85862.080000000002</v>
      </c>
      <c r="H45" s="461">
        <f t="shared" si="0"/>
        <v>-279.55000000000291</v>
      </c>
      <c r="I45" s="940"/>
      <c r="J45" s="343"/>
      <c r="K45" s="344"/>
      <c r="L45" s="344"/>
    </row>
    <row r="46" spans="1:21" ht="15">
      <c r="A46" s="465" t="s">
        <v>660</v>
      </c>
      <c r="B46" s="456" t="s">
        <v>253</v>
      </c>
      <c r="C46" s="442" t="s">
        <v>226</v>
      </c>
      <c r="D46" s="458">
        <v>3912</v>
      </c>
      <c r="E46" s="455" t="s">
        <v>314</v>
      </c>
      <c r="F46" s="438">
        <f>'Sch. G 2019'!Q34</f>
        <v>-151317.03999999998</v>
      </c>
      <c r="G46" s="443">
        <v>-151499.54999999999</v>
      </c>
      <c r="H46" s="461">
        <f t="shared" si="0"/>
        <v>182.51000000000931</v>
      </c>
      <c r="I46" s="940"/>
      <c r="J46" s="343"/>
      <c r="K46" s="335"/>
      <c r="L46" s="349"/>
      <c r="M46" s="336"/>
      <c r="N46" s="336"/>
      <c r="O46" s="336"/>
      <c r="P46" s="336"/>
      <c r="Q46" s="336"/>
      <c r="R46" s="336"/>
      <c r="S46" s="336"/>
      <c r="T46" s="336"/>
      <c r="U46" s="336"/>
    </row>
    <row r="47" spans="1:21" ht="15">
      <c r="A47" s="465" t="s">
        <v>660</v>
      </c>
      <c r="B47" s="437" t="s">
        <v>253</v>
      </c>
      <c r="C47" s="437" t="s">
        <v>228</v>
      </c>
      <c r="D47" s="458">
        <v>3913</v>
      </c>
      <c r="E47" s="455" t="s">
        <v>316</v>
      </c>
      <c r="F47" s="438">
        <f>'Sch. G 2019'!L35</f>
        <v>52735.419999999998</v>
      </c>
      <c r="G47" s="443">
        <v>56566.339999999997</v>
      </c>
      <c r="H47" s="461">
        <f t="shared" si="0"/>
        <v>-3830.9199999999983</v>
      </c>
      <c r="I47" s="940"/>
      <c r="J47" s="343"/>
      <c r="K47" s="335"/>
      <c r="L47" s="349"/>
      <c r="M47" s="336"/>
      <c r="N47" s="336"/>
      <c r="O47" s="336"/>
      <c r="P47" s="336"/>
      <c r="Q47" s="336"/>
      <c r="R47" s="336"/>
      <c r="S47" s="336"/>
      <c r="T47" s="336"/>
      <c r="U47" s="336"/>
    </row>
    <row r="48" spans="1:21" ht="15">
      <c r="A48" s="465" t="s">
        <v>660</v>
      </c>
      <c r="B48" s="456" t="s">
        <v>253</v>
      </c>
      <c r="C48" s="442" t="s">
        <v>226</v>
      </c>
      <c r="D48" s="458">
        <v>3913</v>
      </c>
      <c r="E48" s="455" t="s">
        <v>318</v>
      </c>
      <c r="F48" s="438">
        <f>'Sch. G 2019'!Q35</f>
        <v>-100682.83</v>
      </c>
      <c r="G48" s="443">
        <v>-104610.78999999999</v>
      </c>
      <c r="H48" s="461">
        <f t="shared" si="0"/>
        <v>3927.9599999999919</v>
      </c>
      <c r="I48" s="940"/>
      <c r="J48" s="343"/>
      <c r="K48" s="335"/>
      <c r="L48" s="349"/>
      <c r="M48" s="336"/>
      <c r="N48" s="336"/>
      <c r="O48" s="336"/>
      <c r="P48" s="336"/>
      <c r="Q48" s="336"/>
      <c r="R48" s="336"/>
      <c r="S48" s="336"/>
      <c r="T48" s="336"/>
      <c r="U48" s="336"/>
    </row>
    <row r="49" spans="1:10" s="355" customFormat="1" ht="14.45" customHeight="1">
      <c r="A49" s="447" t="s">
        <v>660</v>
      </c>
      <c r="B49" s="456" t="s">
        <v>253</v>
      </c>
      <c r="C49" s="437" t="s">
        <v>228</v>
      </c>
      <c r="D49" s="437">
        <v>3940</v>
      </c>
      <c r="E49" s="455" t="s">
        <v>320</v>
      </c>
      <c r="F49" s="439">
        <f>'Sch. G 2019'!L42</f>
        <v>84997.089999999997</v>
      </c>
      <c r="G49" s="438">
        <v>83359.050000000003</v>
      </c>
      <c r="H49" s="461">
        <f t="shared" si="0"/>
        <v>1638.0399999999936</v>
      </c>
      <c r="I49" s="940"/>
      <c r="J49" s="345"/>
    </row>
    <row r="50" spans="1:10" s="355" customFormat="1" ht="15">
      <c r="A50" s="447" t="s">
        <v>660</v>
      </c>
      <c r="B50" s="456" t="s">
        <v>253</v>
      </c>
      <c r="C50" s="437" t="s">
        <v>226</v>
      </c>
      <c r="D50" s="437">
        <v>3940</v>
      </c>
      <c r="E50" s="455" t="s">
        <v>321</v>
      </c>
      <c r="F50" s="439">
        <f>'Sch. G 2019'!Q42</f>
        <v>0</v>
      </c>
      <c r="G50" s="438">
        <v>1638.04</v>
      </c>
      <c r="H50" s="461">
        <f t="shared" si="0"/>
        <v>-1638.04</v>
      </c>
      <c r="I50" s="940"/>
      <c r="J50" s="345"/>
    </row>
    <row r="51" spans="1:10" s="355" customFormat="1" ht="15">
      <c r="A51" s="447" t="s">
        <v>660</v>
      </c>
      <c r="B51" s="456" t="s">
        <v>253</v>
      </c>
      <c r="C51" s="437" t="s">
        <v>228</v>
      </c>
      <c r="D51" s="437">
        <v>3970</v>
      </c>
      <c r="E51" s="455" t="s">
        <v>261</v>
      </c>
      <c r="F51" s="439">
        <f>'Sch. G 2019'!L45</f>
        <v>136038.14000000001</v>
      </c>
      <c r="G51" s="438">
        <v>210690.57999999999</v>
      </c>
      <c r="H51" s="461">
        <f t="shared" si="0"/>
        <v>-74652.439999999973</v>
      </c>
      <c r="I51" s="940"/>
      <c r="J51" s="345"/>
    </row>
    <row r="52" spans="1:10" s="355" customFormat="1" ht="15">
      <c r="A52" s="447" t="s">
        <v>660</v>
      </c>
      <c r="B52" s="456" t="s">
        <v>253</v>
      </c>
      <c r="C52" s="437" t="s">
        <v>226</v>
      </c>
      <c r="D52" s="437">
        <v>3970</v>
      </c>
      <c r="E52" s="455" t="s">
        <v>322</v>
      </c>
      <c r="F52" s="439">
        <f>'Sch. G 2019'!Q45</f>
        <v>6553.9499999999998</v>
      </c>
      <c r="G52" s="438">
        <v>-68098.490000000005</v>
      </c>
      <c r="H52" s="461">
        <f t="shared" si="0"/>
        <v>74652.440000000002</v>
      </c>
      <c r="I52" s="940"/>
      <c r="J52" s="345"/>
    </row>
    <row r="53" spans="1:10" s="355" customFormat="1" ht="15">
      <c r="A53" s="447" t="s">
        <v>660</v>
      </c>
      <c r="B53" s="456" t="s">
        <v>253</v>
      </c>
      <c r="C53" s="437" t="s">
        <v>228</v>
      </c>
      <c r="D53" s="437">
        <v>3980</v>
      </c>
      <c r="E53" s="455" t="s">
        <v>270</v>
      </c>
      <c r="F53" s="439">
        <f>'Sch. G 2019'!L46</f>
        <v>28220.239999999998</v>
      </c>
      <c r="G53" s="438">
        <v>26247.82</v>
      </c>
      <c r="H53" s="461">
        <f t="shared" si="0"/>
        <v>1972.4199999999983</v>
      </c>
      <c r="I53" s="940"/>
      <c r="J53" s="345"/>
    </row>
    <row r="54" spans="1:10" s="355" customFormat="1" ht="15.75" thickBot="1">
      <c r="A54" s="449" t="s">
        <v>660</v>
      </c>
      <c r="B54" s="467" t="s">
        <v>253</v>
      </c>
      <c r="C54" s="450" t="s">
        <v>226</v>
      </c>
      <c r="D54" s="450">
        <v>3980</v>
      </c>
      <c r="E54" s="468" t="s">
        <v>271</v>
      </c>
      <c r="F54" s="469">
        <f>'Sch. G 2019'!Q46</f>
        <v>0</v>
      </c>
      <c r="G54" s="452">
        <v>1972.4200000000001</v>
      </c>
      <c r="H54" s="461">
        <f t="shared" si="0"/>
        <v>-1972.4200000000001</v>
      </c>
      <c r="I54" s="941"/>
      <c r="J54" s="345"/>
    </row>
    <row r="55" spans="1:21" ht="15.75" thickBot="1">
      <c r="A55" s="426"/>
      <c r="B55" s="427"/>
      <c r="C55" s="338"/>
      <c r="D55" s="338"/>
      <c r="E55" s="432"/>
      <c r="F55" s="338"/>
      <c r="G55" s="350"/>
      <c r="H55" s="428"/>
      <c r="I55" s="429"/>
      <c r="J55" s="343"/>
      <c r="K55" s="349"/>
      <c r="L55" s="349"/>
      <c r="M55" s="336"/>
      <c r="N55" s="336"/>
      <c r="O55" s="336"/>
      <c r="P55" s="336"/>
      <c r="Q55" s="336"/>
      <c r="R55" s="336"/>
      <c r="S55" s="336"/>
      <c r="T55" s="336"/>
      <c r="U55" s="336"/>
    </row>
    <row r="56" spans="1:12" ht="15">
      <c r="A56" s="344"/>
      <c r="B56" s="344"/>
      <c r="C56" s="344"/>
      <c r="D56" s="344"/>
      <c r="E56" s="433"/>
      <c r="F56" s="344"/>
      <c r="G56" s="430"/>
      <c r="H56" s="430"/>
      <c r="I56" s="344"/>
      <c r="J56" s="344"/>
      <c r="K56" s="344"/>
      <c r="L56" s="344"/>
    </row>
    <row r="57" spans="1:12" ht="15">
      <c r="A57" s="344"/>
      <c r="B57" s="344"/>
      <c r="C57" s="344"/>
      <c r="D57" s="344"/>
      <c r="E57" s="433"/>
      <c r="F57" s="344"/>
      <c r="G57" s="430"/>
      <c r="H57" s="430"/>
      <c r="I57" s="344"/>
      <c r="J57" s="344"/>
      <c r="K57" s="344"/>
      <c r="L57" s="344"/>
    </row>
    <row r="58" spans="1:12" ht="15">
      <c r="A58" s="344"/>
      <c r="B58" s="344"/>
      <c r="C58" s="344"/>
      <c r="D58" s="344"/>
      <c r="E58" s="433"/>
      <c r="F58" s="344"/>
      <c r="G58" s="430"/>
      <c r="H58" s="430"/>
      <c r="I58" s="344"/>
      <c r="J58" s="344"/>
      <c r="K58" s="344"/>
      <c r="L58" s="344"/>
    </row>
    <row r="59" spans="1:12" ht="15">
      <c r="A59" s="344"/>
      <c r="B59" s="344"/>
      <c r="C59" s="344"/>
      <c r="D59" s="344"/>
      <c r="E59" s="433"/>
      <c r="F59" s="344"/>
      <c r="G59" s="430"/>
      <c r="H59" s="430"/>
      <c r="I59" s="344"/>
      <c r="J59" s="344"/>
      <c r="K59" s="344"/>
      <c r="L59" s="344"/>
    </row>
    <row r="60" spans="1:12" ht="15">
      <c r="A60" s="344"/>
      <c r="B60" s="344"/>
      <c r="C60" s="344"/>
      <c r="D60" s="344"/>
      <c r="E60" s="433"/>
      <c r="F60" s="344"/>
      <c r="G60" s="430"/>
      <c r="H60" s="430"/>
      <c r="I60" s="344"/>
      <c r="J60" s="344"/>
      <c r="K60" s="344"/>
      <c r="L60" s="344"/>
    </row>
  </sheetData>
  <autoFilter ref="A6:J48"/>
  <sortState ref="A7:J55">
    <sortCondition sortBy="value" ref="D7:D55"/>
  </sortState>
  <mergeCells count="12">
    <mergeCell ref="I43:I54"/>
    <mergeCell ref="A2:I2"/>
    <mergeCell ref="A3:I3"/>
    <mergeCell ref="A4:I4"/>
    <mergeCell ref="I31:I34"/>
    <mergeCell ref="I7:I12"/>
    <mergeCell ref="I13:I20"/>
    <mergeCell ref="A1:I1"/>
    <mergeCell ref="I41:I42"/>
    <mergeCell ref="I35:I38"/>
    <mergeCell ref="I39:I40"/>
    <mergeCell ref="I21:I30"/>
  </mergeCells>
  <printOptions horizontalCentered="1"/>
  <pageMargins left="0.5" right="0.5" top="1.25" bottom="0.5" header="0.5" footer="0.2"/>
  <pageSetup fitToHeight="0" orientation="portrait" scale="68"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48"/>
  <sheetViews>
    <sheetView workbookViewId="0" topLeftCell="A1">
      <selection pane="topLeft" activeCell="A1" sqref="A1:XFD1048576"/>
    </sheetView>
  </sheetViews>
  <sheetFormatPr defaultRowHeight="15"/>
  <cols>
    <col min="2" max="2" width="14" bestFit="1" customWidth="1"/>
    <col min="3" max="3" width="12.8571428571429" bestFit="1" customWidth="1"/>
    <col min="4" max="4" width="12.2857142857143" bestFit="1" customWidth="1"/>
    <col min="5" max="5" width="10.8571428571429" customWidth="1"/>
    <col min="6" max="6" width="12.7142857142857" bestFit="1" customWidth="1"/>
    <col min="7" max="7" width="10.8571428571429" customWidth="1"/>
    <col min="8" max="8" width="14" bestFit="1" customWidth="1"/>
    <col min="9" max="9" width="2.57142857142857" customWidth="1"/>
    <col min="11" max="11" width="14" bestFit="1" customWidth="1"/>
    <col min="12" max="12" width="12.8571428571429" bestFit="1" customWidth="1"/>
    <col min="13" max="13" width="9" bestFit="1" customWidth="1"/>
    <col min="14" max="14" width="12.2857142857143" bestFit="1" customWidth="1"/>
    <col min="15" max="15" width="9" bestFit="1" customWidth="1"/>
    <col min="16" max="16" width="12.2857142857143" bestFit="1" customWidth="1"/>
    <col min="17" max="17" width="12.7142857142857" bestFit="1" customWidth="1"/>
    <col min="18" max="18" width="10.8571428571429" customWidth="1"/>
    <col min="19" max="19" width="14" bestFit="1" customWidth="1"/>
    <col min="21" max="21" width="8.85714285714286" bestFit="1" customWidth="1"/>
  </cols>
  <sheetData>
    <row r="1" spans="1:19" s="646" customFormat="1" ht="18.75">
      <c r="A1" s="920" t="s">
        <v>56</v>
      </c>
      <c r="B1" s="920"/>
      <c r="C1" s="920"/>
      <c r="D1" s="920"/>
      <c r="E1" s="920"/>
      <c r="F1" s="920"/>
      <c r="G1" s="920"/>
      <c r="H1" s="920"/>
      <c r="I1" s="920"/>
      <c r="J1" s="920"/>
      <c r="K1" s="920"/>
      <c r="L1" s="920"/>
      <c r="M1" s="920"/>
      <c r="N1" s="920"/>
      <c r="O1" s="920"/>
      <c r="P1" s="920"/>
      <c r="Q1" s="920"/>
      <c r="R1" s="920"/>
      <c r="S1" s="920"/>
    </row>
    <row r="2" spans="1:19" s="375" customFormat="1" ht="15">
      <c r="A2" s="948" t="str">
        <f>Input!B3</f>
        <v>FPUC, FPUC - Common, FPUC - Indiantown, Florida Division of Chesapeake Utilities Corporation, FPUC - Ft Meade</v>
      </c>
      <c r="B2" s="948"/>
      <c r="C2" s="948"/>
      <c r="D2" s="948"/>
      <c r="E2" s="948"/>
      <c r="F2" s="948"/>
      <c r="G2" s="948"/>
      <c r="H2" s="948"/>
      <c r="I2" s="948"/>
      <c r="J2" s="948"/>
      <c r="K2" s="948"/>
      <c r="L2" s="948"/>
      <c r="M2" s="948"/>
      <c r="N2" s="948"/>
      <c r="O2" s="948"/>
      <c r="P2" s="948"/>
      <c r="Q2" s="948"/>
      <c r="R2" s="948"/>
      <c r="S2" s="948"/>
    </row>
    <row r="3" spans="1:19" s="647" customFormat="1" ht="15.75">
      <c r="A3" s="922" t="s">
        <v>216</v>
      </c>
      <c r="B3" s="922"/>
      <c r="C3" s="922"/>
      <c r="D3" s="922"/>
      <c r="E3" s="922"/>
      <c r="F3" s="922"/>
      <c r="G3" s="922"/>
      <c r="H3" s="922"/>
      <c r="I3" s="922"/>
      <c r="J3" s="922"/>
      <c r="K3" s="922"/>
      <c r="L3" s="922"/>
      <c r="M3" s="922"/>
      <c r="N3" s="922"/>
      <c r="O3" s="922"/>
      <c r="P3" s="922"/>
      <c r="Q3" s="922"/>
      <c r="R3" s="922"/>
      <c r="S3" s="922"/>
    </row>
    <row r="4" spans="1:19" s="647" customFormat="1" ht="15.75">
      <c r="A4" s="923">
        <v>2020</v>
      </c>
      <c r="B4" s="923"/>
      <c r="C4" s="923"/>
      <c r="D4" s="923"/>
      <c r="E4" s="923"/>
      <c r="F4" s="923"/>
      <c r="G4" s="923"/>
      <c r="H4" s="923"/>
      <c r="I4" s="923"/>
      <c r="J4" s="923"/>
      <c r="K4" s="923"/>
      <c r="L4" s="923"/>
      <c r="M4" s="923"/>
      <c r="N4" s="923"/>
      <c r="O4" s="923"/>
      <c r="P4" s="923"/>
      <c r="Q4" s="923"/>
      <c r="R4" s="923"/>
      <c r="S4" s="923"/>
    </row>
    <row r="5" ht="15.75" thickBot="1"/>
    <row r="6" spans="1:19" ht="15.75" thickTop="1">
      <c r="A6" s="917" t="s">
        <v>177</v>
      </c>
      <c r="B6" s="918"/>
      <c r="C6" s="918"/>
      <c r="D6" s="918"/>
      <c r="E6" s="918"/>
      <c r="F6" s="918"/>
      <c r="G6" s="918"/>
      <c r="H6" s="918"/>
      <c r="I6" s="209"/>
      <c r="J6" s="918" t="s">
        <v>217</v>
      </c>
      <c r="K6" s="918"/>
      <c r="L6" s="918"/>
      <c r="M6" s="918"/>
      <c r="N6" s="918"/>
      <c r="O6" s="918"/>
      <c r="P6" s="918"/>
      <c r="Q6" s="918"/>
      <c r="R6" s="918"/>
      <c r="S6" s="919"/>
    </row>
    <row r="7" spans="1:19" ht="15">
      <c r="A7" s="208" t="s">
        <v>178</v>
      </c>
      <c r="B7" s="545" t="s">
        <v>218</v>
      </c>
      <c r="C7" s="546"/>
      <c r="D7" s="546"/>
      <c r="E7" s="545" t="s">
        <v>219</v>
      </c>
      <c r="F7" s="545"/>
      <c r="G7" s="546"/>
      <c r="H7" s="545" t="s">
        <v>220</v>
      </c>
      <c r="I7" s="194"/>
      <c r="J7" s="547" t="s">
        <v>178</v>
      </c>
      <c r="K7" s="545" t="s">
        <v>218</v>
      </c>
      <c r="L7" s="546"/>
      <c r="M7" s="545" t="s">
        <v>219</v>
      </c>
      <c r="N7" s="546"/>
      <c r="O7" s="548" t="s">
        <v>221</v>
      </c>
      <c r="P7" s="545" t="s">
        <v>222</v>
      </c>
      <c r="Q7" s="545"/>
      <c r="R7" s="546"/>
      <c r="S7" s="203" t="s">
        <v>220</v>
      </c>
    </row>
    <row r="8" spans="1:19" ht="15">
      <c r="A8" s="202" t="s">
        <v>181</v>
      </c>
      <c r="B8" s="199" t="s">
        <v>223</v>
      </c>
      <c r="C8" s="199" t="s">
        <v>224</v>
      </c>
      <c r="D8" s="199" t="s">
        <v>194</v>
      </c>
      <c r="E8" s="199" t="s">
        <v>225</v>
      </c>
      <c r="F8" s="199" t="s">
        <v>226</v>
      </c>
      <c r="G8" s="199" t="s">
        <v>227</v>
      </c>
      <c r="H8" s="199" t="s">
        <v>223</v>
      </c>
      <c r="I8" s="201"/>
      <c r="J8" s="200" t="s">
        <v>181</v>
      </c>
      <c r="K8" s="199" t="s">
        <v>223</v>
      </c>
      <c r="L8" s="199" t="s">
        <v>228</v>
      </c>
      <c r="M8" s="199" t="s">
        <v>225</v>
      </c>
      <c r="N8" s="199" t="s">
        <v>194</v>
      </c>
      <c r="O8" s="199" t="s">
        <v>229</v>
      </c>
      <c r="P8" s="199" t="s">
        <v>230</v>
      </c>
      <c r="Q8" s="199" t="s">
        <v>226</v>
      </c>
      <c r="R8" s="199" t="s">
        <v>227</v>
      </c>
      <c r="S8" s="198" t="s">
        <v>223</v>
      </c>
    </row>
    <row r="9" spans="1:19" ht="15">
      <c r="A9" s="218">
        <v>3010</v>
      </c>
      <c r="B9" s="549">
        <f>'Sch. G 2019'!H9</f>
        <v>23328</v>
      </c>
      <c r="C9" s="549">
        <v>0</v>
      </c>
      <c r="D9" s="549">
        <v>0</v>
      </c>
      <c r="E9" s="549">
        <v>0</v>
      </c>
      <c r="F9" s="549">
        <v>0</v>
      </c>
      <c r="G9" s="549">
        <v>0</v>
      </c>
      <c r="H9" s="195">
        <f t="shared" si="0" ref="H9:H47">ROUND(SUM(B9:G9),0)</f>
        <v>23328</v>
      </c>
      <c r="I9" s="194"/>
      <c r="J9" s="550">
        <v>3010</v>
      </c>
      <c r="K9" s="549">
        <f>'Sch. G 2019'!S9</f>
        <v>23328</v>
      </c>
      <c r="L9" s="549">
        <v>0</v>
      </c>
      <c r="M9" s="549">
        <v>0</v>
      </c>
      <c r="N9" s="549">
        <v>0</v>
      </c>
      <c r="O9" s="549">
        <v>0</v>
      </c>
      <c r="P9" s="549">
        <v>0</v>
      </c>
      <c r="Q9" s="549">
        <v>0</v>
      </c>
      <c r="R9" s="549">
        <v>0</v>
      </c>
      <c r="S9" s="197">
        <f t="shared" si="1" ref="S9:S47">ROUND(SUM(K9:R9),0)</f>
        <v>23328</v>
      </c>
    </row>
    <row r="10" spans="1:19" ht="15">
      <c r="A10" s="218" t="s">
        <v>195</v>
      </c>
      <c r="B10" s="549">
        <f>'Sch. G 2019'!H10</f>
        <v>14132</v>
      </c>
      <c r="C10" s="549">
        <v>0</v>
      </c>
      <c r="D10" s="549">
        <v>0</v>
      </c>
      <c r="E10" s="549">
        <v>0</v>
      </c>
      <c r="F10" s="549">
        <v>0</v>
      </c>
      <c r="G10" s="549">
        <v>0</v>
      </c>
      <c r="H10" s="195">
        <f t="shared" si="0"/>
        <v>14132</v>
      </c>
      <c r="I10" s="194"/>
      <c r="J10" s="550" t="s">
        <v>195</v>
      </c>
      <c r="K10" s="549">
        <f>'Sch. G 2019'!S10</f>
        <v>13811</v>
      </c>
      <c r="L10" s="549">
        <v>321.69999999999999</v>
      </c>
      <c r="M10" s="549">
        <v>0</v>
      </c>
      <c r="N10" s="549">
        <v>0</v>
      </c>
      <c r="O10" s="549">
        <v>0</v>
      </c>
      <c r="P10" s="549">
        <v>0</v>
      </c>
      <c r="Q10" s="549">
        <v>0</v>
      </c>
      <c r="R10" s="549">
        <v>0</v>
      </c>
      <c r="S10" s="197">
        <f t="shared" si="1"/>
        <v>14133</v>
      </c>
    </row>
    <row r="11" spans="1:19" ht="15">
      <c r="A11" s="218" t="s">
        <v>196</v>
      </c>
      <c r="B11" s="549">
        <f>'Sch. G 2019'!H11</f>
        <v>213641</v>
      </c>
      <c r="C11" s="549">
        <v>0</v>
      </c>
      <c r="D11" s="549">
        <v>0</v>
      </c>
      <c r="E11" s="549">
        <v>0</v>
      </c>
      <c r="F11" s="549">
        <v>0</v>
      </c>
      <c r="G11" s="549">
        <v>0</v>
      </c>
      <c r="H11" s="195">
        <f t="shared" si="0"/>
        <v>213641</v>
      </c>
      <c r="I11" s="194"/>
      <c r="J11" s="550" t="s">
        <v>196</v>
      </c>
      <c r="K11" s="549">
        <f>'Sch. G 2019'!S11</f>
        <v>127642</v>
      </c>
      <c r="L11" s="549">
        <v>0</v>
      </c>
      <c r="M11" s="549">
        <v>0</v>
      </c>
      <c r="N11" s="549">
        <v>0</v>
      </c>
      <c r="O11" s="549">
        <v>0</v>
      </c>
      <c r="P11" s="549">
        <v>0</v>
      </c>
      <c r="Q11" s="549">
        <v>0</v>
      </c>
      <c r="R11" s="549">
        <v>0</v>
      </c>
      <c r="S11" s="197">
        <f t="shared" si="1"/>
        <v>127642</v>
      </c>
    </row>
    <row r="12" spans="1:19" ht="15">
      <c r="A12" s="218" t="s">
        <v>197</v>
      </c>
      <c r="B12" s="549">
        <f>'Sch. G 2019'!H12</f>
        <v>376799</v>
      </c>
      <c r="C12" s="549">
        <v>0</v>
      </c>
      <c r="D12" s="549">
        <v>0</v>
      </c>
      <c r="E12" s="549">
        <v>0</v>
      </c>
      <c r="F12" s="549">
        <v>0</v>
      </c>
      <c r="G12" s="549">
        <v>0</v>
      </c>
      <c r="H12" s="195">
        <f t="shared" si="0"/>
        <v>376799</v>
      </c>
      <c r="I12" s="194"/>
      <c r="J12" s="550" t="s">
        <v>197</v>
      </c>
      <c r="K12" s="549">
        <f>'Sch. G 2019'!S12</f>
        <v>0</v>
      </c>
      <c r="L12" s="549">
        <v>658</v>
      </c>
      <c r="M12" s="549">
        <v>0</v>
      </c>
      <c r="N12" s="549">
        <v>0</v>
      </c>
      <c r="O12" s="549">
        <v>0</v>
      </c>
      <c r="P12" s="549">
        <v>0</v>
      </c>
      <c r="Q12" s="549">
        <v>0</v>
      </c>
      <c r="R12" s="549">
        <v>0</v>
      </c>
      <c r="S12" s="197">
        <f t="shared" si="1"/>
        <v>658</v>
      </c>
    </row>
    <row r="13" spans="1:19" ht="15">
      <c r="A13" s="218">
        <v>3741</v>
      </c>
      <c r="B13" s="549">
        <f>'Sch. G 2019'!H13</f>
        <v>12910</v>
      </c>
      <c r="C13" s="549">
        <v>0</v>
      </c>
      <c r="D13" s="549">
        <v>0</v>
      </c>
      <c r="E13" s="549">
        <v>20500</v>
      </c>
      <c r="F13" s="549">
        <v>0</v>
      </c>
      <c r="G13" s="549">
        <v>0</v>
      </c>
      <c r="H13" s="195">
        <f t="shared" si="0"/>
        <v>33410</v>
      </c>
      <c r="I13" s="194"/>
      <c r="J13" s="550">
        <v>3741</v>
      </c>
      <c r="K13" s="549">
        <f>'Sch. G 2019'!S13</f>
        <v>8328</v>
      </c>
      <c r="L13" s="549">
        <v>709.36000000000001</v>
      </c>
      <c r="M13" s="549">
        <v>0</v>
      </c>
      <c r="N13" s="549">
        <v>0</v>
      </c>
      <c r="O13" s="549">
        <v>0</v>
      </c>
      <c r="P13" s="549">
        <v>0</v>
      </c>
      <c r="Q13" s="549">
        <v>0</v>
      </c>
      <c r="R13" s="549">
        <v>0</v>
      </c>
      <c r="S13" s="197">
        <f t="shared" si="1"/>
        <v>9037</v>
      </c>
    </row>
    <row r="14" spans="1:19" ht="15">
      <c r="A14" s="218" t="s">
        <v>198</v>
      </c>
      <c r="B14" s="549">
        <f>'Sch. G 2019'!H14</f>
        <v>1912783.55</v>
      </c>
      <c r="C14" s="549">
        <v>68113.209999999992</v>
      </c>
      <c r="D14" s="549">
        <v>-469221.81999999995</v>
      </c>
      <c r="E14" s="549">
        <v>0</v>
      </c>
      <c r="F14" s="549">
        <v>0</v>
      </c>
      <c r="G14" s="549">
        <v>0</v>
      </c>
      <c r="H14" s="195">
        <f t="shared" si="0"/>
        <v>1511675</v>
      </c>
      <c r="I14" s="194"/>
      <c r="J14" s="550" t="s">
        <v>198</v>
      </c>
      <c r="K14" s="549">
        <f>'Sch. G 2019'!S14</f>
        <v>717779</v>
      </c>
      <c r="L14" s="549">
        <v>48533.059999999998</v>
      </c>
      <c r="M14" s="549">
        <v>0</v>
      </c>
      <c r="N14" s="549">
        <v>-469221.81999999995</v>
      </c>
      <c r="O14" s="549">
        <v>0</v>
      </c>
      <c r="P14" s="549">
        <v>-8200</v>
      </c>
      <c r="Q14" s="549">
        <v>0</v>
      </c>
      <c r="R14" s="549">
        <v>0</v>
      </c>
      <c r="S14" s="197">
        <f t="shared" si="1"/>
        <v>288890</v>
      </c>
    </row>
    <row r="15" spans="1:19" ht="15">
      <c r="A15" s="218">
        <v>3761</v>
      </c>
      <c r="B15" s="549">
        <f>'Sch. G 2019'!H15</f>
        <v>99982652.549999997</v>
      </c>
      <c r="C15" s="549">
        <v>8949390.0500000007</v>
      </c>
      <c r="D15" s="549">
        <v>-38011.010000000002</v>
      </c>
      <c r="E15" s="549">
        <v>0</v>
      </c>
      <c r="F15" s="549">
        <v>0</v>
      </c>
      <c r="G15" s="549">
        <v>0</v>
      </c>
      <c r="H15" s="195">
        <f t="shared" si="0"/>
        <v>108894032</v>
      </c>
      <c r="I15" s="194"/>
      <c r="J15" s="550">
        <v>3761</v>
      </c>
      <c r="K15" s="553">
        <f>'Sch. G 2019'!S15</f>
        <v>26635368</v>
      </c>
      <c r="L15" s="549">
        <v>2173586.1600000001</v>
      </c>
      <c r="M15" s="549">
        <v>0</v>
      </c>
      <c r="N15" s="549">
        <v>-38011.010000000002</v>
      </c>
      <c r="O15" s="549">
        <v>0</v>
      </c>
      <c r="P15" s="549">
        <v>-212441.46000000002</v>
      </c>
      <c r="Q15" s="549">
        <v>13</v>
      </c>
      <c r="R15" s="549">
        <v>0</v>
      </c>
      <c r="S15" s="197">
        <f t="shared" si="1"/>
        <v>28558515</v>
      </c>
    </row>
    <row r="16" spans="1:19" ht="15">
      <c r="A16" s="218">
        <v>3762</v>
      </c>
      <c r="B16" s="549">
        <f>'Sch. G 2019'!H16</f>
        <v>59959036.68</v>
      </c>
      <c r="C16" s="549">
        <v>525921.80999999994</v>
      </c>
      <c r="D16" s="549">
        <v>-219489.84000000003</v>
      </c>
      <c r="E16" s="549">
        <v>0</v>
      </c>
      <c r="F16" s="549">
        <v>0</v>
      </c>
      <c r="G16" s="549">
        <v>0</v>
      </c>
      <c r="H16" s="195">
        <f t="shared" si="0"/>
        <v>60265469</v>
      </c>
      <c r="I16" s="194"/>
      <c r="J16" s="550">
        <v>3762</v>
      </c>
      <c r="K16" s="553">
        <f>'Sch. G 2019'!S16</f>
        <v>29107328</v>
      </c>
      <c r="L16" s="549">
        <v>1323923.53</v>
      </c>
      <c r="M16" s="549">
        <v>0</v>
      </c>
      <c r="N16" s="549">
        <v>-219489.84000000003</v>
      </c>
      <c r="O16" s="549">
        <v>0</v>
      </c>
      <c r="P16" s="549">
        <v>-547947.60999999999</v>
      </c>
      <c r="Q16" s="549">
        <v>0</v>
      </c>
      <c r="R16" s="549">
        <v>0</v>
      </c>
      <c r="S16" s="197">
        <f t="shared" si="1"/>
        <v>29663814</v>
      </c>
    </row>
    <row r="17" spans="1:19" ht="15">
      <c r="A17" s="218" t="s">
        <v>87</v>
      </c>
      <c r="B17" s="549">
        <f>'Sch. G 2019'!H17</f>
        <v>113476806.25</v>
      </c>
      <c r="C17" s="549">
        <v>11999520.640000001</v>
      </c>
      <c r="D17" s="549">
        <v>0</v>
      </c>
      <c r="E17" s="549">
        <v>0</v>
      </c>
      <c r="F17" s="549">
        <v>0</v>
      </c>
      <c r="G17" s="549">
        <v>0</v>
      </c>
      <c r="H17" s="195">
        <f t="shared" si="0"/>
        <v>125476327</v>
      </c>
      <c r="I17" s="194"/>
      <c r="J17" s="550" t="s">
        <v>87</v>
      </c>
      <c r="K17" s="553">
        <f>'Sch. G 2019'!S17</f>
        <v>9068437</v>
      </c>
      <c r="L17" s="549">
        <v>2467736.7999999998</v>
      </c>
      <c r="M17" s="549">
        <v>0</v>
      </c>
      <c r="N17" s="549">
        <v>0</v>
      </c>
      <c r="O17" s="549">
        <v>0</v>
      </c>
      <c r="P17" s="549">
        <v>-10472.5</v>
      </c>
      <c r="Q17" s="549">
        <v>0</v>
      </c>
      <c r="R17" s="549">
        <v>0</v>
      </c>
      <c r="S17" s="197">
        <f t="shared" si="1"/>
        <v>11525701</v>
      </c>
    </row>
    <row r="18" spans="1:19" ht="15">
      <c r="A18" s="218" t="s">
        <v>199</v>
      </c>
      <c r="B18" s="549">
        <f>'Sch. G 2019'!H18</f>
        <v>4513966.3300000001</v>
      </c>
      <c r="C18" s="549">
        <v>174953.57000000001</v>
      </c>
      <c r="D18" s="549">
        <v>0</v>
      </c>
      <c r="E18" s="549">
        <v>0</v>
      </c>
      <c r="F18" s="549">
        <v>0</v>
      </c>
      <c r="G18" s="549">
        <v>0</v>
      </c>
      <c r="H18" s="195">
        <f t="shared" si="0"/>
        <v>4688920</v>
      </c>
      <c r="I18" s="194"/>
      <c r="J18" s="550" t="s">
        <v>199</v>
      </c>
      <c r="K18" s="553">
        <f>'Sch. G 2019'!S18</f>
        <v>1229259</v>
      </c>
      <c r="L18" s="549">
        <v>161312.63</v>
      </c>
      <c r="M18" s="549">
        <v>0</v>
      </c>
      <c r="N18" s="549">
        <v>0</v>
      </c>
      <c r="O18" s="549">
        <v>0</v>
      </c>
      <c r="P18" s="549">
        <v>0</v>
      </c>
      <c r="Q18" s="549">
        <v>0</v>
      </c>
      <c r="R18" s="549">
        <v>0</v>
      </c>
      <c r="S18" s="197">
        <f t="shared" si="1"/>
        <v>1390572</v>
      </c>
    </row>
    <row r="19" spans="1:19" ht="15">
      <c r="A19" s="218" t="s">
        <v>200</v>
      </c>
      <c r="B19" s="549">
        <f>'Sch. G 2019'!H19</f>
        <v>13609306.18</v>
      </c>
      <c r="C19" s="549">
        <v>237695.42999999999</v>
      </c>
      <c r="D19" s="549">
        <v>0</v>
      </c>
      <c r="E19" s="549">
        <v>0</v>
      </c>
      <c r="F19" s="549">
        <v>0</v>
      </c>
      <c r="G19" s="549">
        <v>0</v>
      </c>
      <c r="H19" s="195">
        <f t="shared" si="0"/>
        <v>13847002</v>
      </c>
      <c r="I19" s="194"/>
      <c r="J19" s="550" t="s">
        <v>200</v>
      </c>
      <c r="K19" s="549">
        <f>'Sch. G 2019'!S19</f>
        <v>4612784</v>
      </c>
      <c r="L19" s="549">
        <v>425836.58999999997</v>
      </c>
      <c r="M19" s="549">
        <v>0</v>
      </c>
      <c r="N19" s="549">
        <v>0</v>
      </c>
      <c r="O19" s="549">
        <v>0</v>
      </c>
      <c r="P19" s="549">
        <v>0</v>
      </c>
      <c r="Q19" s="549">
        <v>0</v>
      </c>
      <c r="R19" s="549">
        <v>0</v>
      </c>
      <c r="S19" s="197">
        <f t="shared" si="1"/>
        <v>5038621</v>
      </c>
    </row>
    <row r="20" spans="1:19" ht="15">
      <c r="A20" s="218">
        <v>3801</v>
      </c>
      <c r="B20" s="549">
        <f>'Sch. G 2019'!H20</f>
        <v>55137699.710000001</v>
      </c>
      <c r="C20" s="549">
        <v>4916265.2400000002</v>
      </c>
      <c r="D20" s="549">
        <v>-522330.81</v>
      </c>
      <c r="E20" s="549">
        <v>0</v>
      </c>
      <c r="F20" s="549">
        <v>0</v>
      </c>
      <c r="G20" s="549">
        <v>0</v>
      </c>
      <c r="H20" s="195">
        <f t="shared" si="0"/>
        <v>59531634</v>
      </c>
      <c r="I20" s="194"/>
      <c r="J20" s="550">
        <v>3801</v>
      </c>
      <c r="K20" s="549">
        <f>'Sch. G 2019'!S20</f>
        <v>13787662</v>
      </c>
      <c r="L20" s="549">
        <v>1253393.8100000001</v>
      </c>
      <c r="M20" s="549">
        <v>0</v>
      </c>
      <c r="N20" s="549">
        <v>-522330.81</v>
      </c>
      <c r="O20" s="549">
        <v>0</v>
      </c>
      <c r="P20" s="549">
        <v>-437101.88</v>
      </c>
      <c r="Q20" s="549">
        <v>31</v>
      </c>
      <c r="R20" s="549">
        <v>0</v>
      </c>
      <c r="S20" s="197">
        <f t="shared" si="1"/>
        <v>14081654</v>
      </c>
    </row>
    <row r="21" spans="1:19" ht="15">
      <c r="A21" s="218">
        <v>3802</v>
      </c>
      <c r="B21" s="549">
        <f>'Sch. G 2019'!H21</f>
        <v>1715666.45</v>
      </c>
      <c r="C21" s="549">
        <v>800</v>
      </c>
      <c r="D21" s="549">
        <v>-51439.479999999996</v>
      </c>
      <c r="E21" s="549">
        <v>0</v>
      </c>
      <c r="F21" s="549">
        <v>0</v>
      </c>
      <c r="G21" s="549">
        <v>0</v>
      </c>
      <c r="H21" s="195">
        <f t="shared" si="0"/>
        <v>1665027</v>
      </c>
      <c r="I21" s="194"/>
      <c r="J21" s="550">
        <v>3802</v>
      </c>
      <c r="K21" s="549">
        <f>'Sch. G 2019'!S21</f>
        <v>2355331</v>
      </c>
      <c r="L21" s="549">
        <v>156438.48000000001</v>
      </c>
      <c r="M21" s="549">
        <v>0</v>
      </c>
      <c r="N21" s="549">
        <v>-51439.479999999996</v>
      </c>
      <c r="O21" s="549">
        <v>0</v>
      </c>
      <c r="P21" s="549">
        <v>-84810.360000000001</v>
      </c>
      <c r="Q21" s="549">
        <v>0</v>
      </c>
      <c r="R21" s="549">
        <v>0</v>
      </c>
      <c r="S21" s="197">
        <f t="shared" si="1"/>
        <v>2375520</v>
      </c>
    </row>
    <row r="22" spans="1:19" ht="15">
      <c r="A22" s="218" t="s">
        <v>95</v>
      </c>
      <c r="B22" s="549">
        <f>'Sch. G 2019'!H22</f>
        <v>29761558.649999999</v>
      </c>
      <c r="C22" s="549">
        <v>7292157.7800000003</v>
      </c>
      <c r="D22" s="549">
        <v>0</v>
      </c>
      <c r="E22" s="549">
        <v>0</v>
      </c>
      <c r="F22" s="549">
        <v>0</v>
      </c>
      <c r="G22" s="549">
        <v>0</v>
      </c>
      <c r="H22" s="195">
        <f t="shared" si="0"/>
        <v>37053716</v>
      </c>
      <c r="I22" s="194"/>
      <c r="J22" s="550" t="s">
        <v>95</v>
      </c>
      <c r="K22" s="549">
        <f>'Sch. G 2019'!S22</f>
        <v>616045</v>
      </c>
      <c r="L22" s="549">
        <v>716246.09000000008</v>
      </c>
      <c r="M22" s="549">
        <v>0</v>
      </c>
      <c r="N22" s="549">
        <v>0</v>
      </c>
      <c r="O22" s="549">
        <v>0</v>
      </c>
      <c r="P22" s="549">
        <v>-15201.870000000001</v>
      </c>
      <c r="Q22" s="549">
        <v>0</v>
      </c>
      <c r="R22" s="549">
        <v>0</v>
      </c>
      <c r="S22" s="197">
        <f t="shared" si="1"/>
        <v>1317089</v>
      </c>
    </row>
    <row r="23" spans="1:19" ht="15">
      <c r="A23" s="218" t="s">
        <v>201</v>
      </c>
      <c r="B23" s="549">
        <f>'Sch. G 2019'!H23</f>
        <v>17912002.609999999</v>
      </c>
      <c r="C23" s="549">
        <v>2170001.6500000004</v>
      </c>
      <c r="D23" s="549">
        <v>-233414.30000000002</v>
      </c>
      <c r="E23" s="549">
        <v>0</v>
      </c>
      <c r="F23" s="549">
        <v>0</v>
      </c>
      <c r="G23" s="549">
        <v>0</v>
      </c>
      <c r="H23" s="195">
        <f t="shared" si="0"/>
        <v>19848590</v>
      </c>
      <c r="I23" s="194"/>
      <c r="J23" s="550" t="s">
        <v>201</v>
      </c>
      <c r="K23" s="549">
        <f>'Sch. G 2019'!S23</f>
        <v>5803235</v>
      </c>
      <c r="L23" s="549">
        <v>666910.5</v>
      </c>
      <c r="M23" s="549">
        <v>0</v>
      </c>
      <c r="N23" s="549">
        <v>-233414.30000000002</v>
      </c>
      <c r="O23" s="549">
        <v>0</v>
      </c>
      <c r="P23" s="549">
        <v>0</v>
      </c>
      <c r="Q23" s="549">
        <v>7.7800000000000011</v>
      </c>
      <c r="R23" s="549">
        <v>0</v>
      </c>
      <c r="S23" s="197">
        <f t="shared" si="1"/>
        <v>6236739</v>
      </c>
    </row>
    <row r="24" spans="1:19" ht="15">
      <c r="A24" s="218">
        <v>3811</v>
      </c>
      <c r="B24" s="549">
        <f>'Sch. G 2019'!H24</f>
        <v>2236536</v>
      </c>
      <c r="C24" s="549">
        <v>0</v>
      </c>
      <c r="D24" s="549">
        <v>0</v>
      </c>
      <c r="E24" s="549">
        <v>0</v>
      </c>
      <c r="F24" s="549">
        <v>0</v>
      </c>
      <c r="G24" s="549">
        <v>0</v>
      </c>
      <c r="H24" s="195">
        <f t="shared" si="0"/>
        <v>2236536</v>
      </c>
      <c r="I24" s="194"/>
      <c r="J24" s="550">
        <v>3811</v>
      </c>
      <c r="K24" s="549">
        <f>'Sch. G 2019'!S24</f>
        <v>1160283</v>
      </c>
      <c r="L24" s="549">
        <v>96853.159999999989</v>
      </c>
      <c r="M24" s="549">
        <v>0</v>
      </c>
      <c r="N24" s="549">
        <v>0</v>
      </c>
      <c r="O24" s="549">
        <v>0</v>
      </c>
      <c r="P24" s="549">
        <v>0</v>
      </c>
      <c r="Q24" s="549">
        <v>0</v>
      </c>
      <c r="R24" s="549">
        <v>0</v>
      </c>
      <c r="S24" s="197">
        <f t="shared" si="1"/>
        <v>1257136</v>
      </c>
    </row>
    <row r="25" spans="1:19" ht="15">
      <c r="A25" s="218" t="s">
        <v>202</v>
      </c>
      <c r="B25" s="549">
        <f>'Sch. G 2019'!H25</f>
        <v>14927244.51</v>
      </c>
      <c r="C25" s="549">
        <v>1306449.3900000001</v>
      </c>
      <c r="D25" s="549">
        <v>0</v>
      </c>
      <c r="E25" s="549">
        <v>0</v>
      </c>
      <c r="F25" s="549">
        <v>0</v>
      </c>
      <c r="G25" s="549">
        <v>0</v>
      </c>
      <c r="H25" s="195">
        <f t="shared" si="0"/>
        <v>16233694</v>
      </c>
      <c r="I25" s="194"/>
      <c r="J25" s="550" t="s">
        <v>202</v>
      </c>
      <c r="K25" s="549">
        <f>'Sch. G 2019'!S25</f>
        <v>3605262</v>
      </c>
      <c r="L25" s="549">
        <v>489858.33000000002</v>
      </c>
      <c r="M25" s="549">
        <v>0</v>
      </c>
      <c r="N25" s="549">
        <v>0</v>
      </c>
      <c r="O25" s="549">
        <v>0</v>
      </c>
      <c r="P25" s="549">
        <v>-39827.940000000002</v>
      </c>
      <c r="Q25" s="549">
        <v>0</v>
      </c>
      <c r="R25" s="549">
        <v>0</v>
      </c>
      <c r="S25" s="197">
        <f t="shared" si="1"/>
        <v>4055292</v>
      </c>
    </row>
    <row r="26" spans="1:19" ht="15">
      <c r="A26" s="218">
        <v>3821</v>
      </c>
      <c r="B26" s="549">
        <f>'Sch. G 2019'!H26</f>
        <v>593040</v>
      </c>
      <c r="C26" s="549">
        <v>0</v>
      </c>
      <c r="D26" s="549">
        <v>0</v>
      </c>
      <c r="E26" s="549">
        <v>0</v>
      </c>
      <c r="F26" s="549">
        <v>0</v>
      </c>
      <c r="G26" s="549">
        <v>0</v>
      </c>
      <c r="H26" s="195">
        <f t="shared" si="0"/>
        <v>593040</v>
      </c>
      <c r="I26" s="194"/>
      <c r="J26" s="550">
        <v>3821</v>
      </c>
      <c r="K26" s="549">
        <f>'Sch. G 2019'!S26</f>
        <v>237188</v>
      </c>
      <c r="L26" s="549">
        <v>15419.360000000001</v>
      </c>
      <c r="M26" s="549">
        <v>0</v>
      </c>
      <c r="N26" s="549">
        <v>0</v>
      </c>
      <c r="O26" s="549">
        <v>0</v>
      </c>
      <c r="P26" s="549">
        <v>0</v>
      </c>
      <c r="Q26" s="549">
        <v>0</v>
      </c>
      <c r="R26" s="549">
        <v>0</v>
      </c>
      <c r="S26" s="197">
        <f t="shared" si="1"/>
        <v>252607</v>
      </c>
    </row>
    <row r="27" spans="1:19" ht="15">
      <c r="A27" s="218" t="s">
        <v>203</v>
      </c>
      <c r="B27" s="549">
        <f>'Sch. G 2019'!H27</f>
        <v>5679501.7400000002</v>
      </c>
      <c r="C27" s="549">
        <v>491545.96999999997</v>
      </c>
      <c r="D27" s="549">
        <v>-11591.15</v>
      </c>
      <c r="E27" s="549">
        <v>0</v>
      </c>
      <c r="F27" s="549">
        <v>0</v>
      </c>
      <c r="G27" s="549">
        <v>0</v>
      </c>
      <c r="H27" s="195">
        <f t="shared" si="0"/>
        <v>6159457</v>
      </c>
      <c r="I27" s="194"/>
      <c r="J27" s="550" t="s">
        <v>203</v>
      </c>
      <c r="K27" s="549">
        <f>'Sch. G 2019'!S27</f>
        <v>2525079</v>
      </c>
      <c r="L27" s="549">
        <v>192640.95999999999</v>
      </c>
      <c r="M27" s="549">
        <v>0</v>
      </c>
      <c r="N27" s="549">
        <v>-11591.15</v>
      </c>
      <c r="O27" s="549">
        <v>0</v>
      </c>
      <c r="P27" s="549">
        <v>-34.640000000000001</v>
      </c>
      <c r="Q27" s="549">
        <v>0</v>
      </c>
      <c r="R27" s="549">
        <v>0</v>
      </c>
      <c r="S27" s="197">
        <f t="shared" si="1"/>
        <v>2706094</v>
      </c>
    </row>
    <row r="28" spans="1:19" ht="15">
      <c r="A28" s="218" t="s">
        <v>204</v>
      </c>
      <c r="B28" s="549">
        <f>'Sch. G 2019'!H28</f>
        <v>1043751.05</v>
      </c>
      <c r="C28" s="549">
        <v>0</v>
      </c>
      <c r="D28" s="549">
        <v>0</v>
      </c>
      <c r="E28" s="549">
        <v>0</v>
      </c>
      <c r="F28" s="549">
        <v>0</v>
      </c>
      <c r="G28" s="549">
        <v>0</v>
      </c>
      <c r="H28" s="195">
        <f t="shared" si="0"/>
        <v>1043751</v>
      </c>
      <c r="I28" s="194"/>
      <c r="J28" s="550" t="s">
        <v>204</v>
      </c>
      <c r="K28" s="549">
        <f>'Sch. G 2019'!S28</f>
        <v>608877</v>
      </c>
      <c r="L28" s="549">
        <v>28179.52</v>
      </c>
      <c r="M28" s="549">
        <v>0</v>
      </c>
      <c r="N28" s="549">
        <v>0</v>
      </c>
      <c r="O28" s="549">
        <v>0</v>
      </c>
      <c r="P28" s="549">
        <v>0</v>
      </c>
      <c r="Q28" s="549">
        <v>0</v>
      </c>
      <c r="R28" s="549">
        <v>0</v>
      </c>
      <c r="S28" s="197">
        <f t="shared" si="1"/>
        <v>637057</v>
      </c>
    </row>
    <row r="29" spans="1:19" ht="15">
      <c r="A29" s="218" t="s">
        <v>205</v>
      </c>
      <c r="B29" s="549">
        <f>'Sch. G 2019'!H29</f>
        <v>1849823</v>
      </c>
      <c r="C29" s="549">
        <v>159199.34999999998</v>
      </c>
      <c r="D29" s="549">
        <v>0</v>
      </c>
      <c r="E29" s="549">
        <v>0</v>
      </c>
      <c r="F29" s="549">
        <v>0</v>
      </c>
      <c r="G29" s="549">
        <v>0</v>
      </c>
      <c r="H29" s="195">
        <f t="shared" si="0"/>
        <v>2009022</v>
      </c>
      <c r="I29" s="194"/>
      <c r="J29" s="550" t="s">
        <v>205</v>
      </c>
      <c r="K29" s="549">
        <f>'Sch. G 2019'!S29</f>
        <v>1145055</v>
      </c>
      <c r="L29" s="549">
        <v>44892.390000000007</v>
      </c>
      <c r="M29" s="549">
        <v>0</v>
      </c>
      <c r="N29" s="549">
        <v>0</v>
      </c>
      <c r="O29" s="549">
        <v>0</v>
      </c>
      <c r="P29" s="549">
        <v>-6224.5799999999999</v>
      </c>
      <c r="Q29" s="549">
        <v>0</v>
      </c>
      <c r="R29" s="549">
        <v>0</v>
      </c>
      <c r="S29" s="197">
        <f t="shared" si="1"/>
        <v>1183723</v>
      </c>
    </row>
    <row r="30" spans="1:19" ht="15">
      <c r="A30" s="218" t="s">
        <v>206</v>
      </c>
      <c r="B30" s="549">
        <f>'Sch. G 2019'!H30</f>
        <v>3042210.0099999998</v>
      </c>
      <c r="C30" s="549">
        <v>45887.440000000002</v>
      </c>
      <c r="D30" s="549">
        <v>-89547.169999999984</v>
      </c>
      <c r="E30" s="549">
        <v>0</v>
      </c>
      <c r="F30" s="549">
        <v>0</v>
      </c>
      <c r="G30" s="549">
        <v>0</v>
      </c>
      <c r="H30" s="195">
        <f t="shared" si="0"/>
        <v>2998550</v>
      </c>
      <c r="I30" s="194"/>
      <c r="J30" s="550" t="s">
        <v>206</v>
      </c>
      <c r="K30" s="549">
        <f>'Sch. G 2019'!S30</f>
        <v>1215098</v>
      </c>
      <c r="L30" s="549">
        <v>121280.62</v>
      </c>
      <c r="M30" s="549">
        <v>0</v>
      </c>
      <c r="N30" s="549">
        <v>-89547.169999999984</v>
      </c>
      <c r="O30" s="549">
        <v>0</v>
      </c>
      <c r="P30" s="549">
        <v>0</v>
      </c>
      <c r="Q30" s="549">
        <v>0</v>
      </c>
      <c r="R30" s="549">
        <v>0</v>
      </c>
      <c r="S30" s="197">
        <f t="shared" si="1"/>
        <v>1246831</v>
      </c>
    </row>
    <row r="31" spans="1:19" ht="15">
      <c r="A31" s="218" t="s">
        <v>207</v>
      </c>
      <c r="B31" s="549">
        <f>'Sch. G 2019'!H31</f>
        <v>4909349.7000000002</v>
      </c>
      <c r="C31" s="549">
        <v>13291.75</v>
      </c>
      <c r="D31" s="549">
        <v>-3545163.46</v>
      </c>
      <c r="E31" s="549">
        <v>-20500</v>
      </c>
      <c r="F31" s="549">
        <v>0</v>
      </c>
      <c r="G31" s="549">
        <v>0</v>
      </c>
      <c r="H31" s="195">
        <f t="shared" si="0"/>
        <v>1356978</v>
      </c>
      <c r="I31" s="194"/>
      <c r="J31" s="550" t="s">
        <v>207</v>
      </c>
      <c r="K31" s="549">
        <f>'Sch. G 2019'!S31</f>
        <v>1318</v>
      </c>
      <c r="L31" s="549">
        <v>0</v>
      </c>
      <c r="M31" s="549">
        <v>0</v>
      </c>
      <c r="N31" s="549">
        <v>0</v>
      </c>
      <c r="O31" s="549">
        <v>0</v>
      </c>
      <c r="P31" s="549">
        <v>0</v>
      </c>
      <c r="Q31" s="549">
        <v>0</v>
      </c>
      <c r="R31" s="549">
        <v>0</v>
      </c>
      <c r="S31" s="197">
        <f t="shared" si="1"/>
        <v>1318</v>
      </c>
    </row>
    <row r="32" spans="1:19" ht="15">
      <c r="A32" s="218" t="s">
        <v>208</v>
      </c>
      <c r="B32" s="549">
        <f>'Sch. G 2019'!H32</f>
        <v>9964835.9000000004</v>
      </c>
      <c r="C32" s="549">
        <v>747456.14000000001</v>
      </c>
      <c r="D32" s="549">
        <v>-101949.61000000002</v>
      </c>
      <c r="E32" s="549">
        <v>0</v>
      </c>
      <c r="F32" s="549">
        <v>0</v>
      </c>
      <c r="G32" s="549">
        <v>0</v>
      </c>
      <c r="H32" s="195">
        <f t="shared" si="0"/>
        <v>10610342</v>
      </c>
      <c r="I32" s="194"/>
      <c r="J32" s="550" t="s">
        <v>208</v>
      </c>
      <c r="K32" s="549">
        <f>'Sch. G 2019'!S32</f>
        <v>506024</v>
      </c>
      <c r="L32" s="549">
        <v>243318.5</v>
      </c>
      <c r="M32" s="549">
        <v>0</v>
      </c>
      <c r="N32" s="549">
        <v>-101949.61000000002</v>
      </c>
      <c r="O32" s="549">
        <v>0</v>
      </c>
      <c r="P32" s="549">
        <v>0</v>
      </c>
      <c r="Q32" s="549">
        <v>0</v>
      </c>
      <c r="R32" s="549">
        <v>0</v>
      </c>
      <c r="S32" s="197">
        <f t="shared" si="1"/>
        <v>647393</v>
      </c>
    </row>
    <row r="33" spans="1:19" ht="15">
      <c r="A33" s="218">
        <v>3910</v>
      </c>
      <c r="B33" s="549">
        <f>'Sch. G 2019'!H33</f>
        <v>1692498.27</v>
      </c>
      <c r="C33" s="549">
        <v>111217.46000000001</v>
      </c>
      <c r="D33" s="549">
        <v>-50480.710000000006</v>
      </c>
      <c r="E33" s="549">
        <v>0</v>
      </c>
      <c r="F33" s="549">
        <v>117964.00999999999</v>
      </c>
      <c r="G33" s="549">
        <v>0</v>
      </c>
      <c r="H33" s="195">
        <f t="shared" si="0"/>
        <v>1871199</v>
      </c>
      <c r="I33" s="196"/>
      <c r="J33" s="550">
        <v>3910</v>
      </c>
      <c r="K33" s="549">
        <f>'Sch. G 2019'!S33</f>
        <v>939512</v>
      </c>
      <c r="L33" s="549">
        <v>271673.70999999996</v>
      </c>
      <c r="M33" s="549">
        <v>0</v>
      </c>
      <c r="N33" s="549">
        <v>-50480.710000000006</v>
      </c>
      <c r="O33" s="549">
        <v>0</v>
      </c>
      <c r="P33" s="549">
        <v>0</v>
      </c>
      <c r="Q33" s="549">
        <v>73942.010000000009</v>
      </c>
      <c r="R33" s="549">
        <v>0</v>
      </c>
      <c r="S33" s="192">
        <f t="shared" si="1"/>
        <v>1234647</v>
      </c>
    </row>
    <row r="34" spans="1:21" ht="15">
      <c r="A34" s="218">
        <v>3912</v>
      </c>
      <c r="B34" s="549">
        <f>'Sch. G 2019'!H34</f>
        <v>1167608.9199999999</v>
      </c>
      <c r="C34" s="549">
        <v>165.25</v>
      </c>
      <c r="D34" s="549">
        <v>-740055.60999999987</v>
      </c>
      <c r="E34" s="549">
        <v>0</v>
      </c>
      <c r="F34" s="549">
        <v>0</v>
      </c>
      <c r="G34" s="549">
        <v>0</v>
      </c>
      <c r="H34" s="195">
        <f t="shared" si="0"/>
        <v>427719</v>
      </c>
      <c r="I34" s="196"/>
      <c r="J34" s="550">
        <v>3912</v>
      </c>
      <c r="K34" s="549">
        <f>'Sch. G 2019'!S34</f>
        <v>228588</v>
      </c>
      <c r="L34" s="549">
        <v>55009.440000000002</v>
      </c>
      <c r="M34" s="549">
        <v>0</v>
      </c>
      <c r="N34" s="549">
        <v>-740055.60999999987</v>
      </c>
      <c r="O34" s="549">
        <v>0</v>
      </c>
      <c r="P34" s="549">
        <v>0</v>
      </c>
      <c r="Q34" s="549">
        <v>-187375</v>
      </c>
      <c r="R34" s="549">
        <v>0</v>
      </c>
      <c r="S34" s="192">
        <f t="shared" si="1"/>
        <v>-643833</v>
      </c>
      <c r="U34" s="371"/>
    </row>
    <row r="35" spans="1:19" ht="15">
      <c r="A35" s="218">
        <v>3913</v>
      </c>
      <c r="B35" s="549">
        <f>'Sch. G 2019'!H35</f>
        <v>676912.37</v>
      </c>
      <c r="C35" s="549">
        <v>0</v>
      </c>
      <c r="D35" s="549">
        <v>-55494.500000000007</v>
      </c>
      <c r="E35" s="549">
        <v>0</v>
      </c>
      <c r="F35" s="549">
        <v>0</v>
      </c>
      <c r="G35" s="549">
        <v>0</v>
      </c>
      <c r="H35" s="195">
        <f t="shared" si="0"/>
        <v>621418</v>
      </c>
      <c r="I35" s="196"/>
      <c r="J35" s="550">
        <v>3913</v>
      </c>
      <c r="K35" s="549">
        <f>'Sch. G 2019'!S35</f>
        <v>40774</v>
      </c>
      <c r="L35" s="549">
        <v>34006.559999999998</v>
      </c>
      <c r="M35" s="549">
        <v>0</v>
      </c>
      <c r="N35" s="549">
        <v>-55494.500000000007</v>
      </c>
      <c r="O35" s="549">
        <v>0</v>
      </c>
      <c r="P35" s="549">
        <v>0</v>
      </c>
      <c r="Q35" s="549">
        <v>-104546</v>
      </c>
      <c r="R35" s="549">
        <v>0</v>
      </c>
      <c r="S35" s="192">
        <f t="shared" si="1"/>
        <v>-85260</v>
      </c>
    </row>
    <row r="36" spans="1:19" ht="15">
      <c r="A36" s="218">
        <v>3914</v>
      </c>
      <c r="B36" s="549">
        <f>'Sch. G 2019'!H36</f>
        <v>8545369.3499999996</v>
      </c>
      <c r="C36" s="549">
        <v>1114469.48</v>
      </c>
      <c r="D36" s="549">
        <v>-2584297.6899999999</v>
      </c>
      <c r="E36" s="549">
        <v>0</v>
      </c>
      <c r="F36" s="549">
        <v>0</v>
      </c>
      <c r="G36" s="549">
        <v>26655.860000000001</v>
      </c>
      <c r="H36" s="195">
        <f t="shared" si="0"/>
        <v>7102197</v>
      </c>
      <c r="I36" s="196"/>
      <c r="J36" s="550">
        <v>3914</v>
      </c>
      <c r="K36" s="549">
        <f>'Sch. G 2019'!S36</f>
        <v>3437732</v>
      </c>
      <c r="L36" s="549">
        <v>1126076.3999999999</v>
      </c>
      <c r="M36" s="549">
        <v>0</v>
      </c>
      <c r="N36" s="549">
        <v>-2584297.6899999999</v>
      </c>
      <c r="O36" s="549">
        <v>0</v>
      </c>
      <c r="P36" s="549">
        <v>0</v>
      </c>
      <c r="Q36" s="549">
        <v>-5.9699999999720603</v>
      </c>
      <c r="R36" s="549">
        <v>9519.9500000000007</v>
      </c>
      <c r="S36" s="192">
        <f t="shared" si="1"/>
        <v>1989025</v>
      </c>
    </row>
    <row r="37" spans="1:19" ht="15">
      <c r="A37" s="218">
        <v>3921</v>
      </c>
      <c r="B37" s="549">
        <f>'Sch. G 2019'!H37</f>
        <v>287461.15000000002</v>
      </c>
      <c r="C37" s="549">
        <v>29577.369999999999</v>
      </c>
      <c r="D37" s="549">
        <v>0</v>
      </c>
      <c r="E37" s="549">
        <v>0</v>
      </c>
      <c r="F37" s="549">
        <v>0</v>
      </c>
      <c r="G37" s="549">
        <v>0</v>
      </c>
      <c r="H37" s="195">
        <f t="shared" si="0"/>
        <v>317039</v>
      </c>
      <c r="I37" s="196"/>
      <c r="J37" s="550">
        <v>3921</v>
      </c>
      <c r="K37" s="549">
        <f>'Sch. G 2019'!S37</f>
        <v>108395</v>
      </c>
      <c r="L37" s="549">
        <v>52579.110000000001</v>
      </c>
      <c r="M37" s="549">
        <v>0</v>
      </c>
      <c r="N37" s="549">
        <v>0</v>
      </c>
      <c r="O37" s="549">
        <v>0</v>
      </c>
      <c r="P37" s="549">
        <v>0</v>
      </c>
      <c r="Q37" s="549">
        <v>0</v>
      </c>
      <c r="R37" s="549">
        <v>0</v>
      </c>
      <c r="S37" s="192">
        <f t="shared" si="1"/>
        <v>160974</v>
      </c>
    </row>
    <row r="38" spans="1:19" ht="15">
      <c r="A38" s="218">
        <v>3922</v>
      </c>
      <c r="B38" s="549">
        <f>'Sch. G 2019'!H38</f>
        <v>5438534.8200000003</v>
      </c>
      <c r="C38" s="549">
        <v>626079.71000000008</v>
      </c>
      <c r="D38" s="549">
        <v>-129559.45999999999</v>
      </c>
      <c r="E38" s="549">
        <v>0</v>
      </c>
      <c r="F38" s="549">
        <v>0</v>
      </c>
      <c r="G38" s="549">
        <v>0</v>
      </c>
      <c r="H38" s="195">
        <f t="shared" si="0"/>
        <v>5935055</v>
      </c>
      <c r="I38" s="196"/>
      <c r="J38" s="550">
        <v>3922</v>
      </c>
      <c r="K38" s="549">
        <f>'Sch. G 2019'!S38</f>
        <v>2252545</v>
      </c>
      <c r="L38" s="549">
        <v>449241.72000000003</v>
      </c>
      <c r="M38" s="549">
        <v>0</v>
      </c>
      <c r="N38" s="549">
        <v>-129559.45999999999</v>
      </c>
      <c r="O38" s="549">
        <v>18953</v>
      </c>
      <c r="P38" s="549">
        <v>0</v>
      </c>
      <c r="Q38" s="549">
        <v>-33261</v>
      </c>
      <c r="R38" s="549">
        <v>0</v>
      </c>
      <c r="S38" s="192">
        <f t="shared" si="1"/>
        <v>2557919</v>
      </c>
    </row>
    <row r="39" spans="1:19" ht="15">
      <c r="A39" s="218">
        <v>3923</v>
      </c>
      <c r="B39" s="549">
        <f>'Sch. G 2019'!H39</f>
        <v>0</v>
      </c>
      <c r="C39" s="549">
        <v>0</v>
      </c>
      <c r="D39" s="549">
        <v>0</v>
      </c>
      <c r="E39" s="549">
        <v>0</v>
      </c>
      <c r="F39" s="549">
        <v>0</v>
      </c>
      <c r="G39" s="549">
        <v>0</v>
      </c>
      <c r="H39" s="195">
        <f t="shared" si="0"/>
        <v>0</v>
      </c>
      <c r="I39" s="196"/>
      <c r="J39" s="550">
        <v>3923</v>
      </c>
      <c r="K39" s="549">
        <f>'Sch. G 2019'!S39</f>
        <v>0</v>
      </c>
      <c r="L39" s="549">
        <v>0</v>
      </c>
      <c r="M39" s="549">
        <v>0</v>
      </c>
      <c r="N39" s="549">
        <v>0</v>
      </c>
      <c r="O39" s="549">
        <v>0</v>
      </c>
      <c r="P39" s="549">
        <v>0</v>
      </c>
      <c r="Q39" s="549">
        <v>0</v>
      </c>
      <c r="R39" s="549">
        <v>0</v>
      </c>
      <c r="S39" s="192">
        <f t="shared" si="1"/>
        <v>0</v>
      </c>
    </row>
    <row r="40" spans="1:19" ht="15">
      <c r="A40" s="218">
        <v>3924</v>
      </c>
      <c r="B40" s="549">
        <f>'Sch. G 2019'!H40</f>
        <v>79063.949999999997</v>
      </c>
      <c r="C40" s="549">
        <v>0</v>
      </c>
      <c r="D40" s="549">
        <v>0</v>
      </c>
      <c r="E40" s="549">
        <v>0</v>
      </c>
      <c r="F40" s="549">
        <v>0</v>
      </c>
      <c r="G40" s="549">
        <v>0</v>
      </c>
      <c r="H40" s="195">
        <f t="shared" si="0"/>
        <v>79064</v>
      </c>
      <c r="I40" s="196"/>
      <c r="J40" s="550">
        <v>3924</v>
      </c>
      <c r="K40" s="549">
        <f>'Sch. G 2019'!S40</f>
        <v>37068</v>
      </c>
      <c r="L40" s="549">
        <v>4284.8400000000001</v>
      </c>
      <c r="M40" s="549">
        <v>0</v>
      </c>
      <c r="N40" s="549">
        <v>0</v>
      </c>
      <c r="O40" s="549">
        <v>0</v>
      </c>
      <c r="P40" s="549">
        <v>0</v>
      </c>
      <c r="Q40" s="549">
        <v>0</v>
      </c>
      <c r="R40" s="549">
        <v>0</v>
      </c>
      <c r="S40" s="192">
        <f t="shared" si="1"/>
        <v>41353</v>
      </c>
    </row>
    <row r="41" spans="1:19" ht="15">
      <c r="A41" s="218" t="s">
        <v>209</v>
      </c>
      <c r="B41" s="549">
        <f>'Sch. G 2019'!H41</f>
        <v>28510.16</v>
      </c>
      <c r="C41" s="549">
        <v>0</v>
      </c>
      <c r="D41" s="549">
        <v>0</v>
      </c>
      <c r="E41" s="549">
        <v>0</v>
      </c>
      <c r="F41" s="549">
        <v>0</v>
      </c>
      <c r="G41" s="549">
        <v>0</v>
      </c>
      <c r="H41" s="195">
        <f t="shared" si="0"/>
        <v>28510</v>
      </c>
      <c r="I41" s="194"/>
      <c r="J41" s="550" t="s">
        <v>209</v>
      </c>
      <c r="K41" s="549">
        <f>'Sch. G 2019'!S41</f>
        <v>12482</v>
      </c>
      <c r="L41" s="549">
        <v>974.60000000000002</v>
      </c>
      <c r="M41" s="549">
        <v>0</v>
      </c>
      <c r="N41" s="549">
        <v>0</v>
      </c>
      <c r="O41" s="549">
        <v>0</v>
      </c>
      <c r="P41" s="549">
        <v>0</v>
      </c>
      <c r="Q41" s="549">
        <v>0</v>
      </c>
      <c r="R41" s="549">
        <v>0</v>
      </c>
      <c r="S41" s="192">
        <f t="shared" si="1"/>
        <v>13457</v>
      </c>
    </row>
    <row r="42" spans="1:19" ht="15">
      <c r="A42" s="218" t="s">
        <v>210</v>
      </c>
      <c r="B42" s="549">
        <f>'Sch. G 2019'!H42</f>
        <v>1059231.1000000001</v>
      </c>
      <c r="C42" s="549">
        <v>83479.800000000003</v>
      </c>
      <c r="D42" s="549">
        <v>-93283.25</v>
      </c>
      <c r="E42" s="549">
        <v>0</v>
      </c>
      <c r="F42" s="549">
        <v>0</v>
      </c>
      <c r="G42" s="549">
        <v>0</v>
      </c>
      <c r="H42" s="195">
        <f t="shared" si="0"/>
        <v>1049428</v>
      </c>
      <c r="I42" s="194"/>
      <c r="J42" s="550" t="s">
        <v>210</v>
      </c>
      <c r="K42" s="549">
        <f>'Sch. G 2019'!S42</f>
        <v>566651</v>
      </c>
      <c r="L42" s="549">
        <v>76942.26999999999</v>
      </c>
      <c r="M42" s="549">
        <v>0</v>
      </c>
      <c r="N42" s="549">
        <v>-93283.25</v>
      </c>
      <c r="O42" s="549">
        <v>0</v>
      </c>
      <c r="P42" s="549">
        <v>0</v>
      </c>
      <c r="Q42" s="549">
        <v>71</v>
      </c>
      <c r="R42" s="549">
        <v>0</v>
      </c>
      <c r="S42" s="192">
        <f t="shared" si="1"/>
        <v>550381</v>
      </c>
    </row>
    <row r="43" spans="1:19" ht="15">
      <c r="A43" s="218" t="s">
        <v>211</v>
      </c>
      <c r="B43" s="549">
        <f>'Sch. G 2019'!H43</f>
        <v>0</v>
      </c>
      <c r="C43" s="549">
        <v>0</v>
      </c>
      <c r="D43" s="549">
        <v>0</v>
      </c>
      <c r="E43" s="549">
        <v>0</v>
      </c>
      <c r="F43" s="549">
        <v>0</v>
      </c>
      <c r="G43" s="549">
        <v>0</v>
      </c>
      <c r="H43" s="195">
        <f t="shared" si="0"/>
        <v>0</v>
      </c>
      <c r="I43" s="194"/>
      <c r="J43" s="550" t="s">
        <v>211</v>
      </c>
      <c r="K43" s="549">
        <f>'Sch. G 2019'!S43</f>
        <v>0</v>
      </c>
      <c r="L43" s="549">
        <v>0</v>
      </c>
      <c r="M43" s="549">
        <v>0</v>
      </c>
      <c r="N43" s="549">
        <v>0</v>
      </c>
      <c r="O43" s="549">
        <v>0</v>
      </c>
      <c r="P43" s="549">
        <v>0</v>
      </c>
      <c r="Q43" s="549">
        <v>0</v>
      </c>
      <c r="R43" s="549">
        <v>0</v>
      </c>
      <c r="S43" s="192">
        <f t="shared" si="1"/>
        <v>0</v>
      </c>
    </row>
    <row r="44" spans="1:19" ht="15">
      <c r="A44" s="218" t="s">
        <v>212</v>
      </c>
      <c r="B44" s="549">
        <f>'Sch. G 2019'!H44</f>
        <v>1489425.5800000001</v>
      </c>
      <c r="C44" s="549">
        <v>0</v>
      </c>
      <c r="D44" s="549">
        <v>-21532.580000000002</v>
      </c>
      <c r="E44" s="549">
        <v>0</v>
      </c>
      <c r="F44" s="549">
        <v>0</v>
      </c>
      <c r="G44" s="549">
        <v>0</v>
      </c>
      <c r="H44" s="195">
        <f t="shared" si="0"/>
        <v>1467893</v>
      </c>
      <c r="I44" s="194"/>
      <c r="J44" s="550" t="s">
        <v>212</v>
      </c>
      <c r="K44" s="549">
        <f>'Sch. G 2019'!S44</f>
        <v>951110</v>
      </c>
      <c r="L44" s="549">
        <v>52897</v>
      </c>
      <c r="M44" s="549">
        <v>0</v>
      </c>
      <c r="N44" s="549">
        <v>-21532.580000000002</v>
      </c>
      <c r="O44" s="549">
        <v>0</v>
      </c>
      <c r="P44" s="549">
        <v>0</v>
      </c>
      <c r="Q44" s="549">
        <v>0</v>
      </c>
      <c r="R44" s="549">
        <v>0</v>
      </c>
      <c r="S44" s="192">
        <f t="shared" si="1"/>
        <v>982474</v>
      </c>
    </row>
    <row r="45" spans="1:19" ht="15">
      <c r="A45" s="218" t="s">
        <v>213</v>
      </c>
      <c r="B45" s="549">
        <f>'Sch. G 2019'!H45</f>
        <v>2939166.7599999998</v>
      </c>
      <c r="C45" s="549">
        <v>260262.44</v>
      </c>
      <c r="D45" s="549">
        <v>-558711.25999999989</v>
      </c>
      <c r="E45" s="549">
        <v>0</v>
      </c>
      <c r="F45" s="549">
        <v>0</v>
      </c>
      <c r="G45" s="549">
        <v>23138.43</v>
      </c>
      <c r="H45" s="195">
        <f t="shared" si="0"/>
        <v>2663856</v>
      </c>
      <c r="I45" s="194"/>
      <c r="J45" s="550" t="s">
        <v>213</v>
      </c>
      <c r="K45" s="549">
        <f>'Sch. G 2019'!S45</f>
        <v>1209876</v>
      </c>
      <c r="L45" s="549">
        <v>257302.02000000002</v>
      </c>
      <c r="M45" s="549">
        <v>0</v>
      </c>
      <c r="N45" s="549">
        <v>-558711.25999999989</v>
      </c>
      <c r="O45" s="549">
        <v>0</v>
      </c>
      <c r="P45" s="549">
        <v>0</v>
      </c>
      <c r="Q45" s="549">
        <v>0</v>
      </c>
      <c r="R45" s="549">
        <v>7084</v>
      </c>
      <c r="S45" s="192">
        <f t="shared" si="1"/>
        <v>915551</v>
      </c>
    </row>
    <row r="46" spans="1:19" ht="15">
      <c r="A46" s="218" t="s">
        <v>214</v>
      </c>
      <c r="B46" s="549">
        <f>'Sch. G 2019'!H46</f>
        <v>403678.96999999997</v>
      </c>
      <c r="C46" s="549">
        <v>0</v>
      </c>
      <c r="D46" s="549">
        <v>-31574.060000000001</v>
      </c>
      <c r="E46" s="549">
        <v>0</v>
      </c>
      <c r="F46" s="549">
        <v>0</v>
      </c>
      <c r="G46" s="549">
        <v>0</v>
      </c>
      <c r="H46" s="195">
        <f t="shared" si="0"/>
        <v>372105</v>
      </c>
      <c r="I46" s="194"/>
      <c r="J46" s="550" t="s">
        <v>214</v>
      </c>
      <c r="K46" s="549">
        <f>'Sch. G 2019'!S46</f>
        <v>180830</v>
      </c>
      <c r="L46" s="549">
        <v>28218.440000000002</v>
      </c>
      <c r="M46" s="549">
        <v>0</v>
      </c>
      <c r="N46" s="549">
        <v>-31574.060000000001</v>
      </c>
      <c r="O46" s="549">
        <v>0</v>
      </c>
      <c r="P46" s="549">
        <v>0</v>
      </c>
      <c r="Q46" s="549">
        <v>18381</v>
      </c>
      <c r="R46" s="549">
        <v>0</v>
      </c>
      <c r="S46" s="192">
        <f t="shared" si="1"/>
        <v>195855</v>
      </c>
    </row>
    <row r="47" spans="1:19" ht="15">
      <c r="A47" s="218" t="s">
        <v>215</v>
      </c>
      <c r="B47" s="549">
        <f>'Sch. G 2019'!H47</f>
        <v>24970</v>
      </c>
      <c r="C47" s="549">
        <v>0</v>
      </c>
      <c r="D47" s="549">
        <v>-24970.339999999997</v>
      </c>
      <c r="E47" s="549">
        <v>0</v>
      </c>
      <c r="F47" s="549">
        <v>0</v>
      </c>
      <c r="G47" s="549">
        <v>0</v>
      </c>
      <c r="H47" s="195">
        <f t="shared" si="0"/>
        <v>0</v>
      </c>
      <c r="I47" s="194"/>
      <c r="J47" s="550" t="s">
        <v>215</v>
      </c>
      <c r="K47" s="549">
        <f>'Sch. G 2019'!S47</f>
        <v>24970</v>
      </c>
      <c r="L47" s="549">
        <v>0</v>
      </c>
      <c r="M47" s="549">
        <v>0</v>
      </c>
      <c r="N47" s="549">
        <v>-24970.339999999997</v>
      </c>
      <c r="O47" s="549">
        <v>0</v>
      </c>
      <c r="P47" s="549">
        <v>0</v>
      </c>
      <c r="Q47" s="549">
        <v>0</v>
      </c>
      <c r="R47" s="549">
        <v>0</v>
      </c>
      <c r="S47" s="192">
        <f t="shared" si="1"/>
        <v>0</v>
      </c>
    </row>
    <row r="48" spans="1:19" ht="15.75" thickBot="1">
      <c r="A48" s="191"/>
      <c r="B48" s="187">
        <f t="shared" si="2" ref="B48:H48">ROUND(SUM(B9:B47),0)</f>
        <v>466701012</v>
      </c>
      <c r="C48" s="187">
        <f t="shared" si="2"/>
        <v>41323901</v>
      </c>
      <c r="D48" s="187">
        <f t="shared" si="2"/>
        <v>-9572118</v>
      </c>
      <c r="E48" s="187">
        <f t="shared" si="2"/>
        <v>0</v>
      </c>
      <c r="F48" s="188">
        <f t="shared" si="2"/>
        <v>117964</v>
      </c>
      <c r="G48" s="187">
        <f t="shared" si="2"/>
        <v>49794</v>
      </c>
      <c r="H48" s="187">
        <f t="shared" si="2"/>
        <v>498620555</v>
      </c>
      <c r="I48" s="190"/>
      <c r="J48" s="189"/>
      <c r="K48" s="188">
        <f t="shared" si="3" ref="K48:S48">ROUND(SUM(K9:K47),0)</f>
        <v>115101054</v>
      </c>
      <c r="L48" s="188">
        <f t="shared" si="3"/>
        <v>13037256</v>
      </c>
      <c r="M48" s="188">
        <f t="shared" si="3"/>
        <v>0</v>
      </c>
      <c r="N48" s="188">
        <f t="shared" si="3"/>
        <v>-6026955</v>
      </c>
      <c r="O48" s="188">
        <f t="shared" si="3"/>
        <v>18953</v>
      </c>
      <c r="P48" s="188">
        <f t="shared" si="3"/>
        <v>-1362263</v>
      </c>
      <c r="Q48" s="188">
        <f t="shared" si="3"/>
        <v>-232742</v>
      </c>
      <c r="R48" s="187">
        <f t="shared" si="3"/>
        <v>16604</v>
      </c>
      <c r="S48" s="186">
        <f t="shared" si="3"/>
        <v>120551907</v>
      </c>
    </row>
    <row r="49" ht="15.75" thickTop="1"/>
  </sheetData>
  <mergeCells count="6">
    <mergeCell ref="A1:S1"/>
    <mergeCell ref="A2:S2"/>
    <mergeCell ref="A3:S3"/>
    <mergeCell ref="A4:S4"/>
    <mergeCell ref="A6:H6"/>
    <mergeCell ref="J6:S6"/>
  </mergeCells>
  <printOptions horizontalCentered="1"/>
  <pageMargins left="0.5" right="0.5" top="0.95" bottom="0.5" header="0.5" footer="0.2"/>
  <pageSetup orientation="landscape" scale="59"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35"/>
  <sheetViews>
    <sheetView workbookViewId="0" topLeftCell="A20">
      <selection pane="topLeft" activeCell="A20" sqref="A1:XFD1048576"/>
    </sheetView>
  </sheetViews>
  <sheetFormatPr defaultRowHeight="15"/>
  <cols>
    <col min="1" max="1" width="11.4285714285714" bestFit="1" customWidth="1"/>
    <col min="2" max="2" width="14.2857142857143" bestFit="1" customWidth="1"/>
    <col min="3" max="3" width="17.1428571428571" bestFit="1" customWidth="1"/>
    <col min="4" max="4" width="9.28571428571429" customWidth="1"/>
    <col min="5" max="5" width="8.14285714285714" style="219" customWidth="1"/>
    <col min="6" max="6" width="10.4285714285714" bestFit="1" customWidth="1"/>
    <col min="7" max="7" width="10.5714285714286" bestFit="1" customWidth="1"/>
    <col min="8" max="8" width="12.1428571428571" bestFit="1" customWidth="1"/>
    <col min="9" max="9" width="34.7142857142857" customWidth="1"/>
    <col min="10" max="10" width="36.5714285714286" customWidth="1"/>
  </cols>
  <sheetData>
    <row r="1" spans="1:14" s="649" customFormat="1" ht="18.75">
      <c r="A1" s="924" t="s">
        <v>56</v>
      </c>
      <c r="B1" s="924"/>
      <c r="C1" s="924"/>
      <c r="D1" s="924"/>
      <c r="E1" s="924"/>
      <c r="F1" s="924"/>
      <c r="G1" s="924"/>
      <c r="H1" s="924"/>
      <c r="I1" s="924"/>
      <c r="J1" s="648"/>
      <c r="K1" s="648"/>
      <c r="L1" s="648"/>
      <c r="M1" s="648"/>
      <c r="N1" s="648"/>
    </row>
    <row r="2" spans="1:22" s="651" customFormat="1" ht="15">
      <c r="A2" s="929" t="str">
        <f>Input!B3</f>
        <v>FPUC, FPUC - Common, FPUC - Indiantown, Florida Division of Chesapeake Utilities Corporation, FPUC - Ft Meade</v>
      </c>
      <c r="B2" s="929"/>
      <c r="C2" s="929"/>
      <c r="D2" s="929"/>
      <c r="E2" s="929"/>
      <c r="F2" s="929"/>
      <c r="G2" s="929"/>
      <c r="H2" s="929"/>
      <c r="I2" s="929"/>
      <c r="J2" s="657"/>
      <c r="K2" s="657"/>
      <c r="L2" s="655"/>
      <c r="M2" s="655"/>
      <c r="N2" s="655"/>
      <c r="O2" s="655"/>
      <c r="P2" s="655"/>
      <c r="Q2" s="655"/>
      <c r="R2" s="655"/>
      <c r="S2" s="655"/>
      <c r="T2" s="655"/>
      <c r="U2" s="655"/>
      <c r="V2" s="655"/>
    </row>
    <row r="3" spans="1:22" s="653" customFormat="1" ht="15.75">
      <c r="A3" s="930" t="s">
        <v>216</v>
      </c>
      <c r="B3" s="930"/>
      <c r="C3" s="930"/>
      <c r="D3" s="930"/>
      <c r="E3" s="930"/>
      <c r="F3" s="930"/>
      <c r="G3" s="930"/>
      <c r="H3" s="930"/>
      <c r="I3" s="930"/>
      <c r="J3" s="658"/>
      <c r="K3" s="658"/>
      <c r="L3" s="656"/>
      <c r="M3" s="656"/>
      <c r="N3" s="656"/>
      <c r="O3" s="656"/>
      <c r="P3" s="656"/>
      <c r="Q3" s="656"/>
      <c r="R3" s="656"/>
      <c r="S3" s="656"/>
      <c r="T3" s="656"/>
      <c r="U3" s="656"/>
      <c r="V3" s="656"/>
    </row>
    <row r="4" spans="1:22" s="653" customFormat="1" ht="15.75">
      <c r="A4" s="931" t="s">
        <v>323</v>
      </c>
      <c r="B4" s="931"/>
      <c r="C4" s="931"/>
      <c r="D4" s="931"/>
      <c r="E4" s="931"/>
      <c r="F4" s="931"/>
      <c r="G4" s="931"/>
      <c r="H4" s="931"/>
      <c r="I4" s="931"/>
      <c r="J4" s="658"/>
      <c r="K4" s="658"/>
      <c r="L4" s="656"/>
      <c r="M4" s="656"/>
      <c r="N4" s="656"/>
      <c r="O4" s="656"/>
      <c r="P4" s="656"/>
      <c r="Q4" s="656"/>
      <c r="R4" s="656"/>
      <c r="S4" s="656"/>
      <c r="T4" s="656"/>
      <c r="U4" s="656"/>
      <c r="V4" s="656"/>
    </row>
    <row r="5" spans="1:22" ht="15.75" thickBot="1">
      <c r="A5" s="335"/>
      <c r="B5" s="335"/>
      <c r="C5" s="335"/>
      <c r="D5" s="335"/>
      <c r="E5" s="431"/>
      <c r="F5" s="335"/>
      <c r="G5" s="335"/>
      <c r="H5" s="335"/>
      <c r="I5" s="335"/>
      <c r="J5" s="342"/>
      <c r="K5" s="342"/>
      <c r="L5" s="336"/>
      <c r="M5" s="336"/>
      <c r="N5" s="336"/>
      <c r="O5" s="336"/>
      <c r="P5" s="336"/>
      <c r="Q5" s="336"/>
      <c r="R5" s="336"/>
      <c r="S5" s="336"/>
      <c r="T5" s="336"/>
      <c r="U5" s="336"/>
      <c r="V5" s="336"/>
    </row>
    <row r="6" spans="1:21" s="219" customFormat="1" ht="27" thickBot="1">
      <c r="A6" s="346" t="s">
        <v>232</v>
      </c>
      <c r="B6" s="347" t="s">
        <v>232</v>
      </c>
      <c r="C6" s="347" t="s">
        <v>233</v>
      </c>
      <c r="D6" s="347" t="s">
        <v>234</v>
      </c>
      <c r="E6" s="347" t="s">
        <v>235</v>
      </c>
      <c r="F6" s="347" t="s">
        <v>236</v>
      </c>
      <c r="G6" s="347" t="s">
        <v>324</v>
      </c>
      <c r="H6" s="347" t="s">
        <v>238</v>
      </c>
      <c r="I6" s="348" t="s">
        <v>239</v>
      </c>
      <c r="J6" s="342"/>
      <c r="K6" s="342"/>
      <c r="L6" s="342"/>
      <c r="M6" s="342"/>
      <c r="N6" s="342"/>
      <c r="O6" s="342"/>
      <c r="P6" s="342"/>
      <c r="Q6" s="342"/>
      <c r="R6" s="342"/>
      <c r="S6" s="342"/>
      <c r="T6" s="342"/>
      <c r="U6" s="342"/>
    </row>
    <row r="7" spans="1:9" ht="14.45" customHeight="1">
      <c r="A7" s="444" t="s">
        <v>661</v>
      </c>
      <c r="B7" s="445" t="s">
        <v>240</v>
      </c>
      <c r="C7" s="445" t="s">
        <v>241</v>
      </c>
      <c r="D7" s="445">
        <v>3030</v>
      </c>
      <c r="E7" s="464" t="s">
        <v>242</v>
      </c>
      <c r="F7" s="446">
        <f>'Sch. G 2020'!B11</f>
        <v>213641</v>
      </c>
      <c r="G7" s="446">
        <v>648575.44999999995</v>
      </c>
      <c r="H7" s="470">
        <f t="shared" si="0" ref="H7:H34">F7-G7</f>
        <v>-434934.44999999995</v>
      </c>
      <c r="I7" s="952" t="s">
        <v>617</v>
      </c>
    </row>
    <row r="8" spans="1:9" ht="15">
      <c r="A8" s="447" t="s">
        <v>661</v>
      </c>
      <c r="B8" s="437" t="s">
        <v>240</v>
      </c>
      <c r="C8" s="437" t="s">
        <v>241</v>
      </c>
      <c r="D8" s="437">
        <v>3914</v>
      </c>
      <c r="E8" s="455" t="s">
        <v>264</v>
      </c>
      <c r="F8" s="438">
        <f>'Sch. G 2020'!B36</f>
        <v>8545369.3499999996</v>
      </c>
      <c r="G8" s="438">
        <v>8110434.7899999991</v>
      </c>
      <c r="H8" s="470">
        <f t="shared" si="0"/>
        <v>434934.56000000052</v>
      </c>
      <c r="I8" s="926"/>
    </row>
    <row r="9" spans="1:21" ht="15">
      <c r="A9" s="447" t="s">
        <v>661</v>
      </c>
      <c r="B9" s="437" t="s">
        <v>240</v>
      </c>
      <c r="C9" s="437" t="s">
        <v>224</v>
      </c>
      <c r="D9" s="437">
        <v>3030</v>
      </c>
      <c r="E9" s="455" t="s">
        <v>243</v>
      </c>
      <c r="F9" s="438">
        <f>'Sch. G 2020'!C11</f>
        <v>0</v>
      </c>
      <c r="G9" s="438">
        <v>3658.2400000000002</v>
      </c>
      <c r="H9" s="470">
        <f t="shared" si="0"/>
        <v>-3658.2400000000002</v>
      </c>
      <c r="I9" s="926"/>
      <c r="J9" s="345"/>
      <c r="K9" s="345"/>
      <c r="L9" s="345"/>
      <c r="M9" s="345"/>
      <c r="N9" s="345"/>
      <c r="O9" s="345"/>
      <c r="P9" s="345"/>
      <c r="Q9" s="345"/>
      <c r="R9" s="345"/>
      <c r="S9" s="345"/>
      <c r="T9" s="345"/>
      <c r="U9" s="345"/>
    </row>
    <row r="10" spans="1:21" ht="15">
      <c r="A10" s="447" t="s">
        <v>661</v>
      </c>
      <c r="B10" s="437" t="s">
        <v>240</v>
      </c>
      <c r="C10" s="437" t="s">
        <v>224</v>
      </c>
      <c r="D10" s="437">
        <v>3914</v>
      </c>
      <c r="E10" s="455" t="s">
        <v>265</v>
      </c>
      <c r="F10" s="438">
        <f>'Sch. G 2020'!C36</f>
        <v>1114469.48</v>
      </c>
      <c r="G10" s="438">
        <v>1110811.26</v>
      </c>
      <c r="H10" s="470">
        <f t="shared" si="0"/>
        <v>3658.2199999999721</v>
      </c>
      <c r="I10" s="926"/>
      <c r="J10" s="345"/>
      <c r="K10" s="345"/>
      <c r="L10" s="345"/>
      <c r="M10" s="345"/>
      <c r="N10" s="345"/>
      <c r="O10" s="345"/>
      <c r="P10" s="345"/>
      <c r="Q10" s="345"/>
      <c r="R10" s="345"/>
      <c r="S10" s="345"/>
      <c r="T10" s="345"/>
      <c r="U10" s="345"/>
    </row>
    <row r="11" spans="1:21" ht="15">
      <c r="A11" s="447" t="s">
        <v>661</v>
      </c>
      <c r="B11" s="437" t="s">
        <v>240</v>
      </c>
      <c r="C11" s="437" t="s">
        <v>227</v>
      </c>
      <c r="D11" s="437">
        <v>3030</v>
      </c>
      <c r="E11" s="455" t="s">
        <v>587</v>
      </c>
      <c r="F11" s="438">
        <f>'Sch. G 2020'!G11</f>
        <v>0</v>
      </c>
      <c r="G11" s="443">
        <v>26655.860000000001</v>
      </c>
      <c r="H11" s="470">
        <f t="shared" si="0"/>
        <v>-26655.860000000001</v>
      </c>
      <c r="I11" s="926"/>
      <c r="J11" s="345"/>
      <c r="K11" s="345"/>
      <c r="L11" s="345"/>
      <c r="M11" s="345"/>
      <c r="N11" s="345"/>
      <c r="O11" s="345"/>
      <c r="P11" s="345"/>
      <c r="Q11" s="345"/>
      <c r="R11" s="345"/>
      <c r="S11" s="345"/>
      <c r="T11" s="345"/>
      <c r="U11" s="345"/>
    </row>
    <row r="12" spans="1:21" ht="15">
      <c r="A12" s="447" t="s">
        <v>661</v>
      </c>
      <c r="B12" s="437" t="s">
        <v>240</v>
      </c>
      <c r="C12" s="437" t="s">
        <v>227</v>
      </c>
      <c r="D12" s="437">
        <v>3914</v>
      </c>
      <c r="E12" s="455" t="s">
        <v>588</v>
      </c>
      <c r="F12" s="438">
        <f>'Sch. G 2020'!G36</f>
        <v>26655.860000000001</v>
      </c>
      <c r="G12" s="443">
        <v>0</v>
      </c>
      <c r="H12" s="470">
        <f t="shared" si="0"/>
        <v>26655.860000000001</v>
      </c>
      <c r="I12" s="926"/>
      <c r="J12" s="345"/>
      <c r="K12" s="345"/>
      <c r="L12" s="345"/>
      <c r="M12" s="345"/>
      <c r="N12" s="345"/>
      <c r="O12" s="345"/>
      <c r="P12" s="345"/>
      <c r="Q12" s="345"/>
      <c r="R12" s="345"/>
      <c r="S12" s="345"/>
      <c r="T12" s="345"/>
      <c r="U12" s="345"/>
    </row>
    <row r="13" spans="1:21" ht="15">
      <c r="A13" s="447" t="s">
        <v>661</v>
      </c>
      <c r="B13" s="437" t="s">
        <v>253</v>
      </c>
      <c r="C13" s="437" t="s">
        <v>241</v>
      </c>
      <c r="D13" s="442">
        <v>3030</v>
      </c>
      <c r="E13" s="462" t="s">
        <v>244</v>
      </c>
      <c r="F13" s="438">
        <f>'Sch. G 2020'!K11</f>
        <v>127642</v>
      </c>
      <c r="G13" s="443">
        <v>208770.03</v>
      </c>
      <c r="H13" s="470">
        <f t="shared" si="0"/>
        <v>-81128.029999999999</v>
      </c>
      <c r="I13" s="926"/>
      <c r="J13" s="345"/>
      <c r="K13" s="345"/>
      <c r="L13" s="345"/>
      <c r="M13" s="345"/>
      <c r="N13" s="345"/>
      <c r="O13" s="345"/>
      <c r="P13" s="345"/>
      <c r="Q13" s="345"/>
      <c r="R13" s="345"/>
      <c r="S13" s="345"/>
      <c r="T13" s="345"/>
      <c r="U13" s="345"/>
    </row>
    <row r="14" spans="1:21" ht="15">
      <c r="A14" s="447" t="s">
        <v>661</v>
      </c>
      <c r="B14" s="437" t="s">
        <v>253</v>
      </c>
      <c r="C14" s="437" t="s">
        <v>241</v>
      </c>
      <c r="D14" s="442">
        <v>3914</v>
      </c>
      <c r="E14" s="462" t="s">
        <v>266</v>
      </c>
      <c r="F14" s="438">
        <f>'Sch. G 2020'!K36</f>
        <v>3437732</v>
      </c>
      <c r="G14" s="443">
        <v>3356603.5600000001</v>
      </c>
      <c r="H14" s="470">
        <f t="shared" si="0"/>
        <v>81128.439999999944</v>
      </c>
      <c r="I14" s="926"/>
      <c r="J14" s="336"/>
      <c r="K14" s="336"/>
      <c r="L14" s="336"/>
      <c r="M14" s="336"/>
      <c r="N14" s="336"/>
      <c r="O14" s="336"/>
      <c r="P14" s="336"/>
      <c r="Q14" s="336"/>
      <c r="R14" s="336"/>
      <c r="S14" s="336"/>
      <c r="T14" s="336"/>
      <c r="U14" s="336"/>
    </row>
    <row r="15" spans="1:21" ht="15">
      <c r="A15" s="447" t="s">
        <v>661</v>
      </c>
      <c r="B15" s="437" t="s">
        <v>253</v>
      </c>
      <c r="C15" s="442" t="s">
        <v>228</v>
      </c>
      <c r="D15" s="442">
        <v>3030</v>
      </c>
      <c r="E15" s="462" t="s">
        <v>245</v>
      </c>
      <c r="F15" s="438">
        <f>'Sch. G 2020'!L11</f>
        <v>0</v>
      </c>
      <c r="G15" s="443">
        <v>56544.769999999997</v>
      </c>
      <c r="H15" s="470">
        <f t="shared" si="0"/>
        <v>-56544.769999999997</v>
      </c>
      <c r="I15" s="926"/>
      <c r="J15" s="336"/>
      <c r="K15" s="336"/>
      <c r="L15" s="336"/>
      <c r="M15" s="336"/>
      <c r="N15" s="336"/>
      <c r="O15" s="336"/>
      <c r="P15" s="336"/>
      <c r="Q15" s="336"/>
      <c r="R15" s="336"/>
      <c r="S15" s="336"/>
      <c r="T15" s="336"/>
      <c r="U15" s="336"/>
    </row>
    <row r="16" spans="1:21" ht="15">
      <c r="A16" s="447" t="s">
        <v>661</v>
      </c>
      <c r="B16" s="437" t="s">
        <v>253</v>
      </c>
      <c r="C16" s="442" t="s">
        <v>228</v>
      </c>
      <c r="D16" s="442">
        <v>3914</v>
      </c>
      <c r="E16" s="462" t="s">
        <v>267</v>
      </c>
      <c r="F16" s="438">
        <f>'Sch. G 2020'!L36</f>
        <v>1126076.3999999999</v>
      </c>
      <c r="G16" s="443">
        <v>1069531.7</v>
      </c>
      <c r="H16" s="470">
        <f t="shared" si="0"/>
        <v>56544.699999999953</v>
      </c>
      <c r="I16" s="926"/>
      <c r="J16" s="336"/>
      <c r="K16" s="336"/>
      <c r="L16" s="336"/>
      <c r="M16" s="336"/>
      <c r="N16" s="336"/>
      <c r="O16" s="336"/>
      <c r="P16" s="336"/>
      <c r="Q16" s="336"/>
      <c r="R16" s="336"/>
      <c r="S16" s="336"/>
      <c r="T16" s="336"/>
      <c r="U16" s="336"/>
    </row>
    <row r="17" spans="1:21" ht="15">
      <c r="A17" s="447" t="s">
        <v>661</v>
      </c>
      <c r="B17" s="437" t="s">
        <v>253</v>
      </c>
      <c r="C17" s="437" t="s">
        <v>227</v>
      </c>
      <c r="D17" s="441">
        <v>3030</v>
      </c>
      <c r="E17" s="455" t="s">
        <v>592</v>
      </c>
      <c r="F17" s="438">
        <f>'Sch. G 2020'!R11</f>
        <v>0</v>
      </c>
      <c r="G17" s="443">
        <v>9519.9500000000007</v>
      </c>
      <c r="H17" s="470">
        <f t="shared" si="0"/>
        <v>-9519.9500000000007</v>
      </c>
      <c r="I17" s="926"/>
      <c r="J17" s="336"/>
      <c r="K17" s="336"/>
      <c r="L17" s="336"/>
      <c r="M17" s="336"/>
      <c r="N17" s="336"/>
      <c r="O17" s="336"/>
      <c r="P17" s="336"/>
      <c r="Q17" s="336"/>
      <c r="R17" s="336"/>
      <c r="S17" s="336"/>
      <c r="T17" s="336"/>
      <c r="U17" s="336"/>
    </row>
    <row r="18" spans="1:21" ht="15">
      <c r="A18" s="447" t="s">
        <v>661</v>
      </c>
      <c r="B18" s="437" t="s">
        <v>253</v>
      </c>
      <c r="C18" s="437" t="s">
        <v>227</v>
      </c>
      <c r="D18" s="441">
        <v>3914</v>
      </c>
      <c r="E18" s="455" t="s">
        <v>593</v>
      </c>
      <c r="F18" s="438">
        <f>'Sch. G 2020'!R36</f>
        <v>9519.9500000000007</v>
      </c>
      <c r="G18" s="443">
        <v>0</v>
      </c>
      <c r="H18" s="470">
        <f t="shared" si="0"/>
        <v>9519.9500000000007</v>
      </c>
      <c r="I18" s="927"/>
      <c r="J18" s="336"/>
      <c r="K18" s="336"/>
      <c r="L18" s="336"/>
      <c r="M18" s="336"/>
      <c r="N18" s="336"/>
      <c r="O18" s="336"/>
      <c r="P18" s="336"/>
      <c r="Q18" s="336"/>
      <c r="R18" s="336"/>
      <c r="S18" s="336"/>
      <c r="T18" s="336"/>
      <c r="U18" s="336"/>
    </row>
    <row r="19" spans="1:21" ht="17.1" customHeight="1">
      <c r="A19" s="447" t="s">
        <v>661</v>
      </c>
      <c r="B19" s="437" t="s">
        <v>240</v>
      </c>
      <c r="C19" s="437" t="s">
        <v>596</v>
      </c>
      <c r="D19" s="437">
        <v>3741</v>
      </c>
      <c r="E19" s="455" t="s">
        <v>590</v>
      </c>
      <c r="F19" s="438">
        <f>'Sch. G 2020'!E13</f>
        <v>20500</v>
      </c>
      <c r="G19" s="443">
        <v>0</v>
      </c>
      <c r="H19" s="470">
        <f t="shared" si="0"/>
        <v>20500</v>
      </c>
      <c r="I19" s="925" t="s">
        <v>632</v>
      </c>
      <c r="J19" s="345"/>
      <c r="K19" s="345"/>
      <c r="L19" s="345"/>
      <c r="M19" s="345"/>
      <c r="N19" s="345"/>
      <c r="O19" s="345"/>
      <c r="P19" s="345"/>
      <c r="Q19" s="345"/>
      <c r="R19" s="345"/>
      <c r="S19" s="345"/>
      <c r="T19" s="345"/>
      <c r="U19" s="345"/>
    </row>
    <row r="20" spans="1:21" ht="17.1" customHeight="1">
      <c r="A20" s="447" t="s">
        <v>661</v>
      </c>
      <c r="B20" s="437" t="s">
        <v>240</v>
      </c>
      <c r="C20" s="437" t="s">
        <v>227</v>
      </c>
      <c r="D20" s="437">
        <v>3740</v>
      </c>
      <c r="E20" s="455" t="s">
        <v>589</v>
      </c>
      <c r="F20" s="438">
        <f>'Sch. G 2020'!G12</f>
        <v>0</v>
      </c>
      <c r="G20" s="443">
        <v>20500</v>
      </c>
      <c r="H20" s="470">
        <f t="shared" si="0"/>
        <v>-20500</v>
      </c>
      <c r="I20" s="926"/>
      <c r="J20" s="345"/>
      <c r="K20" s="345"/>
      <c r="L20" s="345"/>
      <c r="M20" s="345"/>
      <c r="N20" s="345"/>
      <c r="O20" s="345"/>
      <c r="P20" s="345"/>
      <c r="Q20" s="345"/>
      <c r="R20" s="345"/>
      <c r="S20" s="345"/>
      <c r="T20" s="345"/>
      <c r="U20" s="345"/>
    </row>
    <row r="21" spans="1:21" ht="17.1" customHeight="1">
      <c r="A21" s="447" t="s">
        <v>661</v>
      </c>
      <c r="B21" s="437" t="s">
        <v>240</v>
      </c>
      <c r="C21" s="437" t="s">
        <v>596</v>
      </c>
      <c r="D21" s="437">
        <v>3890</v>
      </c>
      <c r="E21" s="455" t="s">
        <v>631</v>
      </c>
      <c r="F21" s="438">
        <f>'Sch. G 2020'!E31</f>
        <v>-20500</v>
      </c>
      <c r="G21" s="443">
        <v>0</v>
      </c>
      <c r="H21" s="470">
        <f t="shared" si="0"/>
        <v>-20500</v>
      </c>
      <c r="I21" s="926"/>
      <c r="J21" s="345"/>
      <c r="K21" s="345"/>
      <c r="L21" s="345"/>
      <c r="M21" s="345"/>
      <c r="N21" s="345"/>
      <c r="O21" s="345"/>
      <c r="P21" s="345"/>
      <c r="Q21" s="345"/>
      <c r="R21" s="345"/>
      <c r="S21" s="345"/>
      <c r="T21" s="345"/>
      <c r="U21" s="345"/>
    </row>
    <row r="22" spans="1:21" ht="17.1" customHeight="1">
      <c r="A22" s="447" t="s">
        <v>661</v>
      </c>
      <c r="B22" s="437" t="s">
        <v>240</v>
      </c>
      <c r="C22" s="437" t="s">
        <v>227</v>
      </c>
      <c r="D22" s="437">
        <v>3890</v>
      </c>
      <c r="E22" s="455" t="s">
        <v>630</v>
      </c>
      <c r="F22" s="438">
        <f>'Sch. G 2020'!G31</f>
        <v>0</v>
      </c>
      <c r="G22" s="443">
        <v>-20500</v>
      </c>
      <c r="H22" s="470">
        <f t="shared" si="0"/>
        <v>20500</v>
      </c>
      <c r="I22" s="927"/>
      <c r="J22" s="345"/>
      <c r="K22" s="345"/>
      <c r="L22" s="345"/>
      <c r="M22" s="345"/>
      <c r="N22" s="345"/>
      <c r="O22" s="345"/>
      <c r="P22" s="345"/>
      <c r="Q22" s="345"/>
      <c r="R22" s="345"/>
      <c r="S22" s="345"/>
      <c r="T22" s="345"/>
      <c r="U22" s="345"/>
    </row>
    <row r="23" spans="1:21" ht="15">
      <c r="A23" s="466" t="s">
        <v>661</v>
      </c>
      <c r="B23" s="457" t="s">
        <v>240</v>
      </c>
      <c r="C23" s="457" t="s">
        <v>224</v>
      </c>
      <c r="D23" s="458">
        <v>3910</v>
      </c>
      <c r="E23" s="459" t="s">
        <v>591</v>
      </c>
      <c r="F23" s="438">
        <f>'Sch. G 2020'!C33</f>
        <v>111217.46000000001</v>
      </c>
      <c r="G23" s="438">
        <v>106002.84000000001</v>
      </c>
      <c r="H23" s="470">
        <f t="shared" si="0"/>
        <v>5214.6199999999953</v>
      </c>
      <c r="I23" s="949" t="s">
        <v>633</v>
      </c>
      <c r="J23" s="345"/>
      <c r="K23" s="345"/>
      <c r="L23" s="345"/>
      <c r="M23" s="345"/>
      <c r="N23" s="345"/>
      <c r="O23" s="345"/>
      <c r="P23" s="345"/>
      <c r="Q23" s="345"/>
      <c r="R23" s="345"/>
      <c r="S23" s="345"/>
      <c r="T23" s="345"/>
      <c r="U23" s="345"/>
    </row>
    <row r="24" spans="1:21" ht="15">
      <c r="A24" s="447" t="s">
        <v>661</v>
      </c>
      <c r="B24" s="437" t="s">
        <v>240</v>
      </c>
      <c r="C24" s="437" t="s">
        <v>224</v>
      </c>
      <c r="D24" s="437">
        <v>3913</v>
      </c>
      <c r="E24" s="455" t="s">
        <v>325</v>
      </c>
      <c r="F24" s="438">
        <f>'Sch. G 2020'!C35</f>
        <v>0</v>
      </c>
      <c r="G24" s="438">
        <v>5214.96</v>
      </c>
      <c r="H24" s="470">
        <f t="shared" si="0"/>
        <v>-5214.96</v>
      </c>
      <c r="I24" s="950"/>
      <c r="J24" s="345"/>
      <c r="K24" s="345"/>
      <c r="L24" s="345"/>
      <c r="M24" s="345"/>
      <c r="N24" s="345"/>
      <c r="O24" s="345"/>
      <c r="P24" s="345"/>
      <c r="Q24" s="345"/>
      <c r="R24" s="345"/>
      <c r="S24" s="345"/>
      <c r="T24" s="345"/>
      <c r="U24" s="345"/>
    </row>
    <row r="25" spans="1:21" ht="15">
      <c r="A25" s="466" t="s">
        <v>661</v>
      </c>
      <c r="B25" s="457" t="s">
        <v>240</v>
      </c>
      <c r="C25" s="457" t="s">
        <v>224</v>
      </c>
      <c r="D25" s="458">
        <v>3921</v>
      </c>
      <c r="E25" s="459" t="s">
        <v>326</v>
      </c>
      <c r="F25" s="438">
        <f>'Sch. G 2020'!C37</f>
        <v>29577.369999999999</v>
      </c>
      <c r="G25" s="443">
        <v>115644.3</v>
      </c>
      <c r="H25" s="470">
        <f t="shared" si="0"/>
        <v>-86066.930000000008</v>
      </c>
      <c r="I25" s="950"/>
      <c r="J25" s="345"/>
      <c r="K25" s="345"/>
      <c r="L25" s="345"/>
      <c r="M25" s="345"/>
      <c r="N25" s="345"/>
      <c r="O25" s="345"/>
      <c r="P25" s="345"/>
      <c r="Q25" s="345"/>
      <c r="R25" s="345"/>
      <c r="S25" s="345"/>
      <c r="T25" s="345"/>
      <c r="U25" s="345"/>
    </row>
    <row r="26" spans="1:21" ht="15">
      <c r="A26" s="466" t="s">
        <v>661</v>
      </c>
      <c r="B26" s="457" t="s">
        <v>240</v>
      </c>
      <c r="C26" s="457" t="s">
        <v>224</v>
      </c>
      <c r="D26" s="458">
        <v>3922</v>
      </c>
      <c r="E26" s="459" t="s">
        <v>278</v>
      </c>
      <c r="F26" s="438">
        <f>'Sch. G 2020'!C38</f>
        <v>626079.71000000008</v>
      </c>
      <c r="G26" s="443">
        <v>540012.78000000003</v>
      </c>
      <c r="H26" s="470">
        <f t="shared" si="0"/>
        <v>86066.930000000051</v>
      </c>
      <c r="I26" s="951"/>
      <c r="J26" s="345"/>
      <c r="K26" s="345"/>
      <c r="L26" s="345"/>
      <c r="M26" s="345"/>
      <c r="N26" s="345"/>
      <c r="O26" s="345"/>
      <c r="P26" s="345"/>
      <c r="Q26" s="345"/>
      <c r="R26" s="345"/>
      <c r="S26" s="345"/>
      <c r="T26" s="345"/>
      <c r="U26" s="345"/>
    </row>
    <row r="27" spans="1:21" ht="31.5" customHeight="1">
      <c r="A27" s="447" t="s">
        <v>661</v>
      </c>
      <c r="B27" s="457" t="s">
        <v>253</v>
      </c>
      <c r="C27" s="437" t="s">
        <v>241</v>
      </c>
      <c r="D27" s="458">
        <v>3900</v>
      </c>
      <c r="E27" s="459" t="s">
        <v>609</v>
      </c>
      <c r="F27" s="438">
        <f>'Sch. G 2020'!K32</f>
        <v>506024</v>
      </c>
      <c r="G27" s="443">
        <v>590777.28000000003</v>
      </c>
      <c r="H27" s="470">
        <f t="shared" si="0"/>
        <v>-84753.280000000028</v>
      </c>
      <c r="I27" s="933" t="s">
        <v>628</v>
      </c>
      <c r="J27" s="344"/>
      <c r="K27" s="349"/>
      <c r="L27" s="349"/>
      <c r="M27" s="345"/>
      <c r="N27" s="345"/>
      <c r="O27" s="345"/>
      <c r="P27" s="345"/>
      <c r="Q27" s="345"/>
      <c r="R27" s="345"/>
      <c r="S27" s="345"/>
      <c r="T27" s="345"/>
      <c r="U27" s="345"/>
    </row>
    <row r="28" spans="1:21" ht="31.5" customHeight="1">
      <c r="A28" s="447" t="s">
        <v>661</v>
      </c>
      <c r="B28" s="437" t="s">
        <v>253</v>
      </c>
      <c r="C28" s="437" t="s">
        <v>241</v>
      </c>
      <c r="D28" s="458">
        <v>3913</v>
      </c>
      <c r="E28" s="459" t="s">
        <v>315</v>
      </c>
      <c r="F28" s="438">
        <f>'Sch. G 2020'!K35</f>
        <v>40774</v>
      </c>
      <c r="G28" s="443">
        <v>-44077.269999999997</v>
      </c>
      <c r="H28" s="470">
        <f t="shared" si="0"/>
        <v>84851.26999999999</v>
      </c>
      <c r="I28" s="934"/>
      <c r="J28" s="344"/>
      <c r="K28" s="349"/>
      <c r="L28" s="349"/>
      <c r="M28" s="345"/>
      <c r="N28" s="345"/>
      <c r="O28" s="345"/>
      <c r="P28" s="345"/>
      <c r="Q28" s="345"/>
      <c r="R28" s="345"/>
      <c r="S28" s="345"/>
      <c r="T28" s="345"/>
      <c r="U28" s="345"/>
    </row>
    <row r="29" spans="1:21" ht="14.45" customHeight="1">
      <c r="A29" s="447" t="s">
        <v>661</v>
      </c>
      <c r="B29" s="437" t="s">
        <v>253</v>
      </c>
      <c r="C29" s="437" t="s">
        <v>226</v>
      </c>
      <c r="D29" s="441">
        <v>3910</v>
      </c>
      <c r="E29" s="455" t="s">
        <v>312</v>
      </c>
      <c r="F29" s="470">
        <f>'Sch. G 2020'!Q33</f>
        <v>73942.010000000009</v>
      </c>
      <c r="G29" s="443">
        <v>117964.00999999999</v>
      </c>
      <c r="H29" s="470">
        <f t="shared" si="0"/>
        <v>-44021.999999999985</v>
      </c>
      <c r="I29" s="928" t="s">
        <v>634</v>
      </c>
      <c r="J29" s="336"/>
      <c r="K29" s="336"/>
      <c r="L29" s="336"/>
      <c r="M29" s="336"/>
      <c r="N29" s="336"/>
      <c r="O29" s="336"/>
      <c r="P29" s="336"/>
      <c r="Q29" s="336"/>
      <c r="R29" s="336"/>
      <c r="S29" s="336"/>
      <c r="T29" s="336"/>
      <c r="U29" s="336"/>
    </row>
    <row r="30" spans="1:21" ht="15">
      <c r="A30" s="447" t="s">
        <v>661</v>
      </c>
      <c r="B30" s="437" t="s">
        <v>253</v>
      </c>
      <c r="C30" s="437" t="s">
        <v>227</v>
      </c>
      <c r="D30" s="441">
        <v>3910</v>
      </c>
      <c r="E30" s="455" t="s">
        <v>594</v>
      </c>
      <c r="F30" s="470">
        <f>'Sch. G 2020'!R33</f>
        <v>0</v>
      </c>
      <c r="G30" s="471">
        <v>44022</v>
      </c>
      <c r="H30" s="470">
        <f t="shared" si="0"/>
        <v>-44022</v>
      </c>
      <c r="I30" s="928"/>
      <c r="J30" s="336"/>
      <c r="K30" s="336"/>
      <c r="L30" s="336"/>
      <c r="M30" s="336"/>
      <c r="N30" s="336"/>
      <c r="O30" s="336"/>
      <c r="P30" s="336"/>
      <c r="Q30" s="336"/>
      <c r="R30" s="336"/>
      <c r="S30" s="336"/>
      <c r="T30" s="336"/>
      <c r="U30" s="336"/>
    </row>
    <row r="31" spans="1:21" ht="15">
      <c r="A31" s="447" t="s">
        <v>661</v>
      </c>
      <c r="B31" s="437" t="s">
        <v>253</v>
      </c>
      <c r="C31" s="437" t="s">
        <v>226</v>
      </c>
      <c r="D31" s="441">
        <v>3912</v>
      </c>
      <c r="E31" s="455" t="s">
        <v>314</v>
      </c>
      <c r="F31" s="470">
        <f>'Sch. G 2020'!Q34</f>
        <v>-187375</v>
      </c>
      <c r="G31" s="443">
        <v>1819</v>
      </c>
      <c r="H31" s="470">
        <f t="shared" si="0"/>
        <v>-189194</v>
      </c>
      <c r="I31" s="928"/>
      <c r="J31" s="336"/>
      <c r="K31" s="336"/>
      <c r="L31" s="336"/>
      <c r="M31" s="336"/>
      <c r="N31" s="336"/>
      <c r="O31" s="336"/>
      <c r="P31" s="336"/>
      <c r="Q31" s="336"/>
      <c r="R31" s="336"/>
      <c r="S31" s="336"/>
      <c r="T31" s="336"/>
      <c r="U31" s="336"/>
    </row>
    <row r="32" spans="1:21" ht="15">
      <c r="A32" s="447" t="s">
        <v>661</v>
      </c>
      <c r="B32" s="437" t="s">
        <v>253</v>
      </c>
      <c r="C32" s="437" t="s">
        <v>227</v>
      </c>
      <c r="D32" s="441">
        <v>3912</v>
      </c>
      <c r="E32" s="455" t="s">
        <v>595</v>
      </c>
      <c r="F32" s="470">
        <f>'Sch. G 2020'!R34</f>
        <v>0</v>
      </c>
      <c r="G32" s="471">
        <v>189194</v>
      </c>
      <c r="H32" s="470">
        <f t="shared" si="0"/>
        <v>-189194</v>
      </c>
      <c r="I32" s="928"/>
      <c r="J32" s="336"/>
      <c r="K32" s="336"/>
      <c r="L32" s="336"/>
      <c r="M32" s="336"/>
      <c r="N32" s="336"/>
      <c r="O32" s="336"/>
      <c r="P32" s="336"/>
      <c r="Q32" s="336"/>
      <c r="R32" s="336"/>
      <c r="S32" s="336"/>
      <c r="T32" s="336"/>
      <c r="U32" s="336"/>
    </row>
    <row r="33" spans="1:21" ht="15">
      <c r="A33" s="447" t="s">
        <v>661</v>
      </c>
      <c r="B33" s="437" t="s">
        <v>253</v>
      </c>
      <c r="C33" s="437" t="s">
        <v>226</v>
      </c>
      <c r="D33" s="441">
        <v>3913</v>
      </c>
      <c r="E33" s="455" t="s">
        <v>318</v>
      </c>
      <c r="F33" s="470">
        <f>'Sch. G 2020'!Q35</f>
        <v>-104546</v>
      </c>
      <c r="G33" s="443">
        <v>0</v>
      </c>
      <c r="H33" s="470">
        <f t="shared" si="0"/>
        <v>-104546</v>
      </c>
      <c r="I33" s="928"/>
      <c r="J33" s="336"/>
      <c r="K33" s="336"/>
      <c r="L33" s="336"/>
      <c r="M33" s="336"/>
      <c r="N33" s="336"/>
      <c r="O33" s="336"/>
      <c r="P33" s="336"/>
      <c r="Q33" s="336"/>
      <c r="R33" s="336"/>
      <c r="S33" s="336"/>
      <c r="T33" s="336"/>
      <c r="U33" s="336"/>
    </row>
    <row r="34" spans="1:21" ht="15">
      <c r="A34" s="447" t="s">
        <v>661</v>
      </c>
      <c r="B34" s="437" t="s">
        <v>253</v>
      </c>
      <c r="C34" s="437" t="s">
        <v>227</v>
      </c>
      <c r="D34" s="441">
        <v>3913</v>
      </c>
      <c r="E34" s="455" t="s">
        <v>327</v>
      </c>
      <c r="F34" s="470">
        <f>'Sch. G 2020'!R35</f>
        <v>0</v>
      </c>
      <c r="G34" s="471">
        <v>104546</v>
      </c>
      <c r="H34" s="470">
        <f t="shared" si="0"/>
        <v>-104546</v>
      </c>
      <c r="I34" s="928"/>
      <c r="J34" s="336"/>
      <c r="K34" s="336"/>
      <c r="L34" s="336"/>
      <c r="M34" s="336"/>
      <c r="N34" s="336"/>
      <c r="O34" s="336"/>
      <c r="P34" s="336"/>
      <c r="Q34" s="336"/>
      <c r="R34" s="336"/>
      <c r="S34" s="336"/>
      <c r="T34" s="336"/>
      <c r="U34" s="336"/>
    </row>
    <row r="35" spans="1:21" ht="15.75" thickBot="1">
      <c r="A35" s="337"/>
      <c r="B35" s="338"/>
      <c r="C35" s="341"/>
      <c r="D35" s="338"/>
      <c r="E35" s="434"/>
      <c r="F35" s="341"/>
      <c r="G35" s="350"/>
      <c r="H35" s="339"/>
      <c r="I35" s="474"/>
      <c r="J35" s="336"/>
      <c r="K35" s="336"/>
      <c r="L35" s="336"/>
      <c r="M35" s="336"/>
      <c r="N35" s="336"/>
      <c r="O35" s="336"/>
      <c r="P35" s="336"/>
      <c r="Q35" s="336"/>
      <c r="R35" s="336"/>
      <c r="S35" s="336"/>
      <c r="T35" s="336"/>
      <c r="U35" s="336"/>
    </row>
  </sheetData>
  <sortState ref="A7:I35">
    <sortCondition sortBy="value" ref="E7:E35"/>
  </sortState>
  <mergeCells count="9">
    <mergeCell ref="A1:I1"/>
    <mergeCell ref="A2:I2"/>
    <mergeCell ref="A3:I3"/>
    <mergeCell ref="A4:I4"/>
    <mergeCell ref="I29:I34"/>
    <mergeCell ref="I19:I22"/>
    <mergeCell ref="I23:I26"/>
    <mergeCell ref="I27:I28"/>
    <mergeCell ref="I7:I18"/>
  </mergeCells>
  <printOptions horizontalCentered="1"/>
  <pageMargins left="0.5" right="0.5" top="1.25" bottom="0.5" header="0.5" footer="0.2"/>
  <pageSetup fitToHeight="0" orientation="portrait" scale="75"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5"/>
  <sheetViews>
    <sheetView tabSelected="1" workbookViewId="0" topLeftCell="A1">
      <selection pane="topLeft" activeCell="A19" sqref="A19:B19"/>
    </sheetView>
  </sheetViews>
  <sheetFormatPr defaultColWidth="8.71428571428571" defaultRowHeight="14.25"/>
  <cols>
    <col min="1" max="1" width="10.7142857142857" style="7" bestFit="1" customWidth="1"/>
    <col min="2" max="2" width="79.7142857142857" style="7" customWidth="1"/>
    <col min="3" max="4" width="8.71428571428571" style="7"/>
    <col min="5" max="5" width="74.4285714285714" style="7" bestFit="1" customWidth="1"/>
    <col min="6" max="16384" width="8.71428571428571" style="7"/>
  </cols>
  <sheetData>
    <row r="1" spans="1:2" ht="15.75">
      <c r="A1" s="854"/>
      <c r="B1" s="854"/>
    </row>
    <row r="2" spans="1:1" ht="18">
      <c r="A2" s="19"/>
    </row>
    <row r="3" spans="1:2" ht="15" hidden="1">
      <c r="A3" s="855" t="s">
        <v>19</v>
      </c>
      <c r="B3" s="855"/>
    </row>
    <row r="4" spans="1:2" ht="20.25" hidden="1">
      <c r="A4" s="20"/>
      <c r="B4" s="20"/>
    </row>
    <row r="5" spans="1:2" ht="18">
      <c r="A5" s="856" t="s">
        <v>657</v>
      </c>
      <c r="B5" s="856"/>
    </row>
    <row r="6" spans="1:2" ht="20.25">
      <c r="A6" s="21"/>
      <c r="B6" s="21"/>
    </row>
    <row r="7" spans="1:2" ht="15.75">
      <c r="A7" s="475" t="s">
        <v>648</v>
      </c>
      <c r="B7" s="475" t="s">
        <v>20</v>
      </c>
    </row>
    <row r="8" spans="1:2" ht="15">
      <c r="A8" s="22"/>
      <c r="B8" s="22"/>
    </row>
    <row r="9" spans="1:3" ht="15.75">
      <c r="A9" s="853" t="s">
        <v>21</v>
      </c>
      <c r="B9" s="853"/>
      <c r="C9" s="23"/>
    </row>
    <row r="10" spans="1:2" ht="15.75">
      <c r="A10" s="24" t="s">
        <v>22</v>
      </c>
      <c r="B10" s="25" t="s">
        <v>23</v>
      </c>
    </row>
    <row r="11" spans="1:2" ht="15.75">
      <c r="A11" s="24" t="s">
        <v>24</v>
      </c>
      <c r="B11" s="25" t="s">
        <v>25</v>
      </c>
    </row>
    <row r="12" spans="1:2" ht="15.75">
      <c r="A12" s="24" t="s">
        <v>26</v>
      </c>
      <c r="B12" s="25" t="s">
        <v>27</v>
      </c>
    </row>
    <row r="13" spans="1:2" ht="15.75">
      <c r="A13" s="24" t="s">
        <v>28</v>
      </c>
      <c r="B13" s="25" t="s">
        <v>29</v>
      </c>
    </row>
    <row r="14" spans="1:2" ht="15.75">
      <c r="A14" s="24" t="s">
        <v>30</v>
      </c>
      <c r="B14" s="25" t="s">
        <v>31</v>
      </c>
    </row>
    <row r="15" spans="1:2" ht="15.75">
      <c r="A15" s="24"/>
      <c r="B15" s="25"/>
    </row>
    <row r="16" spans="1:3" ht="15.75">
      <c r="A16" s="853" t="s">
        <v>32</v>
      </c>
      <c r="B16" s="853"/>
      <c r="C16" s="551"/>
    </row>
    <row r="17" spans="1:2" ht="15.75">
      <c r="A17" s="24" t="s">
        <v>33</v>
      </c>
      <c r="B17" s="25" t="s">
        <v>34</v>
      </c>
    </row>
    <row r="18" spans="1:2" ht="15.75">
      <c r="A18" s="24"/>
      <c r="B18" s="25"/>
    </row>
    <row r="19" spans="1:2" ht="15.75">
      <c r="A19" s="853" t="s">
        <v>35</v>
      </c>
      <c r="B19" s="853"/>
    </row>
    <row r="20" spans="1:2" ht="15.75">
      <c r="A20" s="24" t="s">
        <v>36</v>
      </c>
      <c r="B20" s="25" t="s">
        <v>37</v>
      </c>
    </row>
    <row r="21" spans="1:2" ht="15.75">
      <c r="A21" s="24"/>
      <c r="B21" s="25"/>
    </row>
    <row r="22" spans="1:3" ht="15.75">
      <c r="A22" s="853" t="s">
        <v>38</v>
      </c>
      <c r="B22" s="853"/>
      <c r="C22" s="551"/>
    </row>
    <row r="23" spans="1:2" ht="15.75">
      <c r="A23" s="24" t="s">
        <v>39</v>
      </c>
      <c r="B23" s="25" t="s">
        <v>40</v>
      </c>
    </row>
    <row r="24" spans="1:2" ht="15.75">
      <c r="A24" s="24" t="s">
        <v>41</v>
      </c>
      <c r="B24" s="25" t="s">
        <v>42</v>
      </c>
    </row>
    <row r="25" spans="1:2" ht="15.75">
      <c r="A25" s="24" t="s">
        <v>43</v>
      </c>
      <c r="B25" s="25" t="s">
        <v>44</v>
      </c>
    </row>
    <row r="26" spans="1:2" ht="15.75">
      <c r="A26" s="24"/>
      <c r="B26" s="25"/>
    </row>
    <row r="27" spans="1:2" ht="15.75">
      <c r="A27" s="853" t="s">
        <v>45</v>
      </c>
      <c r="B27" s="853"/>
    </row>
    <row r="28" spans="1:2" ht="15.75">
      <c r="A28" s="24" t="s">
        <v>46</v>
      </c>
      <c r="B28" s="25" t="s">
        <v>47</v>
      </c>
    </row>
    <row r="29" spans="1:2" ht="15.75">
      <c r="A29" s="24"/>
      <c r="B29" s="25"/>
    </row>
    <row r="30" spans="1:2" ht="15.75">
      <c r="A30" s="853" t="s">
        <v>48</v>
      </c>
      <c r="B30" s="853"/>
    </row>
    <row r="31" spans="1:2" ht="15.75">
      <c r="A31" s="24" t="s">
        <v>49</v>
      </c>
      <c r="B31" s="25" t="s">
        <v>50</v>
      </c>
    </row>
    <row r="32" spans="1:2" ht="15.75">
      <c r="A32" s="24" t="s">
        <v>51</v>
      </c>
      <c r="B32" s="25" t="s">
        <v>52</v>
      </c>
    </row>
    <row r="33" spans="1:2" ht="15">
      <c r="A33" s="25"/>
      <c r="B33" s="25"/>
    </row>
    <row r="34" spans="1:2" ht="15.75">
      <c r="A34" s="853" t="s">
        <v>53</v>
      </c>
      <c r="B34" s="853"/>
    </row>
    <row r="35" spans="1:2" ht="15.75">
      <c r="A35" s="24" t="s">
        <v>54</v>
      </c>
      <c r="B35" s="25" t="s">
        <v>55</v>
      </c>
    </row>
  </sheetData>
  <mergeCells count="10">
    <mergeCell ref="A34:B34"/>
    <mergeCell ref="A27:B27"/>
    <mergeCell ref="A30:B30"/>
    <mergeCell ref="A1:B1"/>
    <mergeCell ref="A3:B3"/>
    <mergeCell ref="A5:B5"/>
    <mergeCell ref="A19:B19"/>
    <mergeCell ref="A22:B22"/>
    <mergeCell ref="A16:B16"/>
    <mergeCell ref="A9:B9"/>
  </mergeCells>
  <printOptions horizontalCentered="1"/>
  <pageMargins left="0.5" right="0.5" top="1.25" bottom="0.5" header="0.5" footer="0.2"/>
  <pageSetup firstPageNumber="27" useFirstPageNumber="1" fitToWidth="0" orientation="portrait" r:id="rId1"/>
  <headerFooter>
    <oddHeader xml:space="preserve">&amp;L&amp;"Arial,Bold"&amp;12Florida Public Utilities Natural Gas Division
2023 Consolidated Depreciation Study Workbook
Docket No. 20220067&amp;R&amp;"Arial,Bold"&amp;12Revised Exhibit PSL-2
Page &amp;P of 93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50"/>
  <sheetViews>
    <sheetView workbookViewId="0" topLeftCell="A42">
      <selection pane="topLeft" activeCell="C55" sqref="C55"/>
    </sheetView>
  </sheetViews>
  <sheetFormatPr defaultRowHeight="15"/>
  <cols>
    <col min="2" max="2" width="12.7142857142857" bestFit="1" customWidth="1"/>
    <col min="3" max="3" width="11.7142857142857" bestFit="1" customWidth="1"/>
    <col min="4" max="4" width="11.8571428571429" bestFit="1" customWidth="1"/>
    <col min="5" max="7" width="10.8571428571429" customWidth="1"/>
    <col min="8" max="8" width="12.7142857142857" bestFit="1" customWidth="1"/>
    <col min="9" max="9" width="2.57142857142857" customWidth="1"/>
    <col min="11" max="11" width="12.7142857142857" bestFit="1" customWidth="1"/>
    <col min="12" max="12" width="11.7142857142857" bestFit="1" customWidth="1"/>
    <col min="13" max="13" width="10.8571428571429" customWidth="1"/>
    <col min="14" max="14" width="11.8571428571429" bestFit="1" customWidth="1"/>
    <col min="15" max="15" width="10.8571428571429" customWidth="1"/>
    <col min="16" max="16" width="11.2857142857143" bestFit="1" customWidth="1"/>
    <col min="17" max="17" width="12" bestFit="1" customWidth="1"/>
    <col min="18" max="18" width="10.8571428571429" customWidth="1"/>
    <col min="19" max="19" width="13.4285714285714" customWidth="1"/>
  </cols>
  <sheetData>
    <row r="1" spans="1:19" s="645" customFormat="1" ht="18.75">
      <c r="A1" s="920" t="s">
        <v>56</v>
      </c>
      <c r="B1" s="920"/>
      <c r="C1" s="920"/>
      <c r="D1" s="920"/>
      <c r="E1" s="920"/>
      <c r="F1" s="920"/>
      <c r="G1" s="920"/>
      <c r="H1" s="920"/>
      <c r="I1" s="920"/>
      <c r="J1" s="920"/>
      <c r="K1" s="920"/>
      <c r="L1" s="920"/>
      <c r="M1" s="920"/>
      <c r="N1" s="920"/>
      <c r="O1" s="920"/>
      <c r="P1" s="920"/>
      <c r="Q1" s="920"/>
      <c r="R1" s="920"/>
      <c r="S1" s="920"/>
    </row>
    <row r="2" spans="1:19" s="543" customFormat="1" ht="15">
      <c r="A2" s="921" t="str">
        <f>Input!B3</f>
        <v>FPUC, FPUC - Common, FPUC - Indiantown, Florida Division of Chesapeake Utilities Corporation, FPUC - Ft Meade</v>
      </c>
      <c r="B2" s="921"/>
      <c r="C2" s="921"/>
      <c r="D2" s="921"/>
      <c r="E2" s="921"/>
      <c r="F2" s="921"/>
      <c r="G2" s="921"/>
      <c r="H2" s="921"/>
      <c r="I2" s="921"/>
      <c r="J2" s="921"/>
      <c r="K2" s="921"/>
      <c r="L2" s="921"/>
      <c r="M2" s="921"/>
      <c r="N2" s="921"/>
      <c r="O2" s="921"/>
      <c r="P2" s="921"/>
      <c r="Q2" s="921"/>
      <c r="R2" s="921"/>
      <c r="S2" s="921"/>
    </row>
    <row r="3" spans="1:19" s="544" customFormat="1" ht="15.75">
      <c r="A3" s="922" t="s">
        <v>216</v>
      </c>
      <c r="B3" s="922"/>
      <c r="C3" s="922"/>
      <c r="D3" s="922"/>
      <c r="E3" s="922"/>
      <c r="F3" s="922"/>
      <c r="G3" s="922"/>
      <c r="H3" s="922"/>
      <c r="I3" s="922"/>
      <c r="J3" s="922"/>
      <c r="K3" s="922"/>
      <c r="L3" s="922"/>
      <c r="M3" s="922"/>
      <c r="N3" s="922"/>
      <c r="O3" s="922"/>
      <c r="P3" s="922"/>
      <c r="Q3" s="922"/>
      <c r="R3" s="922"/>
      <c r="S3" s="922"/>
    </row>
    <row r="4" spans="1:19" s="544" customFormat="1" ht="15.75">
      <c r="A4" s="923">
        <v>2021</v>
      </c>
      <c r="B4" s="923"/>
      <c r="C4" s="923"/>
      <c r="D4" s="923"/>
      <c r="E4" s="923"/>
      <c r="F4" s="923"/>
      <c r="G4" s="923"/>
      <c r="H4" s="923"/>
      <c r="I4" s="923"/>
      <c r="J4" s="923"/>
      <c r="K4" s="923"/>
      <c r="L4" s="923"/>
      <c r="M4" s="923"/>
      <c r="N4" s="923"/>
      <c r="O4" s="923"/>
      <c r="P4" s="923"/>
      <c r="Q4" s="923"/>
      <c r="R4" s="923"/>
      <c r="S4" s="923"/>
    </row>
    <row r="5" ht="15.75" thickBot="1"/>
    <row r="6" spans="1:19" ht="15.75" thickTop="1">
      <c r="A6" s="917" t="s">
        <v>177</v>
      </c>
      <c r="B6" s="918"/>
      <c r="C6" s="918"/>
      <c r="D6" s="918"/>
      <c r="E6" s="918"/>
      <c r="F6" s="918"/>
      <c r="G6" s="918"/>
      <c r="H6" s="918"/>
      <c r="I6" s="209"/>
      <c r="J6" s="918" t="s">
        <v>217</v>
      </c>
      <c r="K6" s="918"/>
      <c r="L6" s="918"/>
      <c r="M6" s="918"/>
      <c r="N6" s="918"/>
      <c r="O6" s="918"/>
      <c r="P6" s="918"/>
      <c r="Q6" s="918"/>
      <c r="R6" s="918"/>
      <c r="S6" s="919"/>
    </row>
    <row r="7" spans="1:19" ht="15">
      <c r="A7" s="208" t="s">
        <v>178</v>
      </c>
      <c r="B7" s="205" t="s">
        <v>218</v>
      </c>
      <c r="C7" s="204"/>
      <c r="D7" s="204"/>
      <c r="E7" s="205" t="s">
        <v>219</v>
      </c>
      <c r="F7" s="205"/>
      <c r="G7" s="204"/>
      <c r="H7" s="205" t="s">
        <v>220</v>
      </c>
      <c r="I7" s="194"/>
      <c r="J7" s="207" t="s">
        <v>178</v>
      </c>
      <c r="K7" s="205" t="s">
        <v>218</v>
      </c>
      <c r="L7" s="204"/>
      <c r="M7" s="205" t="s">
        <v>219</v>
      </c>
      <c r="N7" s="204"/>
      <c r="O7" s="206" t="s">
        <v>221</v>
      </c>
      <c r="P7" s="205" t="s">
        <v>222</v>
      </c>
      <c r="Q7" s="205"/>
      <c r="R7" s="204"/>
      <c r="S7" s="203" t="s">
        <v>220</v>
      </c>
    </row>
    <row r="8" spans="1:19" ht="15">
      <c r="A8" s="202" t="s">
        <v>181</v>
      </c>
      <c r="B8" s="199" t="s">
        <v>223</v>
      </c>
      <c r="C8" s="199" t="s">
        <v>224</v>
      </c>
      <c r="D8" s="199" t="s">
        <v>194</v>
      </c>
      <c r="E8" s="199" t="s">
        <v>225</v>
      </c>
      <c r="F8" s="199" t="s">
        <v>226</v>
      </c>
      <c r="G8" s="199" t="s">
        <v>227</v>
      </c>
      <c r="H8" s="199" t="s">
        <v>223</v>
      </c>
      <c r="I8" s="201"/>
      <c r="J8" s="200" t="s">
        <v>181</v>
      </c>
      <c r="K8" s="199" t="s">
        <v>223</v>
      </c>
      <c r="L8" s="199" t="s">
        <v>228</v>
      </c>
      <c r="M8" s="199" t="s">
        <v>225</v>
      </c>
      <c r="N8" s="199" t="s">
        <v>194</v>
      </c>
      <c r="O8" s="199" t="s">
        <v>229</v>
      </c>
      <c r="P8" s="199" t="s">
        <v>230</v>
      </c>
      <c r="Q8" s="199" t="s">
        <v>226</v>
      </c>
      <c r="R8" s="199" t="s">
        <v>227</v>
      </c>
      <c r="S8" s="198" t="s">
        <v>223</v>
      </c>
    </row>
    <row r="9" spans="1:19" ht="15">
      <c r="A9" s="215">
        <v>301</v>
      </c>
      <c r="B9" s="193">
        <f>'Sch. G 2020'!H9</f>
        <v>23328</v>
      </c>
      <c r="C9" s="193">
        <v>0</v>
      </c>
      <c r="D9" s="193">
        <v>0</v>
      </c>
      <c r="E9" s="193">
        <v>0</v>
      </c>
      <c r="F9" s="193">
        <v>0</v>
      </c>
      <c r="G9" s="193">
        <v>0</v>
      </c>
      <c r="H9" s="195">
        <f t="shared" si="0" ref="H9:H47">ROUND(SUM(B9:G9),0)</f>
        <v>23328</v>
      </c>
      <c r="I9" s="194"/>
      <c r="J9" s="211">
        <f t="shared" si="1" ref="J9:J47">A9</f>
        <v>301</v>
      </c>
      <c r="K9" s="193">
        <f>'Sch. G 2020'!S9</f>
        <v>23328</v>
      </c>
      <c r="L9" s="193">
        <v>0</v>
      </c>
      <c r="M9" s="193">
        <v>0</v>
      </c>
      <c r="N9" s="193">
        <v>0</v>
      </c>
      <c r="O9" s="193">
        <v>0</v>
      </c>
      <c r="P9" s="193">
        <v>0</v>
      </c>
      <c r="Q9" s="193">
        <v>0</v>
      </c>
      <c r="R9" s="193">
        <v>0</v>
      </c>
      <c r="S9" s="197">
        <f t="shared" si="2" ref="S9:S47">ROUND(SUM(K9:R9),0)</f>
        <v>23328</v>
      </c>
    </row>
    <row r="10" spans="1:19" ht="15">
      <c r="A10" s="215">
        <v>302</v>
      </c>
      <c r="B10" s="193">
        <f>'Sch. G 2020'!H10</f>
        <v>14132</v>
      </c>
      <c r="C10" s="193">
        <v>0</v>
      </c>
      <c r="D10" s="193">
        <v>0</v>
      </c>
      <c r="E10" s="193">
        <v>0</v>
      </c>
      <c r="F10" s="193">
        <v>0</v>
      </c>
      <c r="G10" s="193">
        <v>0</v>
      </c>
      <c r="H10" s="195">
        <f t="shared" si="0"/>
        <v>14132</v>
      </c>
      <c r="I10" s="194"/>
      <c r="J10" s="211">
        <f t="shared" si="1"/>
        <v>302</v>
      </c>
      <c r="K10" s="193">
        <f>'Sch. G 2020'!S10</f>
        <v>14133</v>
      </c>
      <c r="L10" s="193">
        <v>0</v>
      </c>
      <c r="M10" s="193">
        <v>0</v>
      </c>
      <c r="N10" s="193">
        <v>0</v>
      </c>
      <c r="O10" s="193">
        <v>0</v>
      </c>
      <c r="P10" s="193">
        <v>0</v>
      </c>
      <c r="Q10" s="193">
        <v>0</v>
      </c>
      <c r="R10" s="193">
        <v>0</v>
      </c>
      <c r="S10" s="197">
        <f t="shared" si="2"/>
        <v>14133</v>
      </c>
    </row>
    <row r="11" spans="1:19" ht="15">
      <c r="A11" s="215">
        <v>303</v>
      </c>
      <c r="B11" s="193">
        <f>'Sch. G 2020'!H11</f>
        <v>213641</v>
      </c>
      <c r="C11" s="193">
        <v>0</v>
      </c>
      <c r="D11" s="193">
        <v>0</v>
      </c>
      <c r="E11" s="193">
        <v>0</v>
      </c>
      <c r="F11" s="193">
        <v>0</v>
      </c>
      <c r="G11" s="193">
        <v>0</v>
      </c>
      <c r="H11" s="195">
        <f t="shared" si="0"/>
        <v>213641</v>
      </c>
      <c r="I11" s="194"/>
      <c r="J11" s="211">
        <f t="shared" si="1"/>
        <v>303</v>
      </c>
      <c r="K11" s="193">
        <f>'Sch. G 2020'!S11</f>
        <v>127642</v>
      </c>
      <c r="L11" s="193">
        <v>0</v>
      </c>
      <c r="M11" s="193">
        <v>0</v>
      </c>
      <c r="N11" s="193">
        <v>0</v>
      </c>
      <c r="O11" s="193">
        <v>0</v>
      </c>
      <c r="P11" s="193">
        <v>0</v>
      </c>
      <c r="Q11" s="193">
        <v>0</v>
      </c>
      <c r="R11" s="193">
        <v>0</v>
      </c>
      <c r="S11" s="197">
        <f t="shared" si="2"/>
        <v>127642</v>
      </c>
    </row>
    <row r="12" spans="1:19" ht="15">
      <c r="A12" s="215">
        <v>374</v>
      </c>
      <c r="B12" s="193">
        <f>'Sch. G 2020'!H12</f>
        <v>376799</v>
      </c>
      <c r="C12" s="193">
        <v>0</v>
      </c>
      <c r="D12" s="193">
        <v>0</v>
      </c>
      <c r="E12" s="193">
        <v>0</v>
      </c>
      <c r="F12" s="193">
        <v>0</v>
      </c>
      <c r="G12" s="193">
        <v>0</v>
      </c>
      <c r="H12" s="195">
        <f t="shared" si="0"/>
        <v>376799</v>
      </c>
      <c r="I12" s="194"/>
      <c r="J12" s="211">
        <f t="shared" si="1"/>
        <v>374</v>
      </c>
      <c r="K12" s="436">
        <f>'Sch. G 2020'!S12</f>
        <v>658</v>
      </c>
      <c r="L12" s="436">
        <v>1127.52</v>
      </c>
      <c r="M12" s="436">
        <v>0</v>
      </c>
      <c r="N12" s="436">
        <v>0</v>
      </c>
      <c r="O12" s="436">
        <v>0</v>
      </c>
      <c r="P12" s="436">
        <v>0</v>
      </c>
      <c r="Q12" s="193">
        <v>0</v>
      </c>
      <c r="R12" s="193">
        <v>0</v>
      </c>
      <c r="S12" s="197">
        <f t="shared" si="2"/>
        <v>1786</v>
      </c>
    </row>
    <row r="13" spans="1:19" ht="15">
      <c r="A13" s="215">
        <v>3741</v>
      </c>
      <c r="B13" s="193">
        <f>'Sch. G 2020'!H13</f>
        <v>33410</v>
      </c>
      <c r="C13" s="193">
        <v>0</v>
      </c>
      <c r="D13" s="193">
        <v>0</v>
      </c>
      <c r="E13" s="193">
        <v>0</v>
      </c>
      <c r="F13" s="193">
        <v>0</v>
      </c>
      <c r="G13" s="193">
        <v>0</v>
      </c>
      <c r="H13" s="195">
        <f t="shared" si="0"/>
        <v>33410</v>
      </c>
      <c r="I13" s="194"/>
      <c r="J13" s="211">
        <f t="shared" si="1"/>
        <v>3741</v>
      </c>
      <c r="K13" s="436">
        <f>'Sch. G 2020'!S13</f>
        <v>9037</v>
      </c>
      <c r="L13" s="436">
        <v>710.03999999999996</v>
      </c>
      <c r="M13" s="436">
        <v>0</v>
      </c>
      <c r="N13" s="436">
        <v>0</v>
      </c>
      <c r="O13" s="436">
        <v>0</v>
      </c>
      <c r="P13" s="436">
        <v>0</v>
      </c>
      <c r="Q13" s="193">
        <v>0</v>
      </c>
      <c r="R13" s="193">
        <v>0</v>
      </c>
      <c r="S13" s="197">
        <f t="shared" si="2"/>
        <v>9747</v>
      </c>
    </row>
    <row r="14" spans="1:19" ht="15">
      <c r="A14" s="215">
        <v>375</v>
      </c>
      <c r="B14" s="193">
        <f>'Sch. G 2020'!H14</f>
        <v>1511675</v>
      </c>
      <c r="C14" s="193">
        <v>28908.099999999999</v>
      </c>
      <c r="D14" s="193">
        <v>0</v>
      </c>
      <c r="E14" s="193">
        <v>0</v>
      </c>
      <c r="F14" s="193">
        <v>0</v>
      </c>
      <c r="G14" s="193">
        <v>0</v>
      </c>
      <c r="H14" s="195">
        <f t="shared" si="0"/>
        <v>1540583</v>
      </c>
      <c r="I14" s="194"/>
      <c r="J14" s="211">
        <f t="shared" si="1"/>
        <v>375</v>
      </c>
      <c r="K14" s="436">
        <f>'Sch. G 2020'!S14</f>
        <v>288890</v>
      </c>
      <c r="L14" s="436">
        <v>35630.770000000004</v>
      </c>
      <c r="M14" s="436">
        <v>0</v>
      </c>
      <c r="N14" s="436">
        <v>0</v>
      </c>
      <c r="O14" s="436">
        <v>0</v>
      </c>
      <c r="P14" s="436">
        <v>0</v>
      </c>
      <c r="Q14" s="193">
        <v>0</v>
      </c>
      <c r="R14" s="193">
        <v>0</v>
      </c>
      <c r="S14" s="197">
        <f t="shared" si="2"/>
        <v>324521</v>
      </c>
    </row>
    <row r="15" spans="1:19" ht="15">
      <c r="A15" s="216">
        <v>3761</v>
      </c>
      <c r="B15" s="193">
        <f>'Sch. G 2020'!H15</f>
        <v>108894032</v>
      </c>
      <c r="C15" s="193">
        <v>6874800.21</v>
      </c>
      <c r="D15" s="193">
        <v>-116344.78</v>
      </c>
      <c r="E15" s="193">
        <v>-290561.28000000003</v>
      </c>
      <c r="F15" s="193">
        <v>0</v>
      </c>
      <c r="G15" s="193">
        <v>0</v>
      </c>
      <c r="H15" s="195">
        <f t="shared" si="0"/>
        <v>115361926</v>
      </c>
      <c r="I15" s="194"/>
      <c r="J15" s="211">
        <f t="shared" si="1"/>
        <v>3761</v>
      </c>
      <c r="K15" s="436">
        <f>'Sch. G 2020'!S15</f>
        <v>28558515</v>
      </c>
      <c r="L15" s="436">
        <v>2430190.4300000002</v>
      </c>
      <c r="M15" s="436">
        <v>-2336.4400000000001</v>
      </c>
      <c r="N15" s="436">
        <v>-116344.78</v>
      </c>
      <c r="O15" s="436">
        <v>0</v>
      </c>
      <c r="P15" s="436">
        <v>-66823.199999999997</v>
      </c>
      <c r="Q15" s="193">
        <v>0</v>
      </c>
      <c r="R15" s="193">
        <v>0</v>
      </c>
      <c r="S15" s="197">
        <f t="shared" si="2"/>
        <v>30803201</v>
      </c>
    </row>
    <row r="16" spans="1:19" ht="15">
      <c r="A16" s="215">
        <v>3762</v>
      </c>
      <c r="B16" s="193">
        <f>'Sch. G 2020'!H16</f>
        <v>60265469</v>
      </c>
      <c r="C16" s="193">
        <v>1889791.76</v>
      </c>
      <c r="D16" s="193">
        <v>-114295.11</v>
      </c>
      <c r="E16" s="193">
        <v>118296.75999999999</v>
      </c>
      <c r="F16" s="193">
        <v>0</v>
      </c>
      <c r="G16" s="193">
        <v>0</v>
      </c>
      <c r="H16" s="195">
        <f t="shared" si="0"/>
        <v>62159262</v>
      </c>
      <c r="I16" s="194"/>
      <c r="J16" s="211">
        <f t="shared" si="1"/>
        <v>3762</v>
      </c>
      <c r="K16" s="436">
        <f>'Sch. G 2020'!S16</f>
        <v>29663814</v>
      </c>
      <c r="L16" s="436">
        <v>1348291.5900000001</v>
      </c>
      <c r="M16" s="436">
        <v>-3628.3800000000001</v>
      </c>
      <c r="N16" s="436">
        <v>-114295.11</v>
      </c>
      <c r="O16" s="436">
        <v>0</v>
      </c>
      <c r="P16" s="436">
        <v>-792500.93000000005</v>
      </c>
      <c r="Q16" s="193">
        <v>0</v>
      </c>
      <c r="R16" s="193">
        <v>0</v>
      </c>
      <c r="S16" s="197">
        <f t="shared" si="2"/>
        <v>30101681</v>
      </c>
    </row>
    <row r="17" spans="1:19" ht="15">
      <c r="A17" s="215" t="s">
        <v>87</v>
      </c>
      <c r="B17" s="193">
        <f>'Sch. G 2020'!H17</f>
        <v>125476327</v>
      </c>
      <c r="C17" s="193">
        <v>15751887.790000001</v>
      </c>
      <c r="D17" s="193">
        <v>0</v>
      </c>
      <c r="E17" s="193">
        <v>290561.28000000003</v>
      </c>
      <c r="F17" s="193">
        <v>0</v>
      </c>
      <c r="G17" s="193">
        <v>0</v>
      </c>
      <c r="H17" s="195">
        <f t="shared" si="0"/>
        <v>141518776</v>
      </c>
      <c r="I17" s="194"/>
      <c r="J17" s="211" t="str">
        <f t="shared" si="1"/>
        <v>376G</v>
      </c>
      <c r="K17" s="436">
        <f>'Sch. G 2020'!S17</f>
        <v>11525701</v>
      </c>
      <c r="L17" s="436">
        <v>2729946.1600000001</v>
      </c>
      <c r="M17" s="436">
        <v>2336.4400000000001</v>
      </c>
      <c r="N17" s="436">
        <v>0</v>
      </c>
      <c r="O17" s="436">
        <v>0</v>
      </c>
      <c r="P17" s="436">
        <v>-77548.970000000001</v>
      </c>
      <c r="Q17" s="193">
        <v>0</v>
      </c>
      <c r="R17" s="193">
        <v>0</v>
      </c>
      <c r="S17" s="197">
        <f t="shared" si="2"/>
        <v>14180435</v>
      </c>
    </row>
    <row r="18" spans="1:19" ht="15">
      <c r="A18" s="215">
        <v>378</v>
      </c>
      <c r="B18" s="193">
        <f>'Sch. G 2020'!H18</f>
        <v>4688920</v>
      </c>
      <c r="C18" s="193">
        <v>154288</v>
      </c>
      <c r="D18" s="193">
        <v>0</v>
      </c>
      <c r="E18" s="193">
        <v>0</v>
      </c>
      <c r="F18" s="193">
        <v>0</v>
      </c>
      <c r="G18" s="193">
        <v>0</v>
      </c>
      <c r="H18" s="195">
        <f t="shared" si="0"/>
        <v>4843208</v>
      </c>
      <c r="I18" s="194"/>
      <c r="J18" s="211">
        <f t="shared" si="1"/>
        <v>378</v>
      </c>
      <c r="K18" s="436">
        <f>'Sch. G 2020'!S18</f>
        <v>1390572</v>
      </c>
      <c r="L18" s="436">
        <v>168117.92999999999</v>
      </c>
      <c r="M18" s="436">
        <v>0</v>
      </c>
      <c r="N18" s="436">
        <v>0</v>
      </c>
      <c r="O18" s="436">
        <v>0</v>
      </c>
      <c r="P18" s="436">
        <v>-16564.920000000002</v>
      </c>
      <c r="Q18" s="193">
        <v>0</v>
      </c>
      <c r="R18" s="193">
        <v>0</v>
      </c>
      <c r="S18" s="197">
        <f t="shared" si="2"/>
        <v>1542125</v>
      </c>
    </row>
    <row r="19" spans="1:19" ht="15">
      <c r="A19" s="215">
        <v>379</v>
      </c>
      <c r="B19" s="193">
        <f>'Sch. G 2020'!H19</f>
        <v>13847002</v>
      </c>
      <c r="C19" s="193">
        <v>185713.83000000002</v>
      </c>
      <c r="D19" s="193">
        <v>0</v>
      </c>
      <c r="E19" s="193">
        <v>0</v>
      </c>
      <c r="F19" s="193">
        <v>0</v>
      </c>
      <c r="G19" s="193">
        <v>0</v>
      </c>
      <c r="H19" s="195">
        <f t="shared" si="0"/>
        <v>14032716</v>
      </c>
      <c r="I19" s="194"/>
      <c r="J19" s="211">
        <f t="shared" si="1"/>
        <v>379</v>
      </c>
      <c r="K19" s="436">
        <f>'Sch. G 2020'!S19</f>
        <v>5038621</v>
      </c>
      <c r="L19" s="436">
        <v>431448.22000000003</v>
      </c>
      <c r="M19" s="436">
        <v>0</v>
      </c>
      <c r="N19" s="436">
        <v>0</v>
      </c>
      <c r="O19" s="436">
        <v>0</v>
      </c>
      <c r="P19" s="436">
        <v>0</v>
      </c>
      <c r="Q19" s="193">
        <v>0</v>
      </c>
      <c r="R19" s="193">
        <v>0</v>
      </c>
      <c r="S19" s="197">
        <f t="shared" si="2"/>
        <v>5470069</v>
      </c>
    </row>
    <row r="20" spans="1:19" ht="15">
      <c r="A20" s="216">
        <v>3801</v>
      </c>
      <c r="B20" s="193">
        <f>'Sch. G 2020'!H20</f>
        <v>59531634</v>
      </c>
      <c r="C20" s="193">
        <v>7759637.4099999992</v>
      </c>
      <c r="D20" s="193">
        <v>-638220.85000000009</v>
      </c>
      <c r="E20" s="193">
        <v>0</v>
      </c>
      <c r="F20" s="193">
        <v>0</v>
      </c>
      <c r="G20" s="193">
        <v>0</v>
      </c>
      <c r="H20" s="195">
        <f t="shared" si="0"/>
        <v>66653051</v>
      </c>
      <c r="I20" s="194"/>
      <c r="J20" s="211">
        <f t="shared" si="1"/>
        <v>3801</v>
      </c>
      <c r="K20" s="436">
        <f>'Sch. G 2020'!S20</f>
        <v>14081654</v>
      </c>
      <c r="L20" s="436">
        <v>1384175.8900000001</v>
      </c>
      <c r="M20" s="436">
        <v>0</v>
      </c>
      <c r="N20" s="436">
        <v>-638220.85000000009</v>
      </c>
      <c r="O20" s="436">
        <v>0</v>
      </c>
      <c r="P20" s="436">
        <v>-113979.60000000001</v>
      </c>
      <c r="Q20" s="193">
        <v>0</v>
      </c>
      <c r="R20" s="193">
        <v>0</v>
      </c>
      <c r="S20" s="197">
        <f t="shared" si="2"/>
        <v>14713629</v>
      </c>
    </row>
    <row r="21" spans="1:19" ht="15">
      <c r="A21" s="215">
        <v>3802</v>
      </c>
      <c r="B21" s="193">
        <f>'Sch. G 2020'!H21</f>
        <v>1665027</v>
      </c>
      <c r="C21" s="193">
        <v>87279.440000000002</v>
      </c>
      <c r="D21" s="193">
        <v>-13954.889999999999</v>
      </c>
      <c r="E21" s="193">
        <v>0</v>
      </c>
      <c r="F21" s="193">
        <v>0</v>
      </c>
      <c r="G21" s="193">
        <v>0</v>
      </c>
      <c r="H21" s="195">
        <f t="shared" si="0"/>
        <v>1738352</v>
      </c>
      <c r="I21" s="194"/>
      <c r="J21" s="211">
        <f t="shared" si="1"/>
        <v>3802</v>
      </c>
      <c r="K21" s="436">
        <f>'Sch. G 2020'!S21</f>
        <v>2375520</v>
      </c>
      <c r="L21" s="436">
        <v>138826.73000000001</v>
      </c>
      <c r="M21" s="436">
        <v>0</v>
      </c>
      <c r="N21" s="436">
        <v>-13954.889999999999</v>
      </c>
      <c r="O21" s="436">
        <v>0</v>
      </c>
      <c r="P21" s="436">
        <v>-204787.32999999999</v>
      </c>
      <c r="Q21" s="193">
        <v>0</v>
      </c>
      <c r="R21" s="193">
        <v>0</v>
      </c>
      <c r="S21" s="197">
        <f t="shared" si="2"/>
        <v>2295605</v>
      </c>
    </row>
    <row r="22" spans="1:19" ht="15">
      <c r="A22" s="215" t="s">
        <v>95</v>
      </c>
      <c r="B22" s="193">
        <f>'Sch. G 2020'!H22</f>
        <v>37053716</v>
      </c>
      <c r="C22" s="193">
        <v>7829429.7400000002</v>
      </c>
      <c r="D22" s="193">
        <v>0</v>
      </c>
      <c r="E22" s="193">
        <v>0</v>
      </c>
      <c r="F22" s="193">
        <v>0</v>
      </c>
      <c r="G22" s="193">
        <v>0</v>
      </c>
      <c r="H22" s="195">
        <f t="shared" si="0"/>
        <v>44883146</v>
      </c>
      <c r="I22" s="194"/>
      <c r="J22" s="211" t="str">
        <f t="shared" si="1"/>
        <v>380G</v>
      </c>
      <c r="K22" s="436">
        <f>'Sch. G 2020'!S22</f>
        <v>1317089</v>
      </c>
      <c r="L22" s="436">
        <v>904871.91000000003</v>
      </c>
      <c r="M22" s="436">
        <v>0</v>
      </c>
      <c r="N22" s="436">
        <v>0</v>
      </c>
      <c r="O22" s="436">
        <v>0</v>
      </c>
      <c r="P22" s="436">
        <v>-82373.130000000005</v>
      </c>
      <c r="Q22" s="193">
        <v>0</v>
      </c>
      <c r="R22" s="193">
        <v>0</v>
      </c>
      <c r="S22" s="197">
        <f t="shared" si="2"/>
        <v>2139588</v>
      </c>
    </row>
    <row r="23" spans="1:19" ht="15">
      <c r="A23" s="215">
        <v>381</v>
      </c>
      <c r="B23" s="193">
        <f>'Sch. G 2020'!H23</f>
        <v>19848590</v>
      </c>
      <c r="C23" s="193">
        <v>2701652.7399999998</v>
      </c>
      <c r="D23" s="193">
        <v>-163483.97999999998</v>
      </c>
      <c r="E23" s="193">
        <v>0</v>
      </c>
      <c r="F23" s="193">
        <v>0</v>
      </c>
      <c r="G23" s="193">
        <v>0</v>
      </c>
      <c r="H23" s="195">
        <f t="shared" si="0"/>
        <v>22386759</v>
      </c>
      <c r="I23" s="194"/>
      <c r="J23" s="211">
        <f t="shared" si="1"/>
        <v>381</v>
      </c>
      <c r="K23" s="436">
        <f>'Sch. G 2020'!S23</f>
        <v>6236739</v>
      </c>
      <c r="L23" s="436">
        <v>769464.72999999998</v>
      </c>
      <c r="M23" s="436">
        <v>0</v>
      </c>
      <c r="N23" s="436">
        <v>-163483.97999999998</v>
      </c>
      <c r="O23" s="436">
        <v>0</v>
      </c>
      <c r="P23" s="436">
        <v>0</v>
      </c>
      <c r="Q23" s="193">
        <v>0</v>
      </c>
      <c r="R23" s="193">
        <v>0</v>
      </c>
      <c r="S23" s="197">
        <f t="shared" si="2"/>
        <v>6842720</v>
      </c>
    </row>
    <row r="24" spans="1:19" ht="15">
      <c r="A24" s="215">
        <v>3811</v>
      </c>
      <c r="B24" s="193">
        <f>'Sch. G 2020'!H24</f>
        <v>2236536</v>
      </c>
      <c r="C24" s="193">
        <v>0</v>
      </c>
      <c r="D24" s="193">
        <v>0</v>
      </c>
      <c r="E24" s="193">
        <v>0</v>
      </c>
      <c r="F24" s="193">
        <v>0</v>
      </c>
      <c r="G24" s="193">
        <v>0</v>
      </c>
      <c r="H24" s="195">
        <f t="shared" si="0"/>
        <v>2236536</v>
      </c>
      <c r="I24" s="194"/>
      <c r="J24" s="211">
        <f t="shared" si="1"/>
        <v>3811</v>
      </c>
      <c r="K24" s="436">
        <f>'Sch. G 2020'!S24</f>
        <v>1257136</v>
      </c>
      <c r="L24" s="436">
        <v>98831.339999999997</v>
      </c>
      <c r="M24" s="436">
        <v>0</v>
      </c>
      <c r="N24" s="436">
        <v>0</v>
      </c>
      <c r="O24" s="436">
        <v>0</v>
      </c>
      <c r="P24" s="436">
        <v>0</v>
      </c>
      <c r="Q24" s="193">
        <v>0</v>
      </c>
      <c r="R24" s="193">
        <v>0</v>
      </c>
      <c r="S24" s="197">
        <f t="shared" si="2"/>
        <v>1355967</v>
      </c>
    </row>
    <row r="25" spans="1:19" ht="15">
      <c r="A25" s="215">
        <v>382</v>
      </c>
      <c r="B25" s="193">
        <f>'Sch. G 2020'!H25</f>
        <v>16233694</v>
      </c>
      <c r="C25" s="193">
        <v>1757416.2399999998</v>
      </c>
      <c r="D25" s="193">
        <v>0</v>
      </c>
      <c r="E25" s="193">
        <v>0</v>
      </c>
      <c r="F25" s="193">
        <v>0</v>
      </c>
      <c r="G25" s="193">
        <v>0</v>
      </c>
      <c r="H25" s="195">
        <f t="shared" si="0"/>
        <v>17991110</v>
      </c>
      <c r="I25" s="194"/>
      <c r="J25" s="211">
        <f t="shared" si="1"/>
        <v>382</v>
      </c>
      <c r="K25" s="436">
        <f>'Sch. G 2020'!S25</f>
        <v>4055292</v>
      </c>
      <c r="L25" s="436">
        <v>544373.30000000005</v>
      </c>
      <c r="M25" s="436">
        <v>0</v>
      </c>
      <c r="N25" s="436">
        <v>0</v>
      </c>
      <c r="O25" s="436">
        <v>0</v>
      </c>
      <c r="P25" s="436">
        <v>-88703.559999999998</v>
      </c>
      <c r="Q25" s="193">
        <v>0</v>
      </c>
      <c r="R25" s="193">
        <v>0</v>
      </c>
      <c r="S25" s="197">
        <f t="shared" si="2"/>
        <v>4510962</v>
      </c>
    </row>
    <row r="26" spans="1:19" ht="15">
      <c r="A26" s="215">
        <v>3821</v>
      </c>
      <c r="B26" s="193">
        <f>'Sch. G 2020'!H26</f>
        <v>593040</v>
      </c>
      <c r="C26" s="193">
        <v>0</v>
      </c>
      <c r="D26" s="193">
        <v>0</v>
      </c>
      <c r="E26" s="193">
        <v>0</v>
      </c>
      <c r="F26" s="193">
        <v>0</v>
      </c>
      <c r="G26" s="193">
        <v>0</v>
      </c>
      <c r="H26" s="195">
        <f t="shared" si="0"/>
        <v>593040</v>
      </c>
      <c r="I26" s="194"/>
      <c r="J26" s="211">
        <f t="shared" si="1"/>
        <v>3821</v>
      </c>
      <c r="K26" s="436">
        <f>'Sch. G 2020'!S26</f>
        <v>252607</v>
      </c>
      <c r="L26" s="436">
        <v>15419.039999999999</v>
      </c>
      <c r="M26" s="436">
        <v>0</v>
      </c>
      <c r="N26" s="436">
        <v>0</v>
      </c>
      <c r="O26" s="436">
        <v>0</v>
      </c>
      <c r="P26" s="436">
        <v>0</v>
      </c>
      <c r="Q26" s="193">
        <v>0</v>
      </c>
      <c r="R26" s="193">
        <v>0</v>
      </c>
      <c r="S26" s="197">
        <f t="shared" si="2"/>
        <v>268026</v>
      </c>
    </row>
    <row r="27" spans="1:19" ht="15">
      <c r="A27" s="215">
        <v>383</v>
      </c>
      <c r="B27" s="193">
        <f>'Sch. G 2020'!H27</f>
        <v>6159457</v>
      </c>
      <c r="C27" s="193">
        <v>544940.44999999995</v>
      </c>
      <c r="D27" s="193">
        <v>-9035.1700000000019</v>
      </c>
      <c r="E27" s="193">
        <v>0</v>
      </c>
      <c r="F27" s="436">
        <v>365</v>
      </c>
      <c r="G27" s="193">
        <v>0</v>
      </c>
      <c r="H27" s="195">
        <f t="shared" si="0"/>
        <v>6695727</v>
      </c>
      <c r="I27" s="194"/>
      <c r="J27" s="211">
        <f t="shared" si="1"/>
        <v>383</v>
      </c>
      <c r="K27" s="436">
        <f>'Sch. G 2020'!S27</f>
        <v>2706094</v>
      </c>
      <c r="L27" s="436">
        <v>211847.35000000001</v>
      </c>
      <c r="M27" s="436">
        <v>0</v>
      </c>
      <c r="N27" s="436">
        <v>-9035.1700000000019</v>
      </c>
      <c r="O27" s="436">
        <v>0</v>
      </c>
      <c r="P27" s="436">
        <v>0</v>
      </c>
      <c r="Q27" s="193">
        <v>365</v>
      </c>
      <c r="R27" s="193">
        <v>0</v>
      </c>
      <c r="S27" s="197">
        <f t="shared" si="2"/>
        <v>2909271</v>
      </c>
    </row>
    <row r="28" spans="1:19" ht="15">
      <c r="A28" s="215">
        <v>384</v>
      </c>
      <c r="B28" s="193">
        <f>'Sch. G 2020'!H28</f>
        <v>1043751</v>
      </c>
      <c r="C28" s="193">
        <v>10001.719999999999</v>
      </c>
      <c r="D28" s="193">
        <v>0</v>
      </c>
      <c r="E28" s="193">
        <v>0</v>
      </c>
      <c r="F28" s="193">
        <v>0</v>
      </c>
      <c r="G28" s="193">
        <v>0</v>
      </c>
      <c r="H28" s="195">
        <f t="shared" si="0"/>
        <v>1053753</v>
      </c>
      <c r="I28" s="194"/>
      <c r="J28" s="211">
        <f t="shared" si="1"/>
        <v>384</v>
      </c>
      <c r="K28" s="436">
        <f>'Sch. G 2020'!S28</f>
        <v>637057</v>
      </c>
      <c r="L28" s="436">
        <v>28225.300000000003</v>
      </c>
      <c r="M28" s="436">
        <v>0</v>
      </c>
      <c r="N28" s="436">
        <v>0</v>
      </c>
      <c r="O28" s="436">
        <v>0</v>
      </c>
      <c r="P28" s="436">
        <v>0</v>
      </c>
      <c r="Q28" s="193">
        <v>0</v>
      </c>
      <c r="R28" s="193">
        <v>0</v>
      </c>
      <c r="S28" s="197">
        <f t="shared" si="2"/>
        <v>665282</v>
      </c>
    </row>
    <row r="29" spans="1:19" ht="15">
      <c r="A29" s="215">
        <v>385</v>
      </c>
      <c r="B29" s="193">
        <f>'Sch. G 2020'!H29</f>
        <v>2009022</v>
      </c>
      <c r="C29" s="193">
        <v>0</v>
      </c>
      <c r="D29" s="193">
        <v>0</v>
      </c>
      <c r="E29" s="193">
        <v>-118296.75999999999</v>
      </c>
      <c r="F29" s="193">
        <v>0</v>
      </c>
      <c r="G29" s="193">
        <v>0</v>
      </c>
      <c r="H29" s="195">
        <f t="shared" si="0"/>
        <v>1890725</v>
      </c>
      <c r="I29" s="194"/>
      <c r="J29" s="211">
        <f t="shared" si="1"/>
        <v>385</v>
      </c>
      <c r="K29" s="436">
        <f>'Sch. G 2020'!S29</f>
        <v>1183723</v>
      </c>
      <c r="L29" s="436">
        <v>42820.630000000005</v>
      </c>
      <c r="M29" s="436">
        <v>3628.3800000000001</v>
      </c>
      <c r="N29" s="436">
        <v>0</v>
      </c>
      <c r="O29" s="436">
        <v>0</v>
      </c>
      <c r="P29" s="436">
        <v>0</v>
      </c>
      <c r="Q29" s="193">
        <v>0</v>
      </c>
      <c r="R29" s="193">
        <v>0</v>
      </c>
      <c r="S29" s="197">
        <f t="shared" si="2"/>
        <v>1230172</v>
      </c>
    </row>
    <row r="30" spans="1:19" ht="15">
      <c r="A30" s="215">
        <v>387</v>
      </c>
      <c r="B30" s="193">
        <f>'Sch. G 2020'!H30</f>
        <v>2998550</v>
      </c>
      <c r="C30" s="193">
        <v>105751.74999999999</v>
      </c>
      <c r="D30" s="193">
        <v>0</v>
      </c>
      <c r="E30" s="193">
        <v>0</v>
      </c>
      <c r="F30" s="193">
        <v>0</v>
      </c>
      <c r="G30" s="193">
        <v>0</v>
      </c>
      <c r="H30" s="195">
        <f t="shared" si="0"/>
        <v>3104302</v>
      </c>
      <c r="I30" s="194"/>
      <c r="J30" s="211">
        <f t="shared" si="1"/>
        <v>387</v>
      </c>
      <c r="K30" s="436">
        <f>'Sch. G 2020'!S30</f>
        <v>1246831</v>
      </c>
      <c r="L30" s="436">
        <v>120863.23000000001</v>
      </c>
      <c r="M30" s="436">
        <v>0</v>
      </c>
      <c r="N30" s="436">
        <v>0</v>
      </c>
      <c r="O30" s="436">
        <v>0</v>
      </c>
      <c r="P30" s="436">
        <v>0</v>
      </c>
      <c r="Q30" s="193">
        <v>0</v>
      </c>
      <c r="R30" s="193">
        <v>0</v>
      </c>
      <c r="S30" s="197">
        <f t="shared" si="2"/>
        <v>1367694</v>
      </c>
    </row>
    <row r="31" spans="1:19" ht="15">
      <c r="A31" s="215">
        <v>389</v>
      </c>
      <c r="B31" s="193">
        <f>'Sch. G 2020'!H31</f>
        <v>1356978</v>
      </c>
      <c r="C31" s="193">
        <v>2065</v>
      </c>
      <c r="D31" s="193">
        <v>0</v>
      </c>
      <c r="E31" s="193">
        <v>0</v>
      </c>
      <c r="F31" s="193">
        <v>0</v>
      </c>
      <c r="G31" s="193">
        <v>0</v>
      </c>
      <c r="H31" s="195">
        <f t="shared" si="0"/>
        <v>1359043</v>
      </c>
      <c r="I31" s="194"/>
      <c r="J31" s="211">
        <f t="shared" si="1"/>
        <v>389</v>
      </c>
      <c r="K31" s="436">
        <f>'Sch. G 2020'!S31</f>
        <v>1318</v>
      </c>
      <c r="L31" s="436">
        <v>0</v>
      </c>
      <c r="M31" s="436">
        <v>0</v>
      </c>
      <c r="N31" s="436">
        <v>0</v>
      </c>
      <c r="O31" s="436">
        <v>0</v>
      </c>
      <c r="P31" s="436">
        <v>0</v>
      </c>
      <c r="Q31" s="193">
        <v>0</v>
      </c>
      <c r="R31" s="193">
        <v>0</v>
      </c>
      <c r="S31" s="197">
        <f t="shared" si="2"/>
        <v>1318</v>
      </c>
    </row>
    <row r="32" spans="1:19" ht="15">
      <c r="A32" s="215">
        <v>390</v>
      </c>
      <c r="B32" s="436">
        <f>'Sch. G 2020'!H32</f>
        <v>10610342</v>
      </c>
      <c r="C32" s="193">
        <v>36030.289999999994</v>
      </c>
      <c r="D32" s="193">
        <v>0</v>
      </c>
      <c r="E32" s="193">
        <v>0</v>
      </c>
      <c r="F32" s="193">
        <v>0</v>
      </c>
      <c r="G32" s="193">
        <v>0</v>
      </c>
      <c r="H32" s="195">
        <f t="shared" si="0"/>
        <v>10646372</v>
      </c>
      <c r="I32" s="194"/>
      <c r="J32" s="211">
        <f t="shared" si="1"/>
        <v>390</v>
      </c>
      <c r="K32" s="436">
        <f>'Sch. G 2020'!S32</f>
        <v>647393</v>
      </c>
      <c r="L32" s="436">
        <v>244682</v>
      </c>
      <c r="M32" s="436">
        <v>0</v>
      </c>
      <c r="N32" s="436">
        <v>0</v>
      </c>
      <c r="O32" s="436">
        <v>0</v>
      </c>
      <c r="P32" s="436">
        <v>0</v>
      </c>
      <c r="Q32" s="193">
        <v>1184.73</v>
      </c>
      <c r="R32" s="193">
        <v>0</v>
      </c>
      <c r="S32" s="197">
        <f t="shared" si="2"/>
        <v>893260</v>
      </c>
    </row>
    <row r="33" spans="1:19" ht="15">
      <c r="A33" s="215">
        <v>3910</v>
      </c>
      <c r="B33" s="436">
        <f>'Sch. G 2020'!H33</f>
        <v>1871199</v>
      </c>
      <c r="C33" s="436">
        <v>12145.85</v>
      </c>
      <c r="D33" s="193">
        <v>-29119.200000000001</v>
      </c>
      <c r="E33" s="193">
        <v>0</v>
      </c>
      <c r="F33" s="193">
        <v>0</v>
      </c>
      <c r="G33" s="193">
        <v>0</v>
      </c>
      <c r="H33" s="195">
        <f t="shared" si="0"/>
        <v>1854226</v>
      </c>
      <c r="I33" s="196"/>
      <c r="J33" s="214">
        <f t="shared" si="1"/>
        <v>3910</v>
      </c>
      <c r="K33" s="436">
        <f>'Sch. G 2020'!S33</f>
        <v>1234647</v>
      </c>
      <c r="L33" s="436">
        <v>342805.35999999999</v>
      </c>
      <c r="M33" s="436">
        <v>-626441.12</v>
      </c>
      <c r="N33" s="436">
        <v>-29119.200000000001</v>
      </c>
      <c r="O33" s="436">
        <v>0</v>
      </c>
      <c r="P33" s="436">
        <v>0</v>
      </c>
      <c r="Q33" s="193">
        <v>-85135.100000000006</v>
      </c>
      <c r="R33" s="193">
        <v>0</v>
      </c>
      <c r="S33" s="192">
        <f t="shared" si="2"/>
        <v>836757</v>
      </c>
    </row>
    <row r="34" spans="1:19" ht="15">
      <c r="A34" s="215">
        <v>3912</v>
      </c>
      <c r="B34" s="436">
        <f>'Sch. G 2020'!H34</f>
        <v>427719</v>
      </c>
      <c r="C34" s="193">
        <v>29724.669999999998</v>
      </c>
      <c r="D34" s="193">
        <v>-148350.79999999999</v>
      </c>
      <c r="E34" s="193">
        <v>0</v>
      </c>
      <c r="F34" s="193">
        <v>0</v>
      </c>
      <c r="G34" s="193">
        <v>0</v>
      </c>
      <c r="H34" s="195">
        <f t="shared" si="0"/>
        <v>309093</v>
      </c>
      <c r="I34" s="196"/>
      <c r="J34" s="214">
        <f t="shared" si="1"/>
        <v>3912</v>
      </c>
      <c r="K34" s="436">
        <f>'Sch. G 2020'!S34</f>
        <v>-643833</v>
      </c>
      <c r="L34" s="436">
        <v>50764.589999999997</v>
      </c>
      <c r="M34" s="436">
        <v>586597.51000000001</v>
      </c>
      <c r="N34" s="436">
        <v>-148350.79999999999</v>
      </c>
      <c r="O34" s="436">
        <v>0</v>
      </c>
      <c r="P34" s="436">
        <v>0</v>
      </c>
      <c r="Q34" s="193">
        <v>14443.91</v>
      </c>
      <c r="R34" s="193">
        <v>0</v>
      </c>
      <c r="S34" s="192">
        <f t="shared" si="2"/>
        <v>-140378</v>
      </c>
    </row>
    <row r="35" spans="1:19" ht="15">
      <c r="A35" s="215">
        <v>3913</v>
      </c>
      <c r="B35" s="436">
        <f>'Sch. G 2020'!H35</f>
        <v>621418</v>
      </c>
      <c r="C35" s="193">
        <v>0</v>
      </c>
      <c r="D35" s="193">
        <v>-1749.8399999999999</v>
      </c>
      <c r="E35" s="193">
        <v>0</v>
      </c>
      <c r="F35" s="193">
        <v>0</v>
      </c>
      <c r="G35" s="193">
        <v>0</v>
      </c>
      <c r="H35" s="195">
        <f t="shared" si="0"/>
        <v>619668</v>
      </c>
      <c r="I35" s="196"/>
      <c r="J35" s="214">
        <f t="shared" si="1"/>
        <v>3913</v>
      </c>
      <c r="K35" s="436">
        <f>'Sch. G 2020'!S35</f>
        <v>-85260</v>
      </c>
      <c r="L35" s="436">
        <v>36155.229999999996</v>
      </c>
      <c r="M35" s="436">
        <v>39843.610000000008</v>
      </c>
      <c r="N35" s="436">
        <v>-1749.8399999999999</v>
      </c>
      <c r="O35" s="436">
        <v>0</v>
      </c>
      <c r="P35" s="436">
        <v>0</v>
      </c>
      <c r="Q35" s="193">
        <v>-10862.41</v>
      </c>
      <c r="R35" s="193">
        <v>0</v>
      </c>
      <c r="S35" s="192">
        <f t="shared" si="2"/>
        <v>-21873</v>
      </c>
    </row>
    <row r="36" spans="1:19" ht="15">
      <c r="A36" s="215">
        <v>3914</v>
      </c>
      <c r="B36" s="436">
        <f>'Sch. G 2020'!H36</f>
        <v>7102197</v>
      </c>
      <c r="C36" s="193">
        <v>123647.17</v>
      </c>
      <c r="D36" s="193">
        <v>-28394.57</v>
      </c>
      <c r="E36" s="193">
        <v>0</v>
      </c>
      <c r="F36" s="193">
        <v>0</v>
      </c>
      <c r="G36" s="193">
        <v>0</v>
      </c>
      <c r="H36" s="195">
        <f t="shared" si="0"/>
        <v>7197450</v>
      </c>
      <c r="I36" s="196"/>
      <c r="J36" s="214">
        <f t="shared" si="1"/>
        <v>3914</v>
      </c>
      <c r="K36" s="436">
        <f>'Sch. G 2020'!S36</f>
        <v>1989025</v>
      </c>
      <c r="L36" s="436">
        <v>731787.53000000003</v>
      </c>
      <c r="M36" s="436">
        <v>0</v>
      </c>
      <c r="N36" s="436">
        <v>-28394.57</v>
      </c>
      <c r="O36" s="436">
        <v>0</v>
      </c>
      <c r="P36" s="436">
        <v>0</v>
      </c>
      <c r="Q36" s="193">
        <v>-3732</v>
      </c>
      <c r="R36" s="193">
        <v>0</v>
      </c>
      <c r="S36" s="192">
        <f t="shared" si="2"/>
        <v>2688686</v>
      </c>
    </row>
    <row r="37" spans="1:19" ht="15">
      <c r="A37" s="215">
        <v>3921</v>
      </c>
      <c r="B37" s="436">
        <f>'Sch. G 2020'!H37</f>
        <v>317039</v>
      </c>
      <c r="C37" s="193">
        <v>50090.800000000003</v>
      </c>
      <c r="D37" s="193">
        <v>0</v>
      </c>
      <c r="E37" s="193">
        <v>0</v>
      </c>
      <c r="F37" s="193">
        <v>0</v>
      </c>
      <c r="G37" s="193">
        <v>0</v>
      </c>
      <c r="H37" s="195">
        <f t="shared" si="0"/>
        <v>367130</v>
      </c>
      <c r="I37" s="196"/>
      <c r="J37" s="214">
        <f t="shared" si="1"/>
        <v>3921</v>
      </c>
      <c r="K37" s="436">
        <f>'Sch. G 2020'!S37</f>
        <v>160974</v>
      </c>
      <c r="L37" s="436">
        <v>53781.979999999996</v>
      </c>
      <c r="M37" s="436">
        <v>0</v>
      </c>
      <c r="N37" s="436">
        <v>0</v>
      </c>
      <c r="O37" s="436">
        <v>0</v>
      </c>
      <c r="P37" s="436">
        <v>0</v>
      </c>
      <c r="Q37" s="193">
        <v>0</v>
      </c>
      <c r="R37" s="193">
        <v>0</v>
      </c>
      <c r="S37" s="192">
        <f t="shared" si="2"/>
        <v>214756</v>
      </c>
    </row>
    <row r="38" spans="1:19" ht="15">
      <c r="A38" s="215">
        <v>3922</v>
      </c>
      <c r="B38" s="436">
        <f>'Sch. G 2020'!H38</f>
        <v>5935055</v>
      </c>
      <c r="C38" s="436">
        <v>427033.04999999999</v>
      </c>
      <c r="D38" s="193">
        <v>-415435.84000000008</v>
      </c>
      <c r="E38" s="193">
        <v>0</v>
      </c>
      <c r="F38" s="193">
        <v>0</v>
      </c>
      <c r="G38" s="193">
        <v>0</v>
      </c>
      <c r="H38" s="195">
        <f t="shared" si="0"/>
        <v>5946652</v>
      </c>
      <c r="I38" s="196"/>
      <c r="J38" s="214">
        <f t="shared" si="1"/>
        <v>3922</v>
      </c>
      <c r="K38" s="436">
        <f>'Sch. G 2020'!S38</f>
        <v>2557919</v>
      </c>
      <c r="L38" s="436">
        <v>488596.63</v>
      </c>
      <c r="M38" s="436">
        <v>0</v>
      </c>
      <c r="N38" s="436">
        <v>-415435.84000000008</v>
      </c>
      <c r="O38" s="436">
        <v>74577</v>
      </c>
      <c r="P38" s="436">
        <v>0</v>
      </c>
      <c r="Q38" s="193">
        <v>-73796.75</v>
      </c>
      <c r="R38" s="193">
        <v>0</v>
      </c>
      <c r="S38" s="192">
        <f t="shared" si="2"/>
        <v>2631860</v>
      </c>
    </row>
    <row r="39" spans="1:19" ht="15">
      <c r="A39" s="215">
        <v>3923</v>
      </c>
      <c r="B39" s="436">
        <f>'Sch. G 2020'!H39</f>
        <v>0</v>
      </c>
      <c r="C39" s="193">
        <v>0</v>
      </c>
      <c r="D39" s="193">
        <v>0</v>
      </c>
      <c r="E39" s="193">
        <v>0</v>
      </c>
      <c r="F39" s="193">
        <v>0</v>
      </c>
      <c r="G39" s="193">
        <v>0</v>
      </c>
      <c r="H39" s="195">
        <f t="shared" si="0"/>
        <v>0</v>
      </c>
      <c r="I39" s="196"/>
      <c r="J39" s="214">
        <f t="shared" si="1"/>
        <v>3923</v>
      </c>
      <c r="K39" s="436">
        <f>'Sch. G 2020'!S39</f>
        <v>0</v>
      </c>
      <c r="L39" s="436">
        <v>0</v>
      </c>
      <c r="M39" s="436">
        <v>0</v>
      </c>
      <c r="N39" s="436">
        <v>0</v>
      </c>
      <c r="O39" s="436">
        <v>0</v>
      </c>
      <c r="P39" s="436">
        <v>0</v>
      </c>
      <c r="Q39" s="193">
        <v>0</v>
      </c>
      <c r="R39" s="193">
        <v>0</v>
      </c>
      <c r="S39" s="192">
        <f t="shared" si="2"/>
        <v>0</v>
      </c>
    </row>
    <row r="40" spans="1:19" ht="15">
      <c r="A40" s="215">
        <v>3924</v>
      </c>
      <c r="B40" s="436">
        <f>'Sch. G 2020'!H40</f>
        <v>79064</v>
      </c>
      <c r="C40" s="193">
        <v>0</v>
      </c>
      <c r="D40" s="193">
        <v>0</v>
      </c>
      <c r="E40" s="193">
        <v>0</v>
      </c>
      <c r="F40" s="193">
        <v>0</v>
      </c>
      <c r="G40" s="193">
        <v>0</v>
      </c>
      <c r="H40" s="195">
        <f t="shared" si="0"/>
        <v>79064</v>
      </c>
      <c r="I40" s="196"/>
      <c r="J40" s="214">
        <f t="shared" si="1"/>
        <v>3924</v>
      </c>
      <c r="K40" s="436">
        <f>'Sch. G 2020'!S40</f>
        <v>41353</v>
      </c>
      <c r="L40" s="436">
        <v>4585.6800000000003</v>
      </c>
      <c r="M40" s="436">
        <v>0</v>
      </c>
      <c r="N40" s="436">
        <v>0</v>
      </c>
      <c r="O40" s="436">
        <v>0</v>
      </c>
      <c r="P40" s="436">
        <v>0</v>
      </c>
      <c r="Q40" s="193">
        <v>0</v>
      </c>
      <c r="R40" s="193">
        <v>0</v>
      </c>
      <c r="S40" s="192">
        <f t="shared" si="2"/>
        <v>45939</v>
      </c>
    </row>
    <row r="41" spans="1:19" ht="15">
      <c r="A41" s="213">
        <v>393</v>
      </c>
      <c r="B41" s="193">
        <f>'Sch. G 2020'!H41</f>
        <v>28510</v>
      </c>
      <c r="C41" s="193">
        <v>1472.3199999999999</v>
      </c>
      <c r="D41" s="193">
        <v>0</v>
      </c>
      <c r="E41" s="193">
        <v>0</v>
      </c>
      <c r="F41" s="193">
        <v>0</v>
      </c>
      <c r="G41" s="193">
        <v>0</v>
      </c>
      <c r="H41" s="195">
        <f t="shared" si="0"/>
        <v>29982</v>
      </c>
      <c r="I41" s="194"/>
      <c r="J41" s="211">
        <f t="shared" si="1"/>
        <v>393</v>
      </c>
      <c r="K41" s="436">
        <f>'Sch. G 2020'!S41</f>
        <v>13457</v>
      </c>
      <c r="L41" s="436">
        <v>922.94000000000005</v>
      </c>
      <c r="M41" s="436">
        <v>0</v>
      </c>
      <c r="N41" s="436">
        <v>0</v>
      </c>
      <c r="O41" s="436">
        <v>0</v>
      </c>
      <c r="P41" s="436">
        <v>0</v>
      </c>
      <c r="Q41" s="193">
        <v>0</v>
      </c>
      <c r="R41" s="193">
        <v>0</v>
      </c>
      <c r="S41" s="192">
        <f t="shared" si="2"/>
        <v>14380</v>
      </c>
    </row>
    <row r="42" spans="1:19" ht="15">
      <c r="A42" s="213">
        <v>394</v>
      </c>
      <c r="B42" s="193">
        <f>'Sch. G 2020'!H42</f>
        <v>1049428</v>
      </c>
      <c r="C42" s="193">
        <v>87341.630000000005</v>
      </c>
      <c r="D42" s="193">
        <v>-21726.349999999999</v>
      </c>
      <c r="E42" s="193">
        <v>0</v>
      </c>
      <c r="F42" s="193">
        <v>0</v>
      </c>
      <c r="G42" s="193">
        <v>0</v>
      </c>
      <c r="H42" s="195">
        <f t="shared" si="0"/>
        <v>1115043</v>
      </c>
      <c r="I42" s="194"/>
      <c r="J42" s="211">
        <f t="shared" si="1"/>
        <v>394</v>
      </c>
      <c r="K42" s="436">
        <f>'Sch. G 2020'!S42</f>
        <v>550381</v>
      </c>
      <c r="L42" s="436">
        <v>75635.610000000001</v>
      </c>
      <c r="M42" s="436">
        <v>0</v>
      </c>
      <c r="N42" s="436">
        <v>-21726.349999999999</v>
      </c>
      <c r="O42" s="436">
        <v>0</v>
      </c>
      <c r="P42" s="436">
        <v>0</v>
      </c>
      <c r="Q42" s="193">
        <v>0</v>
      </c>
      <c r="R42" s="193">
        <v>0</v>
      </c>
      <c r="S42" s="192">
        <f t="shared" si="2"/>
        <v>604290</v>
      </c>
    </row>
    <row r="43" spans="1:19" ht="15">
      <c r="A43" s="213">
        <v>395</v>
      </c>
      <c r="B43" s="193">
        <f>'Sch. G 2020'!H43</f>
        <v>0</v>
      </c>
      <c r="C43" s="193">
        <v>0</v>
      </c>
      <c r="D43" s="193">
        <v>0</v>
      </c>
      <c r="E43" s="193">
        <v>0</v>
      </c>
      <c r="F43" s="193">
        <v>0</v>
      </c>
      <c r="G43" s="193">
        <v>0</v>
      </c>
      <c r="H43" s="195">
        <f t="shared" si="0"/>
        <v>0</v>
      </c>
      <c r="I43" s="194"/>
      <c r="J43" s="211">
        <f t="shared" si="1"/>
        <v>395</v>
      </c>
      <c r="K43" s="436">
        <f>'Sch. G 2020'!S43</f>
        <v>0</v>
      </c>
      <c r="L43" s="436">
        <v>0</v>
      </c>
      <c r="M43" s="436">
        <v>0</v>
      </c>
      <c r="N43" s="436">
        <v>0</v>
      </c>
      <c r="O43" s="436">
        <v>0</v>
      </c>
      <c r="P43" s="436">
        <v>0</v>
      </c>
      <c r="Q43" s="193">
        <v>0</v>
      </c>
      <c r="R43" s="193">
        <v>0</v>
      </c>
      <c r="S43" s="192">
        <f t="shared" si="2"/>
        <v>0</v>
      </c>
    </row>
    <row r="44" spans="1:19" ht="15">
      <c r="A44" s="213">
        <v>396</v>
      </c>
      <c r="B44" s="193">
        <f>'Sch. G 2020'!H44</f>
        <v>1467893</v>
      </c>
      <c r="C44" s="193">
        <v>5168.0299999999997</v>
      </c>
      <c r="D44" s="193">
        <v>-60902.389999999999</v>
      </c>
      <c r="E44" s="193">
        <v>0</v>
      </c>
      <c r="F44" s="193">
        <v>0</v>
      </c>
      <c r="G44" s="193">
        <v>0</v>
      </c>
      <c r="H44" s="195">
        <f t="shared" si="0"/>
        <v>1412159</v>
      </c>
      <c r="I44" s="194"/>
      <c r="J44" s="211">
        <f t="shared" si="1"/>
        <v>396</v>
      </c>
      <c r="K44" s="436">
        <f>'Sch. G 2020'!S44</f>
        <v>982474</v>
      </c>
      <c r="L44" s="436">
        <v>51864.720000000001</v>
      </c>
      <c r="M44" s="436">
        <v>0</v>
      </c>
      <c r="N44" s="436">
        <v>-60902.389999999999</v>
      </c>
      <c r="O44" s="436">
        <v>0</v>
      </c>
      <c r="P44" s="436">
        <v>0</v>
      </c>
      <c r="Q44" s="193">
        <v>0</v>
      </c>
      <c r="R44" s="193">
        <v>0</v>
      </c>
      <c r="S44" s="192">
        <f t="shared" si="2"/>
        <v>973436</v>
      </c>
    </row>
    <row r="45" spans="1:19" ht="15">
      <c r="A45" s="213">
        <v>397</v>
      </c>
      <c r="B45" s="193">
        <f>'Sch. G 2020'!H45</f>
        <v>2663856</v>
      </c>
      <c r="C45" s="193">
        <v>55569.229999999996</v>
      </c>
      <c r="D45" s="193">
        <v>-90946.139999999999</v>
      </c>
      <c r="E45" s="193">
        <v>0</v>
      </c>
      <c r="F45" s="193">
        <v>0</v>
      </c>
      <c r="G45" s="193">
        <v>0</v>
      </c>
      <c r="H45" s="195">
        <f t="shared" si="0"/>
        <v>2628479</v>
      </c>
      <c r="I45" s="194"/>
      <c r="J45" s="211">
        <f t="shared" si="1"/>
        <v>397</v>
      </c>
      <c r="K45" s="193">
        <f>'Sch. G 2020'!S45</f>
        <v>915551</v>
      </c>
      <c r="L45" s="193">
        <v>203407.04999999999</v>
      </c>
      <c r="M45" s="193">
        <v>0</v>
      </c>
      <c r="N45" s="193">
        <v>-90946.139999999999</v>
      </c>
      <c r="O45" s="193">
        <v>0</v>
      </c>
      <c r="P45" s="193">
        <v>0</v>
      </c>
      <c r="Q45" s="193">
        <v>3226.5599999999999</v>
      </c>
      <c r="R45" s="193">
        <v>0</v>
      </c>
      <c r="S45" s="192">
        <f t="shared" si="2"/>
        <v>1031238</v>
      </c>
    </row>
    <row r="46" spans="1:19" ht="15">
      <c r="A46" s="212">
        <v>398</v>
      </c>
      <c r="B46" s="193">
        <f>'Sch. G 2020'!H46</f>
        <v>372105</v>
      </c>
      <c r="C46" s="193">
        <v>0</v>
      </c>
      <c r="D46" s="193">
        <v>0</v>
      </c>
      <c r="E46" s="193">
        <v>0</v>
      </c>
      <c r="F46" s="193">
        <v>0</v>
      </c>
      <c r="G46" s="193">
        <v>0</v>
      </c>
      <c r="H46" s="195">
        <f t="shared" si="0"/>
        <v>372105</v>
      </c>
      <c r="I46" s="194"/>
      <c r="J46" s="211">
        <f t="shared" si="1"/>
        <v>398</v>
      </c>
      <c r="K46" s="193">
        <f>'Sch. G 2020'!S46</f>
        <v>195855</v>
      </c>
      <c r="L46" s="193">
        <v>30282.48</v>
      </c>
      <c r="M46" s="193">
        <v>0</v>
      </c>
      <c r="N46" s="193">
        <v>0</v>
      </c>
      <c r="O46" s="193">
        <v>0</v>
      </c>
      <c r="P46" s="193">
        <v>0</v>
      </c>
      <c r="Q46" s="193">
        <v>1133.74</v>
      </c>
      <c r="R46" s="193">
        <v>0</v>
      </c>
      <c r="S46" s="192">
        <f t="shared" si="2"/>
        <v>227271</v>
      </c>
    </row>
    <row r="47" spans="1:19" ht="15">
      <c r="A47" s="212">
        <v>399</v>
      </c>
      <c r="B47" s="193">
        <f>'Sch. G 2020'!H47</f>
        <v>0</v>
      </c>
      <c r="C47" s="193">
        <v>0</v>
      </c>
      <c r="D47" s="193">
        <v>0</v>
      </c>
      <c r="E47" s="193">
        <v>0</v>
      </c>
      <c r="F47" s="193">
        <v>0</v>
      </c>
      <c r="G47" s="193">
        <v>0</v>
      </c>
      <c r="H47" s="195">
        <f t="shared" si="0"/>
        <v>0</v>
      </c>
      <c r="I47" s="194"/>
      <c r="J47" s="211">
        <f t="shared" si="1"/>
        <v>399</v>
      </c>
      <c r="K47" s="193">
        <f>'Sch. G 2020'!S47</f>
        <v>0</v>
      </c>
      <c r="L47" s="193">
        <v>0</v>
      </c>
      <c r="M47" s="193">
        <v>0</v>
      </c>
      <c r="N47" s="193">
        <v>0</v>
      </c>
      <c r="O47" s="193">
        <v>0</v>
      </c>
      <c r="P47" s="193">
        <v>0</v>
      </c>
      <c r="Q47" s="193">
        <v>0</v>
      </c>
      <c r="R47" s="193">
        <v>0</v>
      </c>
      <c r="S47" s="192">
        <f t="shared" si="2"/>
        <v>0</v>
      </c>
    </row>
    <row r="48" spans="1:19" ht="15.75" thickBot="1">
      <c r="A48" s="191"/>
      <c r="B48" s="187">
        <f t="shared" si="3" ref="B48:H48">ROUND(SUM(B9:B47),0)</f>
        <v>498620555</v>
      </c>
      <c r="C48" s="187">
        <f t="shared" si="3"/>
        <v>46511787</v>
      </c>
      <c r="D48" s="187">
        <f t="shared" si="3"/>
        <v>-1851960</v>
      </c>
      <c r="E48" s="187">
        <f t="shared" si="3"/>
        <v>0</v>
      </c>
      <c r="F48" s="188">
        <f t="shared" si="3"/>
        <v>365</v>
      </c>
      <c r="G48" s="187">
        <f t="shared" si="3"/>
        <v>0</v>
      </c>
      <c r="H48" s="187">
        <f t="shared" si="3"/>
        <v>543280748</v>
      </c>
      <c r="I48" s="190"/>
      <c r="J48" s="189"/>
      <c r="K48" s="188">
        <f t="shared" si="4" ref="K48:S48">ROUND(SUM(K9:K47),0)</f>
        <v>120551907</v>
      </c>
      <c r="L48" s="188">
        <f t="shared" si="4"/>
        <v>13720454</v>
      </c>
      <c r="M48" s="188">
        <f t="shared" si="4"/>
        <v>0</v>
      </c>
      <c r="N48" s="188">
        <f t="shared" si="4"/>
        <v>-1851960</v>
      </c>
      <c r="O48" s="188">
        <f t="shared" si="4"/>
        <v>74577</v>
      </c>
      <c r="P48" s="188">
        <f t="shared" si="4"/>
        <v>-1443282</v>
      </c>
      <c r="Q48" s="188">
        <f t="shared" si="4"/>
        <v>-153172</v>
      </c>
      <c r="R48" s="188">
        <f t="shared" si="4"/>
        <v>0</v>
      </c>
      <c r="S48" s="186">
        <f t="shared" si="4"/>
        <v>130898524</v>
      </c>
    </row>
    <row r="49" ht="15.75" thickTop="1"/>
    <row r="50" spans="19:19" ht="15">
      <c r="S50" s="371"/>
    </row>
  </sheetData>
  <mergeCells count="6">
    <mergeCell ref="A1:S1"/>
    <mergeCell ref="A2:S2"/>
    <mergeCell ref="A3:S3"/>
    <mergeCell ref="A4:S4"/>
    <mergeCell ref="A6:H6"/>
    <mergeCell ref="J6:S6"/>
  </mergeCells>
  <printOptions horizontalCentered="1"/>
  <pageMargins left="0.5" right="0.5" top="0.93" bottom="0.5" header="0.5" footer="0.2"/>
  <pageSetup orientation="landscape" scale="61"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V51"/>
  <sheetViews>
    <sheetView zoomScale="95" zoomScaleNormal="95" workbookViewId="0" topLeftCell="A16">
      <selection pane="topLeft" activeCell="A16" sqref="A1:XFD1048576"/>
    </sheetView>
  </sheetViews>
  <sheetFormatPr defaultRowHeight="15"/>
  <cols>
    <col min="1" max="1" width="11.4285714285714" bestFit="1" customWidth="1"/>
    <col min="2" max="2" width="14.2857142857143" bestFit="1" customWidth="1"/>
    <col min="3" max="3" width="17.1428571428571" bestFit="1" customWidth="1"/>
    <col min="4" max="4" width="9.28571428571429" customWidth="1"/>
    <col min="5" max="5" width="8.14285714285714" style="219" customWidth="1"/>
    <col min="6" max="7" width="10.8571428571429" bestFit="1" customWidth="1"/>
    <col min="8" max="8" width="12.1428571428571" bestFit="1" customWidth="1"/>
    <col min="9" max="9" width="34.7142857142857" customWidth="1"/>
    <col min="10" max="10" width="36.5714285714286" customWidth="1"/>
  </cols>
  <sheetData>
    <row r="1" spans="1:14" s="649" customFormat="1" ht="18.75">
      <c r="A1" s="924" t="s">
        <v>56</v>
      </c>
      <c r="B1" s="924"/>
      <c r="C1" s="924"/>
      <c r="D1" s="924"/>
      <c r="E1" s="924"/>
      <c r="F1" s="924"/>
      <c r="G1" s="924"/>
      <c r="H1" s="924"/>
      <c r="I1" s="924"/>
      <c r="J1" s="648"/>
      <c r="K1" s="648"/>
      <c r="L1" s="648"/>
      <c r="M1" s="648"/>
      <c r="N1" s="648"/>
    </row>
    <row r="2" spans="1:22" s="651" customFormat="1" ht="15">
      <c r="A2" s="929" t="str">
        <f>Input!B3</f>
        <v>FPUC, FPUC - Common, FPUC - Indiantown, Florida Division of Chesapeake Utilities Corporation, FPUC - Ft Meade</v>
      </c>
      <c r="B2" s="929"/>
      <c r="C2" s="929"/>
      <c r="D2" s="929"/>
      <c r="E2" s="929"/>
      <c r="F2" s="929"/>
      <c r="G2" s="929"/>
      <c r="H2" s="929"/>
      <c r="I2" s="929"/>
      <c r="J2" s="655"/>
      <c r="K2" s="655"/>
      <c r="L2" s="655"/>
      <c r="M2" s="655"/>
      <c r="N2" s="655"/>
      <c r="O2" s="655"/>
      <c r="P2" s="655"/>
      <c r="Q2" s="655"/>
      <c r="R2" s="655"/>
      <c r="S2" s="655"/>
      <c r="T2" s="655"/>
      <c r="U2" s="655"/>
      <c r="V2" s="655"/>
    </row>
    <row r="3" spans="1:22" s="651" customFormat="1" ht="15">
      <c r="A3" s="929" t="s">
        <v>216</v>
      </c>
      <c r="B3" s="929"/>
      <c r="C3" s="929"/>
      <c r="D3" s="929"/>
      <c r="E3" s="929"/>
      <c r="F3" s="929"/>
      <c r="G3" s="929"/>
      <c r="H3" s="929"/>
      <c r="I3" s="929"/>
      <c r="J3" s="655"/>
      <c r="K3" s="655"/>
      <c r="L3" s="655"/>
      <c r="M3" s="655"/>
      <c r="N3" s="655"/>
      <c r="O3" s="655"/>
      <c r="P3" s="655"/>
      <c r="Q3" s="655"/>
      <c r="R3" s="655"/>
      <c r="S3" s="655"/>
      <c r="T3" s="655"/>
      <c r="U3" s="655"/>
      <c r="V3" s="655"/>
    </row>
    <row r="4" spans="1:22" s="653" customFormat="1" ht="15.75">
      <c r="A4" s="931" t="s">
        <v>597</v>
      </c>
      <c r="B4" s="931"/>
      <c r="C4" s="931"/>
      <c r="D4" s="931"/>
      <c r="E4" s="931"/>
      <c r="F4" s="931"/>
      <c r="G4" s="931"/>
      <c r="H4" s="931"/>
      <c r="I4" s="931"/>
      <c r="J4" s="656"/>
      <c r="K4" s="656"/>
      <c r="L4" s="656"/>
      <c r="M4" s="656"/>
      <c r="N4" s="656"/>
      <c r="O4" s="656"/>
      <c r="P4" s="656"/>
      <c r="Q4" s="656"/>
      <c r="R4" s="656"/>
      <c r="S4" s="656"/>
      <c r="T4" s="656"/>
      <c r="U4" s="656"/>
      <c r="V4" s="656"/>
    </row>
    <row r="5" spans="1:22" ht="15.75" thickBot="1">
      <c r="A5" s="335"/>
      <c r="B5" s="335"/>
      <c r="C5" s="335"/>
      <c r="D5" s="335"/>
      <c r="E5" s="431"/>
      <c r="F5" s="335"/>
      <c r="G5" s="335"/>
      <c r="H5" s="335"/>
      <c r="I5" s="335"/>
      <c r="J5" s="336"/>
      <c r="K5" s="336"/>
      <c r="L5" s="336"/>
      <c r="M5" s="336"/>
      <c r="N5" s="336"/>
      <c r="O5" s="336"/>
      <c r="P5" s="336"/>
      <c r="Q5" s="336"/>
      <c r="R5" s="336"/>
      <c r="S5" s="336"/>
      <c r="T5" s="336"/>
      <c r="U5" s="336"/>
      <c r="V5" s="336"/>
    </row>
    <row r="6" spans="1:21" s="219" customFormat="1" ht="27" thickBot="1">
      <c r="A6" s="346" t="s">
        <v>232</v>
      </c>
      <c r="B6" s="347" t="s">
        <v>232</v>
      </c>
      <c r="C6" s="347" t="s">
        <v>233</v>
      </c>
      <c r="D6" s="347" t="s">
        <v>234</v>
      </c>
      <c r="E6" s="347" t="s">
        <v>235</v>
      </c>
      <c r="F6" s="347" t="s">
        <v>236</v>
      </c>
      <c r="G6" s="347" t="s">
        <v>324</v>
      </c>
      <c r="H6" s="347" t="s">
        <v>238</v>
      </c>
      <c r="I6" s="348" t="s">
        <v>239</v>
      </c>
      <c r="J6" s="342"/>
      <c r="K6" s="342"/>
      <c r="L6" s="342"/>
      <c r="M6" s="342"/>
      <c r="N6" s="342"/>
      <c r="O6" s="342"/>
      <c r="P6" s="342"/>
      <c r="Q6" s="342"/>
      <c r="R6" s="342"/>
      <c r="S6" s="342"/>
      <c r="T6" s="342"/>
      <c r="U6" s="342"/>
    </row>
    <row r="7" spans="1:9" s="435" customFormat="1" ht="51" customHeight="1">
      <c r="A7" s="444" t="s">
        <v>662</v>
      </c>
      <c r="B7" s="445" t="s">
        <v>240</v>
      </c>
      <c r="C7" s="445" t="s">
        <v>241</v>
      </c>
      <c r="D7" s="445">
        <v>3030</v>
      </c>
      <c r="E7" s="464" t="s">
        <v>242</v>
      </c>
      <c r="F7" s="446">
        <f>'Sch. G 2021'!B11</f>
        <v>213641</v>
      </c>
      <c r="G7" s="446">
        <v>678889.55000000005</v>
      </c>
      <c r="H7" s="470">
        <f t="shared" si="0" ref="H7:H50">F7-G7</f>
        <v>-465248.55000000005</v>
      </c>
      <c r="I7" s="952" t="s">
        <v>617</v>
      </c>
    </row>
    <row r="8" spans="1:9" s="435" customFormat="1" ht="15">
      <c r="A8" s="447" t="s">
        <v>662</v>
      </c>
      <c r="B8" s="437" t="s">
        <v>240</v>
      </c>
      <c r="C8" s="437" t="s">
        <v>241</v>
      </c>
      <c r="D8" s="437">
        <v>3914</v>
      </c>
      <c r="E8" s="455" t="s">
        <v>264</v>
      </c>
      <c r="F8" s="438">
        <f>'Sch. G 2021'!B36</f>
        <v>7102197</v>
      </c>
      <c r="G8" s="438">
        <v>6636948.3599999994</v>
      </c>
      <c r="H8" s="470">
        <f t="shared" si="0"/>
        <v>465248.6400000006</v>
      </c>
      <c r="I8" s="926"/>
    </row>
    <row r="9" spans="1:21" s="435" customFormat="1" ht="15">
      <c r="A9" s="447" t="s">
        <v>662</v>
      </c>
      <c r="B9" s="437" t="s">
        <v>240</v>
      </c>
      <c r="C9" s="437" t="s">
        <v>224</v>
      </c>
      <c r="D9" s="437">
        <v>3030</v>
      </c>
      <c r="E9" s="455" t="s">
        <v>243</v>
      </c>
      <c r="F9" s="438">
        <f>'Sch. G 2021'!C11</f>
        <v>0</v>
      </c>
      <c r="G9" s="438">
        <v>152.68000000000001</v>
      </c>
      <c r="H9" s="470">
        <f t="shared" si="0"/>
        <v>-152.68000000000001</v>
      </c>
      <c r="I9" s="926"/>
      <c r="J9" s="345"/>
      <c r="K9" s="345"/>
      <c r="L9" s="345"/>
      <c r="M9" s="345"/>
      <c r="N9" s="345"/>
      <c r="O9" s="345"/>
      <c r="P9" s="345"/>
      <c r="Q9" s="345"/>
      <c r="R9" s="345"/>
      <c r="S9" s="345"/>
      <c r="T9" s="345"/>
      <c r="U9" s="345"/>
    </row>
    <row r="10" spans="1:21" s="435" customFormat="1" ht="15">
      <c r="A10" s="447" t="s">
        <v>662</v>
      </c>
      <c r="B10" s="437" t="s">
        <v>240</v>
      </c>
      <c r="C10" s="437" t="s">
        <v>224</v>
      </c>
      <c r="D10" s="437">
        <v>3914</v>
      </c>
      <c r="E10" s="455" t="s">
        <v>265</v>
      </c>
      <c r="F10" s="438">
        <f>'Sch. G 2021'!C36</f>
        <v>123647.17</v>
      </c>
      <c r="G10" s="438">
        <v>123494.48999999999</v>
      </c>
      <c r="H10" s="470">
        <f t="shared" si="0"/>
        <v>152.68000000000757</v>
      </c>
      <c r="I10" s="926"/>
      <c r="J10" s="345"/>
      <c r="K10" s="345"/>
      <c r="L10" s="345"/>
      <c r="M10" s="345"/>
      <c r="N10" s="345"/>
      <c r="O10" s="345"/>
      <c r="P10" s="345"/>
      <c r="Q10" s="345"/>
      <c r="R10" s="345"/>
      <c r="S10" s="345"/>
      <c r="T10" s="345"/>
      <c r="U10" s="345"/>
    </row>
    <row r="11" spans="1:21" ht="15">
      <c r="A11" s="447" t="s">
        <v>662</v>
      </c>
      <c r="B11" s="437" t="s">
        <v>253</v>
      </c>
      <c r="C11" s="437" t="s">
        <v>241</v>
      </c>
      <c r="D11" s="442">
        <v>3030</v>
      </c>
      <c r="E11" s="462" t="s">
        <v>244</v>
      </c>
      <c r="F11" s="438">
        <f>'Sch. G 2021'!K11</f>
        <v>127642</v>
      </c>
      <c r="G11" s="443">
        <v>274828.78000000003</v>
      </c>
      <c r="H11" s="470">
        <f t="shared" si="0"/>
        <v>-147186.78000000003</v>
      </c>
      <c r="I11" s="926"/>
      <c r="J11" s="345"/>
      <c r="K11" s="345"/>
      <c r="L11" s="345"/>
      <c r="M11" s="345"/>
      <c r="N11" s="345"/>
      <c r="O11" s="345"/>
      <c r="P11" s="345"/>
      <c r="Q11" s="345"/>
      <c r="R11" s="345"/>
      <c r="S11" s="345"/>
      <c r="T11" s="345"/>
      <c r="U11" s="345"/>
    </row>
    <row r="12" spans="1:21" ht="15">
      <c r="A12" s="447" t="s">
        <v>662</v>
      </c>
      <c r="B12" s="437" t="s">
        <v>253</v>
      </c>
      <c r="C12" s="437" t="s">
        <v>241</v>
      </c>
      <c r="D12" s="442">
        <v>3914</v>
      </c>
      <c r="E12" s="462" t="s">
        <v>266</v>
      </c>
      <c r="F12" s="438">
        <f>'Sch. G 2021'!K36</f>
        <v>1989025</v>
      </c>
      <c r="G12" s="443">
        <v>1841836.5700000001</v>
      </c>
      <c r="H12" s="470">
        <f t="shared" si="0"/>
        <v>147188.42999999993</v>
      </c>
      <c r="I12" s="926"/>
      <c r="J12" s="336"/>
      <c r="K12" s="336"/>
      <c r="L12" s="336"/>
      <c r="M12" s="336"/>
      <c r="N12" s="336"/>
      <c r="O12" s="336"/>
      <c r="P12" s="336"/>
      <c r="Q12" s="336"/>
      <c r="R12" s="336"/>
      <c r="S12" s="336"/>
      <c r="T12" s="336"/>
      <c r="U12" s="336"/>
    </row>
    <row r="13" spans="1:21" s="435" customFormat="1" ht="14.45" customHeight="1">
      <c r="A13" s="447" t="s">
        <v>662</v>
      </c>
      <c r="B13" s="437" t="s">
        <v>253</v>
      </c>
      <c r="C13" s="442" t="s">
        <v>228</v>
      </c>
      <c r="D13" s="442">
        <v>3030</v>
      </c>
      <c r="E13" s="462" t="s">
        <v>245</v>
      </c>
      <c r="F13" s="438">
        <f>'Sch. G 2021'!L11</f>
        <v>0</v>
      </c>
      <c r="G13" s="443">
        <v>45584.5</v>
      </c>
      <c r="H13" s="470">
        <f t="shared" si="0"/>
        <v>-45584.5</v>
      </c>
      <c r="I13" s="927"/>
      <c r="J13" s="345"/>
      <c r="K13" s="345"/>
      <c r="L13" s="345"/>
      <c r="M13" s="345"/>
      <c r="N13" s="345"/>
      <c r="O13" s="345"/>
      <c r="P13" s="345"/>
      <c r="Q13" s="345"/>
      <c r="R13" s="345"/>
      <c r="S13" s="345"/>
      <c r="T13" s="345"/>
      <c r="U13" s="345"/>
    </row>
    <row r="14" spans="1:21" s="435" customFormat="1" ht="81.95" customHeight="1">
      <c r="A14" s="447" t="s">
        <v>662</v>
      </c>
      <c r="B14" s="437" t="s">
        <v>253</v>
      </c>
      <c r="C14" s="437" t="s">
        <v>226</v>
      </c>
      <c r="D14" s="441">
        <v>3030</v>
      </c>
      <c r="E14" s="455" t="s">
        <v>295</v>
      </c>
      <c r="F14" s="438">
        <f>'Sch. G 2021'!Q11</f>
        <v>0</v>
      </c>
      <c r="G14" s="443">
        <v>16115.040000000001</v>
      </c>
      <c r="H14" s="470">
        <f t="shared" si="0"/>
        <v>-16115.040000000001</v>
      </c>
      <c r="I14" s="448" t="s">
        <v>666</v>
      </c>
      <c r="J14" s="345"/>
      <c r="K14" s="345"/>
      <c r="L14" s="345"/>
      <c r="M14" s="345"/>
      <c r="N14" s="345"/>
      <c r="O14" s="345"/>
      <c r="P14" s="345"/>
      <c r="Q14" s="345"/>
      <c r="R14" s="345"/>
      <c r="S14" s="345"/>
      <c r="T14" s="345"/>
      <c r="U14" s="345"/>
    </row>
    <row r="15" spans="1:21" ht="64.5">
      <c r="A15" s="447" t="s">
        <v>662</v>
      </c>
      <c r="B15" s="437" t="s">
        <v>253</v>
      </c>
      <c r="C15" s="442" t="s">
        <v>228</v>
      </c>
      <c r="D15" s="442">
        <v>3914</v>
      </c>
      <c r="E15" s="462" t="s">
        <v>267</v>
      </c>
      <c r="F15" s="438">
        <f>'Sch. G 2021'!L36</f>
        <v>731787.53000000003</v>
      </c>
      <c r="G15" s="443">
        <v>667946.94999999995</v>
      </c>
      <c r="H15" s="470">
        <f t="shared" si="0"/>
        <v>63840.580000000075</v>
      </c>
      <c r="I15" s="448" t="s">
        <v>637</v>
      </c>
      <c r="J15" s="345"/>
      <c r="K15" s="345"/>
      <c r="L15" s="345"/>
      <c r="M15" s="345"/>
      <c r="N15" s="345"/>
      <c r="O15" s="345"/>
      <c r="P15" s="345"/>
      <c r="Q15" s="345"/>
      <c r="R15" s="345"/>
      <c r="S15" s="345"/>
      <c r="T15" s="345"/>
      <c r="U15" s="345"/>
    </row>
    <row r="16" spans="1:21" ht="15">
      <c r="A16" s="447" t="s">
        <v>662</v>
      </c>
      <c r="B16" s="437" t="s">
        <v>240</v>
      </c>
      <c r="C16" s="437" t="s">
        <v>241</v>
      </c>
      <c r="D16" s="458">
        <v>3740</v>
      </c>
      <c r="E16" s="459" t="s">
        <v>598</v>
      </c>
      <c r="F16" s="438">
        <f>'Sch. G 2021'!B12</f>
        <v>376799</v>
      </c>
      <c r="G16" s="438">
        <v>397298.59999999998</v>
      </c>
      <c r="H16" s="470">
        <f t="shared" si="0"/>
        <v>-20499.599999999977</v>
      </c>
      <c r="I16" s="954" t="s">
        <v>635</v>
      </c>
      <c r="J16" s="345"/>
      <c r="K16" s="345"/>
      <c r="L16" s="345"/>
      <c r="M16" s="345"/>
      <c r="N16" s="345"/>
      <c r="O16" s="345"/>
      <c r="P16" s="345"/>
      <c r="Q16" s="345"/>
      <c r="R16" s="345"/>
      <c r="S16" s="345"/>
      <c r="T16" s="345"/>
      <c r="U16" s="345"/>
    </row>
    <row r="17" spans="1:21" ht="15">
      <c r="A17" s="447" t="s">
        <v>662</v>
      </c>
      <c r="B17" s="437" t="s">
        <v>240</v>
      </c>
      <c r="C17" s="437" t="s">
        <v>241</v>
      </c>
      <c r="D17" s="458">
        <v>3741</v>
      </c>
      <c r="E17" s="459" t="s">
        <v>599</v>
      </c>
      <c r="F17" s="438">
        <f>'Sch. G 2021'!B13</f>
        <v>33410</v>
      </c>
      <c r="G17" s="438">
        <v>12909.530000000001</v>
      </c>
      <c r="H17" s="470">
        <f t="shared" si="0"/>
        <v>20500.470000000001</v>
      </c>
      <c r="I17" s="954"/>
      <c r="J17" s="345"/>
      <c r="K17" s="345"/>
      <c r="L17" s="345"/>
      <c r="M17" s="345"/>
      <c r="N17" s="345"/>
      <c r="O17" s="345"/>
      <c r="P17" s="345"/>
      <c r="Q17" s="345"/>
      <c r="R17" s="345"/>
      <c r="S17" s="345"/>
      <c r="T17" s="345"/>
      <c r="U17" s="345"/>
    </row>
    <row r="18" spans="1:21" ht="35.1" customHeight="1">
      <c r="A18" s="447" t="s">
        <v>662</v>
      </c>
      <c r="B18" s="437" t="s">
        <v>240</v>
      </c>
      <c r="C18" s="437" t="s">
        <v>241</v>
      </c>
      <c r="D18" s="458">
        <v>3921</v>
      </c>
      <c r="E18" s="459" t="s">
        <v>604</v>
      </c>
      <c r="F18" s="438">
        <f>'Sch. G 2021'!B37</f>
        <v>317039</v>
      </c>
      <c r="G18" s="443">
        <v>403105.95000000007</v>
      </c>
      <c r="H18" s="470">
        <f t="shared" si="0"/>
        <v>-86066.95000000007</v>
      </c>
      <c r="I18" s="954"/>
      <c r="J18" s="345"/>
      <c r="K18" s="345"/>
      <c r="L18" s="345"/>
      <c r="M18" s="345"/>
      <c r="N18" s="345"/>
      <c r="O18" s="345"/>
      <c r="P18" s="345"/>
      <c r="Q18" s="345"/>
      <c r="R18" s="345"/>
      <c r="S18" s="345"/>
      <c r="T18" s="345"/>
      <c r="U18" s="345"/>
    </row>
    <row r="19" spans="1:21" ht="35.1" customHeight="1">
      <c r="A19" s="466" t="s">
        <v>662</v>
      </c>
      <c r="B19" s="457" t="s">
        <v>240</v>
      </c>
      <c r="C19" s="437" t="s">
        <v>241</v>
      </c>
      <c r="D19" s="458">
        <v>3922</v>
      </c>
      <c r="E19" s="459" t="s">
        <v>605</v>
      </c>
      <c r="F19" s="438">
        <f>'Sch. G 2021'!B38</f>
        <v>5935055</v>
      </c>
      <c r="G19" s="443">
        <v>5848987.79</v>
      </c>
      <c r="H19" s="470">
        <f t="shared" si="0"/>
        <v>86067.209999999963</v>
      </c>
      <c r="I19" s="954"/>
      <c r="J19" s="345"/>
      <c r="K19" s="345"/>
      <c r="L19" s="345"/>
      <c r="M19" s="345"/>
      <c r="N19" s="345"/>
      <c r="O19" s="345"/>
      <c r="P19" s="345"/>
      <c r="Q19" s="345"/>
      <c r="R19" s="345"/>
      <c r="S19" s="345"/>
      <c r="T19" s="345"/>
      <c r="U19" s="345"/>
    </row>
    <row r="20" spans="1:21" ht="15">
      <c r="A20" s="447" t="s">
        <v>662</v>
      </c>
      <c r="B20" s="437" t="s">
        <v>240</v>
      </c>
      <c r="C20" s="437" t="s">
        <v>194</v>
      </c>
      <c r="D20" s="437">
        <v>3830</v>
      </c>
      <c r="E20" s="455" t="s">
        <v>305</v>
      </c>
      <c r="F20" s="438">
        <f>'Sch. G 2021'!D27</f>
        <v>-9035.1700000000019</v>
      </c>
      <c r="G20" s="443">
        <v>-8670.1700000000001</v>
      </c>
      <c r="H20" s="470">
        <f t="shared" si="0"/>
        <v>-365.00000000000182</v>
      </c>
      <c r="I20" s="955" t="s">
        <v>636</v>
      </c>
      <c r="J20" s="345"/>
      <c r="K20" s="345"/>
      <c r="L20" s="345"/>
      <c r="M20" s="345"/>
      <c r="N20" s="345"/>
      <c r="O20" s="345"/>
      <c r="P20" s="345"/>
      <c r="Q20" s="345"/>
      <c r="R20" s="345"/>
      <c r="S20" s="345"/>
      <c r="T20" s="345"/>
      <c r="U20" s="345"/>
    </row>
    <row r="21" spans="1:21" ht="15">
      <c r="A21" s="447" t="s">
        <v>662</v>
      </c>
      <c r="B21" s="437" t="s">
        <v>240</v>
      </c>
      <c r="C21" s="437" t="s">
        <v>226</v>
      </c>
      <c r="D21" s="437">
        <v>3830</v>
      </c>
      <c r="E21" s="455" t="s">
        <v>306</v>
      </c>
      <c r="F21" s="438">
        <f>'Sch. G 2021'!F27</f>
        <v>365</v>
      </c>
      <c r="G21" s="443">
        <v>0</v>
      </c>
      <c r="H21" s="470">
        <f t="shared" si="0"/>
        <v>365</v>
      </c>
      <c r="I21" s="946"/>
      <c r="J21" s="345"/>
      <c r="K21" s="345"/>
      <c r="L21" s="345"/>
      <c r="M21" s="345"/>
      <c r="N21" s="345"/>
      <c r="O21" s="345"/>
      <c r="P21" s="345"/>
      <c r="Q21" s="345"/>
      <c r="R21" s="345"/>
      <c r="S21" s="345"/>
      <c r="T21" s="345"/>
      <c r="U21" s="345"/>
    </row>
    <row r="22" spans="1:21" ht="15">
      <c r="A22" s="447" t="s">
        <v>662</v>
      </c>
      <c r="B22" s="437" t="s">
        <v>253</v>
      </c>
      <c r="C22" s="437" t="s">
        <v>194</v>
      </c>
      <c r="D22" s="437">
        <v>3830</v>
      </c>
      <c r="E22" s="455" t="s">
        <v>308</v>
      </c>
      <c r="F22" s="438">
        <f>'Sch. G 2021'!N27</f>
        <v>-9035.1700000000019</v>
      </c>
      <c r="G22" s="443">
        <v>-8670.1700000000001</v>
      </c>
      <c r="H22" s="470">
        <f t="shared" si="0"/>
        <v>-365.00000000000182</v>
      </c>
      <c r="I22" s="946"/>
      <c r="J22" s="345"/>
      <c r="K22" s="345"/>
      <c r="L22" s="345"/>
      <c r="M22" s="345"/>
      <c r="N22" s="345"/>
      <c r="O22" s="345"/>
      <c r="P22" s="345"/>
      <c r="Q22" s="345"/>
      <c r="R22" s="345"/>
      <c r="S22" s="345"/>
      <c r="T22" s="345"/>
      <c r="U22" s="345"/>
    </row>
    <row r="23" spans="1:21" ht="15">
      <c r="A23" s="447" t="s">
        <v>662</v>
      </c>
      <c r="B23" s="437" t="s">
        <v>253</v>
      </c>
      <c r="C23" s="437" t="s">
        <v>226</v>
      </c>
      <c r="D23" s="437">
        <v>3830</v>
      </c>
      <c r="E23" s="455" t="s">
        <v>309</v>
      </c>
      <c r="F23" s="438">
        <f>'Sch. G 2021'!Q27</f>
        <v>365</v>
      </c>
      <c r="G23" s="443">
        <v>0</v>
      </c>
      <c r="H23" s="470">
        <f t="shared" si="0"/>
        <v>365</v>
      </c>
      <c r="I23" s="947"/>
      <c r="J23" s="345"/>
      <c r="K23" s="345"/>
      <c r="L23" s="345"/>
      <c r="M23" s="345"/>
      <c r="N23" s="345"/>
      <c r="O23" s="345"/>
      <c r="P23" s="345"/>
      <c r="Q23" s="345"/>
      <c r="R23" s="345"/>
      <c r="S23" s="345"/>
      <c r="T23" s="345"/>
      <c r="U23" s="345"/>
    </row>
    <row r="24" spans="1:21" ht="17.1" customHeight="1">
      <c r="A24" s="447" t="s">
        <v>662</v>
      </c>
      <c r="B24" s="437" t="s">
        <v>240</v>
      </c>
      <c r="C24" s="437" t="s">
        <v>596</v>
      </c>
      <c r="D24" s="437">
        <v>3762</v>
      </c>
      <c r="E24" s="455" t="s">
        <v>602</v>
      </c>
      <c r="F24" s="438">
        <f>'Sch. G 2021'!E16</f>
        <v>118296.75999999999</v>
      </c>
      <c r="G24" s="443">
        <v>0</v>
      </c>
      <c r="H24" s="470">
        <f t="shared" si="0"/>
        <v>118296.75999999999</v>
      </c>
      <c r="I24" s="928" t="s">
        <v>641</v>
      </c>
      <c r="J24" s="345"/>
      <c r="K24" s="345"/>
      <c r="L24" s="345"/>
      <c r="M24" s="345"/>
      <c r="N24" s="345"/>
      <c r="O24" s="345"/>
      <c r="P24" s="345"/>
      <c r="Q24" s="345"/>
      <c r="R24" s="345"/>
      <c r="S24" s="345"/>
      <c r="T24" s="345"/>
      <c r="U24" s="345"/>
    </row>
    <row r="25" spans="1:21" ht="17.1" customHeight="1">
      <c r="A25" s="447" t="s">
        <v>662</v>
      </c>
      <c r="B25" s="437" t="s">
        <v>240</v>
      </c>
      <c r="C25" s="437" t="s">
        <v>596</v>
      </c>
      <c r="D25" s="437">
        <v>3850</v>
      </c>
      <c r="E25" s="455" t="s">
        <v>603</v>
      </c>
      <c r="F25" s="438">
        <f>'Sch. G 2021'!E29</f>
        <v>-118296.75999999999</v>
      </c>
      <c r="G25" s="443">
        <v>0</v>
      </c>
      <c r="H25" s="470">
        <f t="shared" si="0"/>
        <v>-118296.75999999999</v>
      </c>
      <c r="I25" s="928"/>
      <c r="J25" s="345"/>
      <c r="K25" s="345"/>
      <c r="L25" s="345"/>
      <c r="M25" s="345"/>
      <c r="N25" s="345"/>
      <c r="O25" s="345"/>
      <c r="P25" s="345"/>
      <c r="Q25" s="345"/>
      <c r="R25" s="345"/>
      <c r="S25" s="345"/>
      <c r="T25" s="345"/>
      <c r="U25" s="345"/>
    </row>
    <row r="26" spans="1:21" ht="15">
      <c r="A26" s="447" t="s">
        <v>662</v>
      </c>
      <c r="B26" s="437" t="s">
        <v>240</v>
      </c>
      <c r="C26" s="437" t="s">
        <v>227</v>
      </c>
      <c r="D26" s="437">
        <v>3762</v>
      </c>
      <c r="E26" s="455" t="s">
        <v>600</v>
      </c>
      <c r="F26" s="438">
        <f>'Sch. G 2021'!G16</f>
        <v>0</v>
      </c>
      <c r="G26" s="443">
        <v>118296.76000000001</v>
      </c>
      <c r="H26" s="470">
        <f t="shared" si="0"/>
        <v>-118296.76000000001</v>
      </c>
      <c r="I26" s="928"/>
      <c r="J26" s="345"/>
      <c r="K26" s="345"/>
      <c r="L26" s="345"/>
      <c r="M26" s="345"/>
      <c r="N26" s="345"/>
      <c r="O26" s="345"/>
      <c r="P26" s="345"/>
      <c r="Q26" s="345"/>
      <c r="R26" s="345"/>
      <c r="S26" s="345"/>
      <c r="T26" s="345"/>
      <c r="U26" s="345"/>
    </row>
    <row r="27" spans="1:21" ht="15">
      <c r="A27" s="447" t="s">
        <v>662</v>
      </c>
      <c r="B27" s="437" t="s">
        <v>240</v>
      </c>
      <c r="C27" s="437" t="s">
        <v>227</v>
      </c>
      <c r="D27" s="437">
        <v>3850</v>
      </c>
      <c r="E27" s="455" t="s">
        <v>601</v>
      </c>
      <c r="F27" s="438">
        <f>'Sch. G 2021'!G29</f>
        <v>0</v>
      </c>
      <c r="G27" s="443">
        <v>-118296.76000000001</v>
      </c>
      <c r="H27" s="470">
        <f t="shared" si="0"/>
        <v>118296.76000000001</v>
      </c>
      <c r="I27" s="928"/>
      <c r="J27" s="345"/>
      <c r="K27" s="336"/>
      <c r="L27" s="336"/>
      <c r="M27" s="336"/>
      <c r="N27" s="336"/>
      <c r="O27" s="336"/>
      <c r="P27" s="336"/>
      <c r="Q27" s="336"/>
      <c r="R27" s="336"/>
      <c r="S27" s="336"/>
      <c r="T27" s="336"/>
      <c r="U27" s="336"/>
    </row>
    <row r="28" spans="1:21" ht="20.1" customHeight="1">
      <c r="A28" s="447" t="s">
        <v>662</v>
      </c>
      <c r="B28" s="437" t="s">
        <v>253</v>
      </c>
      <c r="C28" s="437" t="s">
        <v>606</v>
      </c>
      <c r="D28" s="463">
        <v>3810</v>
      </c>
      <c r="E28" s="462" t="s">
        <v>607</v>
      </c>
      <c r="F28" s="438">
        <f>'Sch. G 2021'!P23</f>
        <v>0</v>
      </c>
      <c r="G28" s="443">
        <v>-72157.229999999996</v>
      </c>
      <c r="H28" s="470">
        <f t="shared" si="0"/>
        <v>72157.229999999996</v>
      </c>
      <c r="I28" s="935" t="s">
        <v>640</v>
      </c>
      <c r="J28" s="336"/>
      <c r="K28" s="336"/>
      <c r="L28" s="336"/>
      <c r="M28" s="336"/>
      <c r="N28" s="336"/>
      <c r="O28" s="336"/>
      <c r="P28" s="336"/>
      <c r="Q28" s="336"/>
      <c r="R28" s="336"/>
      <c r="S28" s="336"/>
      <c r="T28" s="336"/>
      <c r="U28" s="336"/>
    </row>
    <row r="29" spans="1:21" ht="20.1" customHeight="1">
      <c r="A29" s="447" t="s">
        <v>662</v>
      </c>
      <c r="B29" s="437" t="s">
        <v>253</v>
      </c>
      <c r="C29" s="437" t="s">
        <v>606</v>
      </c>
      <c r="D29" s="463">
        <v>3820</v>
      </c>
      <c r="E29" s="462" t="s">
        <v>262</v>
      </c>
      <c r="F29" s="438">
        <f>'Sch. G 2021'!P25</f>
        <v>-88703.559999999998</v>
      </c>
      <c r="G29" s="443">
        <v>-16304.25</v>
      </c>
      <c r="H29" s="470">
        <f t="shared" si="0"/>
        <v>-72399.309999999998</v>
      </c>
      <c r="I29" s="936"/>
      <c r="J29" s="336"/>
      <c r="K29" s="336"/>
      <c r="L29" s="336"/>
      <c r="M29" s="336"/>
      <c r="N29" s="336"/>
      <c r="O29" s="336"/>
      <c r="P29" s="336"/>
      <c r="Q29" s="336"/>
      <c r="R29" s="336"/>
      <c r="S29" s="336"/>
      <c r="T29" s="336"/>
      <c r="U29" s="336"/>
    </row>
    <row r="30" spans="1:21" ht="47.1" customHeight="1">
      <c r="A30" s="447" t="s">
        <v>662</v>
      </c>
      <c r="B30" s="437" t="s">
        <v>253</v>
      </c>
      <c r="C30" s="437" t="s">
        <v>596</v>
      </c>
      <c r="D30" s="463">
        <v>3820</v>
      </c>
      <c r="E30" s="462" t="s">
        <v>608</v>
      </c>
      <c r="F30" s="438">
        <f>'Sch. G 2021'!M25</f>
        <v>0</v>
      </c>
      <c r="G30" s="443">
        <v>-242.08000000000001</v>
      </c>
      <c r="H30" s="470">
        <f t="shared" si="0"/>
        <v>242.08000000000001</v>
      </c>
      <c r="I30" s="448" t="s">
        <v>639</v>
      </c>
      <c r="J30" s="336"/>
      <c r="K30" s="336"/>
      <c r="L30" s="336"/>
      <c r="M30" s="336"/>
      <c r="N30" s="336"/>
      <c r="O30" s="336"/>
      <c r="P30" s="336"/>
      <c r="Q30" s="336"/>
      <c r="R30" s="336"/>
      <c r="S30" s="336"/>
      <c r="T30" s="336"/>
      <c r="U30" s="336"/>
    </row>
    <row r="31" spans="1:21" ht="31.5" customHeight="1">
      <c r="A31" s="447" t="s">
        <v>662</v>
      </c>
      <c r="B31" s="457" t="s">
        <v>253</v>
      </c>
      <c r="C31" s="437" t="s">
        <v>241</v>
      </c>
      <c r="D31" s="458">
        <v>3900</v>
      </c>
      <c r="E31" s="459" t="s">
        <v>609</v>
      </c>
      <c r="F31" s="438">
        <f>'Sch. G 2021'!K32</f>
        <v>647393</v>
      </c>
      <c r="G31" s="443">
        <v>732146.17000000004</v>
      </c>
      <c r="H31" s="470">
        <f t="shared" si="0"/>
        <v>-84753.170000000042</v>
      </c>
      <c r="I31" s="933" t="s">
        <v>628</v>
      </c>
      <c r="J31" s="344"/>
      <c r="K31" s="349"/>
      <c r="L31" s="349"/>
      <c r="M31" s="345"/>
      <c r="N31" s="345"/>
      <c r="O31" s="345"/>
      <c r="P31" s="345"/>
      <c r="Q31" s="345"/>
      <c r="R31" s="345"/>
      <c r="S31" s="345"/>
      <c r="T31" s="345"/>
      <c r="U31" s="345"/>
    </row>
    <row r="32" spans="1:21" ht="31.5" customHeight="1">
      <c r="A32" s="447" t="s">
        <v>662</v>
      </c>
      <c r="B32" s="437" t="s">
        <v>253</v>
      </c>
      <c r="C32" s="437" t="s">
        <v>241</v>
      </c>
      <c r="D32" s="458">
        <v>3913</v>
      </c>
      <c r="E32" s="459" t="s">
        <v>315</v>
      </c>
      <c r="F32" s="438">
        <f>'Sch. G 2021'!K35</f>
        <v>-85260</v>
      </c>
      <c r="G32" s="443">
        <v>-170111.89000000001</v>
      </c>
      <c r="H32" s="470">
        <f t="shared" si="0"/>
        <v>84851.890000000014</v>
      </c>
      <c r="I32" s="934"/>
      <c r="J32" s="344"/>
      <c r="K32" s="349"/>
      <c r="L32" s="349"/>
      <c r="M32" s="345"/>
      <c r="N32" s="345"/>
      <c r="O32" s="345"/>
      <c r="P32" s="345"/>
      <c r="Q32" s="345"/>
      <c r="R32" s="345"/>
      <c r="S32" s="345"/>
      <c r="T32" s="345"/>
      <c r="U32" s="345"/>
    </row>
    <row r="33" spans="1:21" ht="15">
      <c r="A33" s="447" t="s">
        <v>662</v>
      </c>
      <c r="B33" s="437" t="s">
        <v>253</v>
      </c>
      <c r="C33" s="437" t="s">
        <v>228</v>
      </c>
      <c r="D33" s="441">
        <v>3910</v>
      </c>
      <c r="E33" s="455" t="s">
        <v>311</v>
      </c>
      <c r="F33" s="470">
        <f>'Sch. G 2021'!L33</f>
        <v>342805.35999999999</v>
      </c>
      <c r="G33" s="443">
        <v>127367.36</v>
      </c>
      <c r="H33" s="470">
        <f t="shared" si="0"/>
        <v>215438</v>
      </c>
      <c r="I33" s="925" t="s">
        <v>629</v>
      </c>
      <c r="J33" s="336"/>
      <c r="K33" s="336"/>
      <c r="L33" s="336"/>
      <c r="M33" s="336"/>
      <c r="N33" s="336"/>
      <c r="O33" s="336"/>
      <c r="P33" s="336"/>
      <c r="Q33" s="336"/>
      <c r="R33" s="336"/>
      <c r="S33" s="336"/>
      <c r="T33" s="336"/>
      <c r="U33" s="336"/>
    </row>
    <row r="34" spans="1:21" ht="15">
      <c r="A34" s="447" t="s">
        <v>662</v>
      </c>
      <c r="B34" s="437" t="s">
        <v>253</v>
      </c>
      <c r="C34" s="437" t="s">
        <v>228</v>
      </c>
      <c r="D34" s="441">
        <v>3912</v>
      </c>
      <c r="E34" s="455" t="s">
        <v>313</v>
      </c>
      <c r="F34" s="470">
        <f>'Sch. G 2021'!L34</f>
        <v>50764.589999999997</v>
      </c>
      <c r="G34" s="443">
        <v>36890.739999999998</v>
      </c>
      <c r="H34" s="470">
        <f t="shared" si="0"/>
        <v>13873.849999999999</v>
      </c>
      <c r="I34" s="926"/>
      <c r="J34" s="336"/>
      <c r="K34" s="336"/>
      <c r="L34" s="336"/>
      <c r="M34" s="336"/>
      <c r="N34" s="336"/>
      <c r="O34" s="336"/>
      <c r="P34" s="336"/>
      <c r="Q34" s="336"/>
      <c r="R34" s="336"/>
      <c r="S34" s="336"/>
      <c r="T34" s="336"/>
      <c r="U34" s="336"/>
    </row>
    <row r="35" spans="1:21" ht="15">
      <c r="A35" s="447" t="s">
        <v>662</v>
      </c>
      <c r="B35" s="437" t="s">
        <v>253</v>
      </c>
      <c r="C35" s="437" t="s">
        <v>228</v>
      </c>
      <c r="D35" s="441">
        <v>3913</v>
      </c>
      <c r="E35" s="455" t="s">
        <v>316</v>
      </c>
      <c r="F35" s="470">
        <f>'Sch. G 2021'!L35</f>
        <v>36155.229999999996</v>
      </c>
      <c r="G35" s="443">
        <v>30851.48</v>
      </c>
      <c r="H35" s="470">
        <f t="shared" si="0"/>
        <v>5303.7499999999964</v>
      </c>
      <c r="I35" s="926"/>
      <c r="J35" s="336"/>
      <c r="K35" s="336"/>
      <c r="L35" s="336"/>
      <c r="M35" s="336"/>
      <c r="N35" s="336"/>
      <c r="O35" s="336"/>
      <c r="P35" s="336"/>
      <c r="Q35" s="336"/>
      <c r="R35" s="336"/>
      <c r="S35" s="336"/>
      <c r="T35" s="336"/>
      <c r="U35" s="336"/>
    </row>
    <row r="36" spans="1:21" ht="15">
      <c r="A36" s="447" t="s">
        <v>662</v>
      </c>
      <c r="B36" s="437" t="s">
        <v>253</v>
      </c>
      <c r="C36" s="437" t="s">
        <v>226</v>
      </c>
      <c r="D36" s="441">
        <v>3910</v>
      </c>
      <c r="E36" s="455" t="s">
        <v>312</v>
      </c>
      <c r="F36" s="470">
        <f>'Sch. G 2021'!Q33</f>
        <v>-85135.100000000006</v>
      </c>
      <c r="G36" s="443">
        <v>34284.949999999997</v>
      </c>
      <c r="H36" s="470">
        <f t="shared" si="0"/>
        <v>-119420.05</v>
      </c>
      <c r="I36" s="926"/>
      <c r="J36" s="336"/>
      <c r="K36" s="336"/>
      <c r="L36" s="336"/>
      <c r="M36" s="336"/>
      <c r="N36" s="336"/>
      <c r="O36" s="336"/>
      <c r="P36" s="336"/>
      <c r="Q36" s="336"/>
      <c r="R36" s="336"/>
      <c r="S36" s="336"/>
      <c r="T36" s="336"/>
      <c r="U36" s="336"/>
    </row>
    <row r="37" spans="1:21" ht="15">
      <c r="A37" s="447" t="s">
        <v>662</v>
      </c>
      <c r="B37" s="437" t="s">
        <v>253</v>
      </c>
      <c r="C37" s="437" t="s">
        <v>226</v>
      </c>
      <c r="D37" s="441">
        <v>3912</v>
      </c>
      <c r="E37" s="455" t="s">
        <v>314</v>
      </c>
      <c r="F37" s="470">
        <f>'Sch. G 2021'!Q34</f>
        <v>14443.91</v>
      </c>
      <c r="G37" s="443">
        <v>-496137.85999999999</v>
      </c>
      <c r="H37" s="470">
        <f t="shared" si="0"/>
        <v>510581.76999999996</v>
      </c>
      <c r="I37" s="926"/>
      <c r="J37" s="336"/>
      <c r="K37" s="336"/>
      <c r="L37" s="336"/>
      <c r="M37" s="336"/>
      <c r="N37" s="336"/>
      <c r="O37" s="336"/>
      <c r="P37" s="336"/>
      <c r="Q37" s="336"/>
      <c r="R37" s="336"/>
      <c r="S37" s="336"/>
      <c r="T37" s="336"/>
      <c r="U37" s="336"/>
    </row>
    <row r="38" spans="1:21" ht="15">
      <c r="A38" s="447" t="s">
        <v>662</v>
      </c>
      <c r="B38" s="437" t="s">
        <v>253</v>
      </c>
      <c r="C38" s="437" t="s">
        <v>226</v>
      </c>
      <c r="D38" s="441">
        <v>3913</v>
      </c>
      <c r="E38" s="455" t="s">
        <v>318</v>
      </c>
      <c r="F38" s="470">
        <f>'Sch. G 2021'!Q35</f>
        <v>-10862.41</v>
      </c>
      <c r="G38" s="443">
        <v>614915.27000000002</v>
      </c>
      <c r="H38" s="470">
        <f t="shared" si="0"/>
        <v>-625777.68000000005</v>
      </c>
      <c r="I38" s="927"/>
      <c r="J38" s="336"/>
      <c r="K38" s="336"/>
      <c r="L38" s="336"/>
      <c r="M38" s="336"/>
      <c r="N38" s="336"/>
      <c r="O38" s="336"/>
      <c r="P38" s="336"/>
      <c r="Q38" s="336"/>
      <c r="R38" s="336"/>
      <c r="S38" s="336"/>
      <c r="T38" s="336"/>
      <c r="U38" s="336"/>
    </row>
    <row r="39" spans="1:21" ht="15">
      <c r="A39" s="447" t="s">
        <v>662</v>
      </c>
      <c r="B39" s="437" t="s">
        <v>253</v>
      </c>
      <c r="C39" s="437" t="s">
        <v>596</v>
      </c>
      <c r="D39" s="441">
        <v>3910</v>
      </c>
      <c r="E39" s="455" t="s">
        <v>644</v>
      </c>
      <c r="F39" s="470">
        <f>'Sch. G 2021'!M33</f>
        <v>-626441.12</v>
      </c>
      <c r="G39" s="443">
        <v>0</v>
      </c>
      <c r="H39" s="470">
        <f t="shared" si="0"/>
        <v>-626441.12</v>
      </c>
      <c r="I39" s="925" t="s">
        <v>647</v>
      </c>
      <c r="J39" s="336"/>
      <c r="K39" s="336"/>
      <c r="L39" s="336"/>
      <c r="M39" s="336"/>
      <c r="N39" s="336"/>
      <c r="O39" s="336"/>
      <c r="P39" s="336"/>
      <c r="Q39" s="336"/>
      <c r="R39" s="336"/>
      <c r="S39" s="336"/>
      <c r="T39" s="336"/>
      <c r="U39" s="336"/>
    </row>
    <row r="40" spans="1:21" ht="15">
      <c r="A40" s="447" t="s">
        <v>662</v>
      </c>
      <c r="B40" s="437" t="s">
        <v>253</v>
      </c>
      <c r="C40" s="437" t="s">
        <v>596</v>
      </c>
      <c r="D40" s="441">
        <v>3912</v>
      </c>
      <c r="E40" s="455" t="s">
        <v>645</v>
      </c>
      <c r="F40" s="470">
        <f>'Sch. G 2021'!M34</f>
        <v>586597.51000000001</v>
      </c>
      <c r="G40" s="443">
        <v>0</v>
      </c>
      <c r="H40" s="470">
        <f t="shared" si="0"/>
        <v>586597.51000000001</v>
      </c>
      <c r="I40" s="926"/>
      <c r="J40" s="336"/>
      <c r="K40" s="336"/>
      <c r="L40" s="336"/>
      <c r="M40" s="336"/>
      <c r="N40" s="336"/>
      <c r="O40" s="336"/>
      <c r="P40" s="336"/>
      <c r="Q40" s="336"/>
      <c r="R40" s="336"/>
      <c r="S40" s="336"/>
      <c r="T40" s="336"/>
      <c r="U40" s="336"/>
    </row>
    <row r="41" spans="1:21" ht="15">
      <c r="A41" s="447" t="s">
        <v>662</v>
      </c>
      <c r="B41" s="437" t="s">
        <v>253</v>
      </c>
      <c r="C41" s="437" t="s">
        <v>596</v>
      </c>
      <c r="D41" s="441">
        <v>3913</v>
      </c>
      <c r="E41" s="455" t="s">
        <v>646</v>
      </c>
      <c r="F41" s="470">
        <f>'Sch. G 2021'!M35</f>
        <v>39843.610000000008</v>
      </c>
      <c r="G41" s="443">
        <v>0</v>
      </c>
      <c r="H41" s="470">
        <f t="shared" si="0"/>
        <v>39843.610000000008</v>
      </c>
      <c r="I41" s="927"/>
      <c r="J41" s="336"/>
      <c r="K41" s="336"/>
      <c r="L41" s="336"/>
      <c r="M41" s="336"/>
      <c r="N41" s="336"/>
      <c r="O41" s="336"/>
      <c r="P41" s="336"/>
      <c r="Q41" s="336"/>
      <c r="R41" s="336"/>
      <c r="S41" s="336"/>
      <c r="T41" s="336"/>
      <c r="U41" s="336"/>
    </row>
    <row r="42" spans="1:21" ht="51.75">
      <c r="A42" s="447" t="s">
        <v>662</v>
      </c>
      <c r="B42" s="437" t="s">
        <v>253</v>
      </c>
      <c r="C42" s="437" t="s">
        <v>226</v>
      </c>
      <c r="D42" s="441">
        <v>3914</v>
      </c>
      <c r="E42" s="455" t="s">
        <v>319</v>
      </c>
      <c r="F42" s="470">
        <f>'Sch. G 2021'!Q36</f>
        <v>-3732</v>
      </c>
      <c r="G42" s="443">
        <v>-2541.95999999998</v>
      </c>
      <c r="H42" s="470">
        <f t="shared" si="0"/>
        <v>-1190.04000000002</v>
      </c>
      <c r="I42" s="448" t="s">
        <v>638</v>
      </c>
      <c r="J42" s="336"/>
      <c r="K42" s="336"/>
      <c r="L42" s="336"/>
      <c r="M42" s="336"/>
      <c r="N42" s="336"/>
      <c r="O42" s="336"/>
      <c r="P42" s="336"/>
      <c r="Q42" s="336"/>
      <c r="R42" s="336"/>
      <c r="S42" s="336"/>
      <c r="T42" s="336"/>
      <c r="U42" s="336"/>
    </row>
    <row r="43" spans="1:21" ht="14.45" customHeight="1">
      <c r="A43" s="447" t="s">
        <v>662</v>
      </c>
      <c r="B43" s="437" t="s">
        <v>253</v>
      </c>
      <c r="C43" s="437" t="s">
        <v>228</v>
      </c>
      <c r="D43" s="441">
        <v>3930</v>
      </c>
      <c r="E43" s="455" t="s">
        <v>642</v>
      </c>
      <c r="F43" s="470">
        <f>'Sch. G 2021'!L41</f>
        <v>922.94000000000005</v>
      </c>
      <c r="G43" s="471">
        <v>1105.9400000000001</v>
      </c>
      <c r="H43" s="470">
        <f t="shared" si="0"/>
        <v>-183</v>
      </c>
      <c r="I43" s="925" t="s">
        <v>629</v>
      </c>
      <c r="J43" s="336"/>
      <c r="K43" s="336"/>
      <c r="L43" s="336"/>
      <c r="M43" s="336"/>
      <c r="N43" s="336"/>
      <c r="O43" s="336"/>
      <c r="P43" s="336"/>
      <c r="Q43" s="336"/>
      <c r="R43" s="336"/>
      <c r="S43" s="336"/>
      <c r="T43" s="336"/>
      <c r="U43" s="336"/>
    </row>
    <row r="44" spans="1:21" ht="15">
      <c r="A44" s="447" t="s">
        <v>662</v>
      </c>
      <c r="B44" s="437" t="s">
        <v>253</v>
      </c>
      <c r="C44" s="437" t="s">
        <v>226</v>
      </c>
      <c r="D44" s="441">
        <v>3930</v>
      </c>
      <c r="E44" s="455" t="s">
        <v>643</v>
      </c>
      <c r="F44" s="470">
        <f>'Sch. G 2021'!Q41</f>
        <v>0</v>
      </c>
      <c r="G44" s="471">
        <v>-183</v>
      </c>
      <c r="H44" s="470">
        <f t="shared" si="0"/>
        <v>183</v>
      </c>
      <c r="I44" s="926"/>
      <c r="J44" s="336"/>
      <c r="K44" s="336"/>
      <c r="L44" s="336"/>
      <c r="M44" s="336"/>
      <c r="N44" s="336"/>
      <c r="O44" s="336"/>
      <c r="P44" s="336"/>
      <c r="Q44" s="336"/>
      <c r="R44" s="336"/>
      <c r="S44" s="336"/>
      <c r="T44" s="336"/>
      <c r="U44" s="336"/>
    </row>
    <row r="45" spans="1:21" ht="14.45" customHeight="1">
      <c r="A45" s="447" t="s">
        <v>662</v>
      </c>
      <c r="B45" s="437" t="s">
        <v>253</v>
      </c>
      <c r="C45" s="437" t="s">
        <v>228</v>
      </c>
      <c r="D45" s="441">
        <v>3940</v>
      </c>
      <c r="E45" s="455" t="s">
        <v>320</v>
      </c>
      <c r="F45" s="470">
        <f>'Sch. G 2021'!L42</f>
        <v>75635.610000000001</v>
      </c>
      <c r="G45" s="471">
        <v>62039.57</v>
      </c>
      <c r="H45" s="470">
        <f t="shared" si="0"/>
        <v>13596.040000000001</v>
      </c>
      <c r="I45" s="926"/>
      <c r="J45" s="336"/>
      <c r="K45" s="336"/>
      <c r="L45" s="336"/>
      <c r="M45" s="336"/>
      <c r="N45" s="336"/>
      <c r="O45" s="336"/>
      <c r="P45" s="336"/>
      <c r="Q45" s="336"/>
      <c r="R45" s="336"/>
      <c r="S45" s="336"/>
      <c r="T45" s="336"/>
      <c r="U45" s="336"/>
    </row>
    <row r="46" spans="1:21" ht="15">
      <c r="A46" s="447" t="s">
        <v>662</v>
      </c>
      <c r="B46" s="437" t="s">
        <v>253</v>
      </c>
      <c r="C46" s="437" t="s">
        <v>226</v>
      </c>
      <c r="D46" s="441">
        <v>3940</v>
      </c>
      <c r="E46" s="455" t="s">
        <v>321</v>
      </c>
      <c r="F46" s="470">
        <f>'Sch. G 2021'!Q42</f>
        <v>0</v>
      </c>
      <c r="G46" s="471">
        <v>13595.040000000001</v>
      </c>
      <c r="H46" s="470">
        <f t="shared" si="0"/>
        <v>-13595.040000000001</v>
      </c>
      <c r="I46" s="926"/>
      <c r="J46" s="336"/>
      <c r="K46" s="336"/>
      <c r="L46" s="336"/>
      <c r="M46" s="336"/>
      <c r="N46" s="336"/>
      <c r="O46" s="336"/>
      <c r="P46" s="336"/>
      <c r="Q46" s="336"/>
      <c r="R46" s="336"/>
      <c r="S46" s="336"/>
      <c r="T46" s="336"/>
      <c r="U46" s="336"/>
    </row>
    <row r="47" spans="1:21" ht="14.45" customHeight="1">
      <c r="A47" s="447" t="s">
        <v>662</v>
      </c>
      <c r="B47" s="437" t="s">
        <v>253</v>
      </c>
      <c r="C47" s="437" t="s">
        <v>228</v>
      </c>
      <c r="D47" s="441">
        <v>3970</v>
      </c>
      <c r="E47" s="455" t="s">
        <v>261</v>
      </c>
      <c r="F47" s="470">
        <f>'Sch. G 2021'!L45</f>
        <v>203407.04999999999</v>
      </c>
      <c r="G47" s="471">
        <f>208357.17-1419</f>
        <v>206938.17000000001</v>
      </c>
      <c r="H47" s="470">
        <f t="shared" si="0"/>
        <v>-3531.1200000000244</v>
      </c>
      <c r="I47" s="926"/>
      <c r="J47" s="336"/>
      <c r="K47" s="336"/>
      <c r="L47" s="336"/>
      <c r="M47" s="336"/>
      <c r="N47" s="336"/>
      <c r="O47" s="336"/>
      <c r="P47" s="336"/>
      <c r="Q47" s="336"/>
      <c r="R47" s="336"/>
      <c r="S47" s="336"/>
      <c r="T47" s="336"/>
      <c r="U47" s="336"/>
    </row>
    <row r="48" spans="1:21" ht="15">
      <c r="A48" s="447" t="s">
        <v>662</v>
      </c>
      <c r="B48" s="437" t="s">
        <v>253</v>
      </c>
      <c r="C48" s="437" t="s">
        <v>226</v>
      </c>
      <c r="D48" s="441">
        <v>3970</v>
      </c>
      <c r="E48" s="455" t="s">
        <v>322</v>
      </c>
      <c r="F48" s="470">
        <f>'Sch. G 2021'!Q45</f>
        <v>3226.5599999999999</v>
      </c>
      <c r="G48" s="471">
        <v>-304.56000000000103</v>
      </c>
      <c r="H48" s="470">
        <f t="shared" si="0"/>
        <v>3531.1200000000008</v>
      </c>
      <c r="I48" s="926"/>
      <c r="J48" s="336"/>
      <c r="K48" s="336"/>
      <c r="L48" s="336"/>
      <c r="M48" s="336"/>
      <c r="N48" s="336"/>
      <c r="O48" s="336"/>
      <c r="P48" s="336"/>
      <c r="Q48" s="336"/>
      <c r="R48" s="336"/>
      <c r="S48" s="336"/>
      <c r="T48" s="336"/>
      <c r="U48" s="336"/>
    </row>
    <row r="49" spans="1:21" ht="14.45" customHeight="1">
      <c r="A49" s="447" t="s">
        <v>662</v>
      </c>
      <c r="B49" s="437" t="s">
        <v>253</v>
      </c>
      <c r="C49" s="437" t="s">
        <v>228</v>
      </c>
      <c r="D49" s="441">
        <v>3980</v>
      </c>
      <c r="E49" s="455" t="s">
        <v>270</v>
      </c>
      <c r="F49" s="470">
        <f>'Sch. G 2021'!L46</f>
        <v>30282.48</v>
      </c>
      <c r="G49" s="471">
        <v>21888.599999999999</v>
      </c>
      <c r="H49" s="470">
        <f t="shared" si="0"/>
        <v>8393.880000000001</v>
      </c>
      <c r="I49" s="926"/>
      <c r="J49" s="336"/>
      <c r="K49" s="336"/>
      <c r="L49" s="336"/>
      <c r="M49" s="336"/>
      <c r="N49" s="336"/>
      <c r="O49" s="336"/>
      <c r="P49" s="336"/>
      <c r="Q49" s="336"/>
      <c r="R49" s="336"/>
      <c r="S49" s="336"/>
      <c r="T49" s="336"/>
      <c r="U49" s="336"/>
    </row>
    <row r="50" spans="1:21" ht="15.75" thickBot="1">
      <c r="A50" s="449" t="s">
        <v>662</v>
      </c>
      <c r="B50" s="450" t="s">
        <v>253</v>
      </c>
      <c r="C50" s="450" t="s">
        <v>226</v>
      </c>
      <c r="D50" s="472">
        <v>3980</v>
      </c>
      <c r="E50" s="468" t="s">
        <v>271</v>
      </c>
      <c r="F50" s="452">
        <f>'Sch. G 2021'!Q46</f>
        <v>1133.74</v>
      </c>
      <c r="G50" s="473">
        <v>9527.6200000000008</v>
      </c>
      <c r="H50" s="470">
        <f t="shared" si="0"/>
        <v>-8393.880000000001</v>
      </c>
      <c r="I50" s="953"/>
      <c r="J50" s="336"/>
      <c r="K50" s="336"/>
      <c r="L50" s="336"/>
      <c r="M50" s="336"/>
      <c r="N50" s="336"/>
      <c r="O50" s="336"/>
      <c r="P50" s="336"/>
      <c r="Q50" s="336"/>
      <c r="R50" s="336"/>
      <c r="S50" s="336"/>
      <c r="T50" s="336"/>
      <c r="U50" s="336"/>
    </row>
    <row r="51" spans="1:21" ht="15.75" thickBot="1">
      <c r="A51" s="337"/>
      <c r="B51" s="338"/>
      <c r="C51" s="341"/>
      <c r="D51" s="338"/>
      <c r="E51" s="434"/>
      <c r="F51" s="341"/>
      <c r="G51" s="350"/>
      <c r="H51" s="339"/>
      <c r="I51" s="340"/>
      <c r="J51" s="336"/>
      <c r="K51" s="336"/>
      <c r="L51" s="336"/>
      <c r="M51" s="336"/>
      <c r="N51" s="336"/>
      <c r="O51" s="336"/>
      <c r="P51" s="336"/>
      <c r="Q51" s="336"/>
      <c r="R51" s="336"/>
      <c r="S51" s="336"/>
      <c r="T51" s="336"/>
      <c r="U51" s="336"/>
    </row>
  </sheetData>
  <mergeCells count="13">
    <mergeCell ref="A1:I1"/>
    <mergeCell ref="I43:I50"/>
    <mergeCell ref="I39:I41"/>
    <mergeCell ref="I16:I19"/>
    <mergeCell ref="I24:I27"/>
    <mergeCell ref="A2:I2"/>
    <mergeCell ref="A3:I3"/>
    <mergeCell ref="A4:I4"/>
    <mergeCell ref="I33:I38"/>
    <mergeCell ref="I7:I13"/>
    <mergeCell ref="I28:I29"/>
    <mergeCell ref="I20:I23"/>
    <mergeCell ref="I31:I32"/>
  </mergeCells>
  <printOptions horizontalCentered="1"/>
  <pageMargins left="0.5" right="0.5" top="1.25" bottom="0.5" header="0.5" footer="0.2"/>
  <pageSetup fitToHeight="0" orientation="portrait" scale="74"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S61"/>
  <sheetViews>
    <sheetView workbookViewId="0" topLeftCell="C42">
      <selection pane="topLeft" activeCell="N58" sqref="N58"/>
    </sheetView>
  </sheetViews>
  <sheetFormatPr defaultRowHeight="15"/>
  <cols>
    <col min="2" max="2" width="13" bestFit="1" customWidth="1"/>
    <col min="3" max="3" width="11.7142857142857" bestFit="1" customWidth="1"/>
    <col min="4" max="4" width="11.8571428571429" bestFit="1" customWidth="1"/>
    <col min="5" max="5" width="10.8571428571429" customWidth="1"/>
    <col min="6" max="6" width="11.5714285714286" bestFit="1" customWidth="1"/>
    <col min="7" max="7" width="10.8571428571429" customWidth="1"/>
    <col min="8" max="8" width="13" bestFit="1" customWidth="1"/>
    <col min="9" max="9" width="2.57142857142857" customWidth="1"/>
    <col min="11" max="11" width="13" bestFit="1" customWidth="1"/>
    <col min="12" max="12" width="12" bestFit="1" customWidth="1"/>
    <col min="13" max="13" width="10.8571428571429" customWidth="1"/>
    <col min="14" max="14" width="11.8571428571429" bestFit="1" customWidth="1"/>
    <col min="15" max="15" width="9.14285714285714" bestFit="1" customWidth="1"/>
    <col min="16" max="16" width="11.2857142857143" bestFit="1" customWidth="1"/>
    <col min="17" max="17" width="12" bestFit="1" customWidth="1"/>
    <col min="18" max="18" width="9.57142857142857" bestFit="1" customWidth="1"/>
    <col min="19" max="19" width="13" bestFit="1" customWidth="1"/>
  </cols>
  <sheetData>
    <row r="1" spans="1:19" s="645" customFormat="1" ht="18.75">
      <c r="A1" s="920" t="s">
        <v>56</v>
      </c>
      <c r="B1" s="920"/>
      <c r="C1" s="920"/>
      <c r="D1" s="920"/>
      <c r="E1" s="920"/>
      <c r="F1" s="920"/>
      <c r="G1" s="920"/>
      <c r="H1" s="920"/>
      <c r="I1" s="920"/>
      <c r="J1" s="920"/>
      <c r="K1" s="920"/>
      <c r="L1" s="920"/>
      <c r="M1" s="920"/>
      <c r="N1" s="920"/>
      <c r="O1" s="920"/>
      <c r="P1" s="920"/>
      <c r="Q1" s="920"/>
      <c r="R1" s="920"/>
      <c r="S1" s="920"/>
    </row>
    <row r="2" spans="1:19" s="543" customFormat="1" ht="15">
      <c r="A2" s="921" t="str">
        <f>Input!B3</f>
        <v>FPUC, FPUC - Common, FPUC - Indiantown, Florida Division of Chesapeake Utilities Corporation, FPUC - Ft Meade</v>
      </c>
      <c r="B2" s="921"/>
      <c r="C2" s="921"/>
      <c r="D2" s="921"/>
      <c r="E2" s="921"/>
      <c r="F2" s="921"/>
      <c r="G2" s="921"/>
      <c r="H2" s="921"/>
      <c r="I2" s="921"/>
      <c r="J2" s="921"/>
      <c r="K2" s="921"/>
      <c r="L2" s="921"/>
      <c r="M2" s="921"/>
      <c r="N2" s="921"/>
      <c r="O2" s="921"/>
      <c r="P2" s="921"/>
      <c r="Q2" s="921"/>
      <c r="R2" s="921"/>
      <c r="S2" s="921"/>
    </row>
    <row r="3" spans="1:19" s="544" customFormat="1" ht="15.75">
      <c r="A3" s="922" t="s">
        <v>216</v>
      </c>
      <c r="B3" s="922"/>
      <c r="C3" s="922"/>
      <c r="D3" s="922"/>
      <c r="E3" s="922"/>
      <c r="F3" s="922"/>
      <c r="G3" s="922"/>
      <c r="H3" s="922"/>
      <c r="I3" s="922"/>
      <c r="J3" s="922"/>
      <c r="K3" s="922"/>
      <c r="L3" s="922"/>
      <c r="M3" s="922"/>
      <c r="N3" s="922"/>
      <c r="O3" s="922"/>
      <c r="P3" s="922"/>
      <c r="Q3" s="922"/>
      <c r="R3" s="922"/>
      <c r="S3" s="922"/>
    </row>
    <row r="4" spans="1:19" s="544" customFormat="1" ht="15.75">
      <c r="A4" s="923">
        <v>2022</v>
      </c>
      <c r="B4" s="923"/>
      <c r="C4" s="923"/>
      <c r="D4" s="923"/>
      <c r="E4" s="923"/>
      <c r="F4" s="923"/>
      <c r="G4" s="923"/>
      <c r="H4" s="923"/>
      <c r="I4" s="923"/>
      <c r="J4" s="923"/>
      <c r="K4" s="923"/>
      <c r="L4" s="923"/>
      <c r="M4" s="923"/>
      <c r="N4" s="923"/>
      <c r="O4" s="923"/>
      <c r="P4" s="923"/>
      <c r="Q4" s="923"/>
      <c r="R4" s="923"/>
      <c r="S4" s="923"/>
    </row>
    <row r="5" ht="15.75" thickBot="1"/>
    <row r="6" spans="1:19" ht="15.75" thickTop="1">
      <c r="A6" s="917" t="s">
        <v>177</v>
      </c>
      <c r="B6" s="918"/>
      <c r="C6" s="918"/>
      <c r="D6" s="918"/>
      <c r="E6" s="918"/>
      <c r="F6" s="918"/>
      <c r="G6" s="918"/>
      <c r="H6" s="918"/>
      <c r="I6" s="209"/>
      <c r="J6" s="918" t="s">
        <v>217</v>
      </c>
      <c r="K6" s="918"/>
      <c r="L6" s="918"/>
      <c r="M6" s="918"/>
      <c r="N6" s="918"/>
      <c r="O6" s="918"/>
      <c r="P6" s="918"/>
      <c r="Q6" s="918"/>
      <c r="R6" s="918"/>
      <c r="S6" s="919"/>
    </row>
    <row r="7" spans="1:19" ht="15">
      <c r="A7" s="208" t="s">
        <v>178</v>
      </c>
      <c r="B7" s="545" t="s">
        <v>218</v>
      </c>
      <c r="C7" s="546"/>
      <c r="D7" s="546"/>
      <c r="E7" s="545" t="s">
        <v>219</v>
      </c>
      <c r="F7" s="545"/>
      <c r="G7" s="546"/>
      <c r="H7" s="545" t="s">
        <v>220</v>
      </c>
      <c r="I7" s="194"/>
      <c r="J7" s="547" t="s">
        <v>178</v>
      </c>
      <c r="K7" s="545" t="s">
        <v>218</v>
      </c>
      <c r="L7" s="546"/>
      <c r="M7" s="545" t="s">
        <v>219</v>
      </c>
      <c r="N7" s="546"/>
      <c r="O7" s="548" t="s">
        <v>221</v>
      </c>
      <c r="P7" s="545" t="s">
        <v>222</v>
      </c>
      <c r="Q7" s="545"/>
      <c r="R7" s="546"/>
      <c r="S7" s="203" t="s">
        <v>220</v>
      </c>
    </row>
    <row r="8" spans="1:19" ht="15">
      <c r="A8" s="202" t="s">
        <v>181</v>
      </c>
      <c r="B8" s="199" t="s">
        <v>223</v>
      </c>
      <c r="C8" s="199" t="s">
        <v>224</v>
      </c>
      <c r="D8" s="199" t="s">
        <v>194</v>
      </c>
      <c r="E8" s="199" t="s">
        <v>225</v>
      </c>
      <c r="F8" s="199" t="s">
        <v>226</v>
      </c>
      <c r="G8" s="199" t="s">
        <v>227</v>
      </c>
      <c r="H8" s="199" t="s">
        <v>223</v>
      </c>
      <c r="I8" s="201"/>
      <c r="J8" s="200" t="s">
        <v>181</v>
      </c>
      <c r="K8" s="199" t="s">
        <v>223</v>
      </c>
      <c r="L8" s="711" t="s">
        <v>228</v>
      </c>
      <c r="M8" s="199" t="s">
        <v>225</v>
      </c>
      <c r="N8" s="199" t="s">
        <v>194</v>
      </c>
      <c r="O8" s="199" t="s">
        <v>229</v>
      </c>
      <c r="P8" s="199" t="s">
        <v>230</v>
      </c>
      <c r="Q8" s="199" t="s">
        <v>226</v>
      </c>
      <c r="R8" s="199" t="s">
        <v>227</v>
      </c>
      <c r="S8" s="198" t="s">
        <v>223</v>
      </c>
    </row>
    <row r="9" spans="1:19" ht="15">
      <c r="A9" s="730">
        <v>3010</v>
      </c>
      <c r="B9" s="553">
        <f>'Sch. G 2021'!H9</f>
        <v>23328</v>
      </c>
      <c r="C9" s="553">
        <f>'Sch. H'!N9</f>
        <v>0</v>
      </c>
      <c r="D9" s="553">
        <f>-'Sch. F 2022 p2'!N9</f>
        <v>0</v>
      </c>
      <c r="E9" s="553">
        <v>0</v>
      </c>
      <c r="F9" s="553">
        <v>0</v>
      </c>
      <c r="G9" s="553">
        <v>0</v>
      </c>
      <c r="H9" s="554">
        <f t="shared" si="0" ref="H9:H47">ROUND(SUM(B9:G9),0)</f>
        <v>23328</v>
      </c>
      <c r="I9" s="555"/>
      <c r="J9" s="557">
        <v>3010</v>
      </c>
      <c r="K9" s="553">
        <f>'Sch. G 2021'!S9</f>
        <v>23328</v>
      </c>
      <c r="L9" s="553">
        <f>'Sch. J'!P9</f>
        <v>0</v>
      </c>
      <c r="M9" s="553">
        <v>0</v>
      </c>
      <c r="N9" s="553">
        <f>D9</f>
        <v>0</v>
      </c>
      <c r="O9" s="553">
        <v>0</v>
      </c>
      <c r="P9" s="553">
        <v>0</v>
      </c>
      <c r="Q9" s="553">
        <f>'Sch. N'!AC6</f>
        <v>0</v>
      </c>
      <c r="R9" s="553">
        <v>0</v>
      </c>
      <c r="S9" s="674">
        <f t="shared" si="1" ref="S9:S47">ROUND(SUM(K9:R9),0)</f>
        <v>23328</v>
      </c>
    </row>
    <row r="10" spans="1:19" ht="15">
      <c r="A10" s="730" t="s">
        <v>195</v>
      </c>
      <c r="B10" s="553">
        <f>'Sch. G 2021'!H10</f>
        <v>14132</v>
      </c>
      <c r="C10" s="553">
        <f>'Sch. H'!N10</f>
        <v>0</v>
      </c>
      <c r="D10" s="553">
        <f>-'Sch. F 2022 p2'!N10</f>
        <v>0</v>
      </c>
      <c r="E10" s="553">
        <v>0</v>
      </c>
      <c r="F10" s="553">
        <v>0</v>
      </c>
      <c r="G10" s="553">
        <v>0</v>
      </c>
      <c r="H10" s="554">
        <f t="shared" si="0"/>
        <v>14132</v>
      </c>
      <c r="I10" s="555"/>
      <c r="J10" s="557" t="s">
        <v>195</v>
      </c>
      <c r="K10" s="553">
        <f>'Sch. G 2021'!S10</f>
        <v>14133</v>
      </c>
      <c r="L10" s="553">
        <f>'Sch. J'!P10</f>
        <v>0</v>
      </c>
      <c r="M10" s="553">
        <v>0</v>
      </c>
      <c r="N10" s="553">
        <f t="shared" si="2" ref="N10:N47">D10</f>
        <v>0</v>
      </c>
      <c r="O10" s="553">
        <v>0</v>
      </c>
      <c r="P10" s="553">
        <v>0</v>
      </c>
      <c r="Q10" s="553">
        <f>'Sch. N'!AC7</f>
        <v>0</v>
      </c>
      <c r="R10" s="553">
        <v>0</v>
      </c>
      <c r="S10" s="674">
        <f t="shared" si="1"/>
        <v>14133</v>
      </c>
    </row>
    <row r="11" spans="1:19" ht="15">
      <c r="A11" s="730" t="s">
        <v>196</v>
      </c>
      <c r="B11" s="553">
        <f>'Sch. G 2021'!H11</f>
        <v>213641</v>
      </c>
      <c r="C11" s="553">
        <f>'Sch. H'!N11</f>
        <v>0</v>
      </c>
      <c r="D11" s="553">
        <f>-'Sch. F 2022 p2'!N11</f>
        <v>0</v>
      </c>
      <c r="E11" s="553">
        <v>0</v>
      </c>
      <c r="F11" s="553">
        <v>0</v>
      </c>
      <c r="G11" s="553">
        <v>0</v>
      </c>
      <c r="H11" s="554">
        <f t="shared" si="0"/>
        <v>213641</v>
      </c>
      <c r="I11" s="555"/>
      <c r="J11" s="557" t="s">
        <v>196</v>
      </c>
      <c r="K11" s="553">
        <f>'Sch. G 2021'!S11</f>
        <v>127642</v>
      </c>
      <c r="L11" s="553">
        <f>'Sch. J'!P11</f>
        <v>0</v>
      </c>
      <c r="M11" s="553">
        <v>0</v>
      </c>
      <c r="N11" s="553">
        <f t="shared" si="2"/>
        <v>0</v>
      </c>
      <c r="O11" s="553">
        <v>0</v>
      </c>
      <c r="P11" s="553">
        <v>0</v>
      </c>
      <c r="Q11" s="553">
        <f>'Sch. N'!AC8</f>
        <v>0</v>
      </c>
      <c r="R11" s="553">
        <v>0</v>
      </c>
      <c r="S11" s="674">
        <f t="shared" si="1"/>
        <v>127642</v>
      </c>
    </row>
    <row r="12" spans="1:19" ht="15">
      <c r="A12" s="730" t="s">
        <v>197</v>
      </c>
      <c r="B12" s="553">
        <f>'Sch. G 2021'!H12</f>
        <v>376799</v>
      </c>
      <c r="C12" s="553">
        <f>'Sch. H'!N12</f>
        <v>0</v>
      </c>
      <c r="D12" s="553">
        <f>-'Sch. F 2022 p2'!N12</f>
        <v>0</v>
      </c>
      <c r="E12" s="553">
        <v>0</v>
      </c>
      <c r="F12" s="553">
        <v>0</v>
      </c>
      <c r="G12" s="553">
        <v>0</v>
      </c>
      <c r="H12" s="554">
        <f t="shared" si="0"/>
        <v>376799</v>
      </c>
      <c r="I12" s="555"/>
      <c r="J12" s="557" t="s">
        <v>197</v>
      </c>
      <c r="K12" s="553">
        <f>'Sch. G 2021'!S12</f>
        <v>1786</v>
      </c>
      <c r="L12" s="553">
        <f>'Sch. J'!P12</f>
        <v>0</v>
      </c>
      <c r="M12" s="553">
        <v>0</v>
      </c>
      <c r="N12" s="553">
        <v>0</v>
      </c>
      <c r="O12" s="553">
        <v>0</v>
      </c>
      <c r="P12" s="553">
        <v>0</v>
      </c>
      <c r="Q12" s="553">
        <f>'Sch. N'!AC9</f>
        <v>0</v>
      </c>
      <c r="R12" s="553">
        <v>0</v>
      </c>
      <c r="S12" s="674">
        <f t="shared" si="1"/>
        <v>1786</v>
      </c>
    </row>
    <row r="13" spans="1:19" ht="15">
      <c r="A13" s="730">
        <v>3741</v>
      </c>
      <c r="B13" s="553">
        <f>'Sch. G 2021'!H13</f>
        <v>33410</v>
      </c>
      <c r="C13" s="553">
        <f>'Sch. H'!N13</f>
        <v>0</v>
      </c>
      <c r="D13" s="553">
        <f>-'Sch. F 2022 p2'!N13</f>
        <v>0</v>
      </c>
      <c r="E13" s="553">
        <v>0</v>
      </c>
      <c r="F13" s="553">
        <f>SUM('Sch. M'!I14:N14)</f>
        <v>0</v>
      </c>
      <c r="G13" s="553">
        <v>0</v>
      </c>
      <c r="H13" s="554">
        <f t="shared" si="0"/>
        <v>33410</v>
      </c>
      <c r="I13" s="555"/>
      <c r="J13" s="557">
        <v>3741</v>
      </c>
      <c r="K13" s="553">
        <f>'Sch. G 2021'!S13</f>
        <v>9747</v>
      </c>
      <c r="L13" s="553">
        <f>'Sch. J'!P13</f>
        <v>1836</v>
      </c>
      <c r="M13" s="553">
        <v>0</v>
      </c>
      <c r="N13" s="553">
        <f t="shared" si="2"/>
        <v>0</v>
      </c>
      <c r="O13" s="553">
        <v>0</v>
      </c>
      <c r="P13" s="553">
        <v>0</v>
      </c>
      <c r="Q13" s="553">
        <f>'Sch. N'!AC10</f>
        <v>0</v>
      </c>
      <c r="R13" s="553">
        <v>0</v>
      </c>
      <c r="S13" s="674">
        <f t="shared" si="1"/>
        <v>11583</v>
      </c>
    </row>
    <row r="14" spans="1:19" ht="15">
      <c r="A14" s="730" t="s">
        <v>198</v>
      </c>
      <c r="B14" s="553">
        <f>'Sch. G 2021'!H14</f>
        <v>1540583</v>
      </c>
      <c r="C14" s="553">
        <f>'Sch. H'!N14</f>
        <v>43374.970000000001</v>
      </c>
      <c r="D14" s="553">
        <f>-'Sch. F 2022 p2'!N14</f>
        <v>0</v>
      </c>
      <c r="E14" s="553">
        <v>0</v>
      </c>
      <c r="F14" s="553">
        <f>SUM('Sch. M'!I44:N44)</f>
        <v>-11239</v>
      </c>
      <c r="G14" s="553">
        <v>0</v>
      </c>
      <c r="H14" s="554">
        <f t="shared" si="0"/>
        <v>1572719</v>
      </c>
      <c r="I14" s="555"/>
      <c r="J14" s="557" t="s">
        <v>198</v>
      </c>
      <c r="K14" s="553">
        <f>'Sch. G 2021'!S14</f>
        <v>324521</v>
      </c>
      <c r="L14" s="553">
        <f>'Sch. J'!P14</f>
        <v>38979</v>
      </c>
      <c r="M14" s="553">
        <v>0</v>
      </c>
      <c r="N14" s="553">
        <f t="shared" si="2"/>
        <v>0</v>
      </c>
      <c r="O14" s="553">
        <v>0</v>
      </c>
      <c r="P14" s="553">
        <v>0</v>
      </c>
      <c r="Q14" s="553">
        <f>'Sch. N'!AC11</f>
        <v>-11543.389583333334</v>
      </c>
      <c r="R14" s="553">
        <v>0</v>
      </c>
      <c r="S14" s="674">
        <f t="shared" si="1"/>
        <v>351957</v>
      </c>
    </row>
    <row r="15" spans="1:19" ht="15">
      <c r="A15" s="730">
        <v>3761</v>
      </c>
      <c r="B15" s="553">
        <f>'Sch. G 2021'!H15</f>
        <v>115361926</v>
      </c>
      <c r="C15" s="553">
        <f>'Sch. H'!N15</f>
        <v>10690458.870000016</v>
      </c>
      <c r="D15" s="553">
        <f>-'Sch. F 2022 p2'!N15</f>
        <v>-1045654</v>
      </c>
      <c r="E15" s="553">
        <v>0</v>
      </c>
      <c r="F15" s="553">
        <f>SUM('Sch. M'!I100:N100)</f>
        <v>4080685.5600000005</v>
      </c>
      <c r="G15" s="553">
        <v>0</v>
      </c>
      <c r="H15" s="554">
        <f t="shared" si="0"/>
        <v>129087416</v>
      </c>
      <c r="I15" s="555"/>
      <c r="J15" s="557">
        <v>3761</v>
      </c>
      <c r="K15" s="553">
        <f>'Sch. G 2021'!S15</f>
        <v>30803201</v>
      </c>
      <c r="L15" s="553">
        <f>'Sch. J'!P15</f>
        <v>2514500</v>
      </c>
      <c r="M15" s="553">
        <v>0</v>
      </c>
      <c r="N15" s="553">
        <f t="shared" si="2"/>
        <v>-1045654</v>
      </c>
      <c r="O15" s="553">
        <v>0</v>
      </c>
      <c r="P15" s="553">
        <v>-269177</v>
      </c>
      <c r="Q15" s="553">
        <f>'Sch. N'!AC12</f>
        <v>6192.6099999999997</v>
      </c>
      <c r="R15" s="553">
        <v>0</v>
      </c>
      <c r="S15" s="674">
        <f t="shared" si="1"/>
        <v>32009063</v>
      </c>
    </row>
    <row r="16" spans="1:19" ht="15">
      <c r="A16" s="730">
        <v>3762</v>
      </c>
      <c r="B16" s="553">
        <f>'Sch. G 2021'!H16</f>
        <v>62159262</v>
      </c>
      <c r="C16" s="553">
        <f>'Sch. H'!N16</f>
        <v>232132.22</v>
      </c>
      <c r="D16" s="553">
        <f>-'Sch. F 2022 p2'!N16</f>
        <v>-566209</v>
      </c>
      <c r="E16" s="553">
        <v>0</v>
      </c>
      <c r="F16" s="553">
        <f>SUM('Sch. M'!I185:N185)</f>
        <v>-14321.66</v>
      </c>
      <c r="G16" s="553">
        <v>0</v>
      </c>
      <c r="H16" s="554">
        <f t="shared" si="0"/>
        <v>61810864</v>
      </c>
      <c r="I16" s="555"/>
      <c r="J16" s="557">
        <v>3762</v>
      </c>
      <c r="K16" s="553">
        <f>'Sch. G 2021'!S16</f>
        <v>30101681</v>
      </c>
      <c r="L16" s="553">
        <f>'Sch. J'!P16</f>
        <v>1361782</v>
      </c>
      <c r="M16" s="553">
        <v>0</v>
      </c>
      <c r="N16" s="553">
        <f t="shared" si="2"/>
        <v>-566209</v>
      </c>
      <c r="O16" s="553">
        <v>0</v>
      </c>
      <c r="P16" s="553">
        <v>-223384</v>
      </c>
      <c r="Q16" s="553">
        <f>'Sch. N'!AC13</f>
        <v>-511375.50999999995</v>
      </c>
      <c r="R16" s="553">
        <v>0</v>
      </c>
      <c r="S16" s="674">
        <f t="shared" si="1"/>
        <v>30162494</v>
      </c>
    </row>
    <row r="17" spans="1:19" ht="15">
      <c r="A17" s="730" t="s">
        <v>87</v>
      </c>
      <c r="B17" s="553">
        <f>'Sch. G 2021'!H17</f>
        <v>141518776</v>
      </c>
      <c r="C17" s="553">
        <f>'Sch. H'!N17</f>
        <v>5373897</v>
      </c>
      <c r="D17" s="553">
        <f>-'Sch. F 2022 p2'!N17</f>
        <v>0</v>
      </c>
      <c r="E17" s="553">
        <v>0</v>
      </c>
      <c r="F17" s="553">
        <f>SUM('Sch. M'!I200:N200)</f>
        <v>13355.5</v>
      </c>
      <c r="G17" s="553">
        <v>0</v>
      </c>
      <c r="H17" s="554">
        <f t="shared" si="0"/>
        <v>146906029</v>
      </c>
      <c r="I17" s="555"/>
      <c r="J17" s="557" t="s">
        <v>87</v>
      </c>
      <c r="K17" s="553">
        <f>'Sch. G 2021'!S17</f>
        <v>14180435</v>
      </c>
      <c r="L17" s="553">
        <f>'Sch. J'!P17</f>
        <v>3055160</v>
      </c>
      <c r="M17" s="553">
        <v>0</v>
      </c>
      <c r="N17" s="553">
        <f t="shared" si="2"/>
        <v>0</v>
      </c>
      <c r="O17" s="553">
        <v>0</v>
      </c>
      <c r="P17" s="553">
        <v>0</v>
      </c>
      <c r="Q17" s="553">
        <f>'Sch. N'!AC14</f>
        <v>497992.15999999997</v>
      </c>
      <c r="R17" s="553">
        <v>0</v>
      </c>
      <c r="S17" s="674">
        <f t="shared" si="1"/>
        <v>17733587</v>
      </c>
    </row>
    <row r="18" spans="1:19" ht="15">
      <c r="A18" s="730" t="s">
        <v>199</v>
      </c>
      <c r="B18" s="553">
        <f>'Sch. G 2021'!H18</f>
        <v>4843208</v>
      </c>
      <c r="C18" s="553">
        <f>'Sch. H'!N18</f>
        <v>2081900</v>
      </c>
      <c r="D18" s="553">
        <f>-'Sch. F 2022 p2'!N18</f>
        <v>0</v>
      </c>
      <c r="E18" s="553">
        <v>0</v>
      </c>
      <c r="F18" s="553">
        <f>SUM('Sch. M'!I253:N253)</f>
        <v>-34254.760000000002</v>
      </c>
      <c r="G18" s="553">
        <v>0</v>
      </c>
      <c r="H18" s="554">
        <f t="shared" si="0"/>
        <v>6890853</v>
      </c>
      <c r="I18" s="555"/>
      <c r="J18" s="557" t="s">
        <v>199</v>
      </c>
      <c r="K18" s="553">
        <f>'Sch. G 2021'!S18</f>
        <v>1542125</v>
      </c>
      <c r="L18" s="553">
        <f>'Sch. J'!P18</f>
        <v>180474</v>
      </c>
      <c r="M18" s="553">
        <v>0</v>
      </c>
      <c r="N18" s="553">
        <f t="shared" si="2"/>
        <v>0</v>
      </c>
      <c r="O18" s="553">
        <v>0</v>
      </c>
      <c r="P18" s="553">
        <v>0</v>
      </c>
      <c r="Q18" s="553">
        <f>'Sch. N'!AC15</f>
        <v>-20077.289999999997</v>
      </c>
      <c r="R18" s="553">
        <v>0</v>
      </c>
      <c r="S18" s="674">
        <f t="shared" si="1"/>
        <v>1702522</v>
      </c>
    </row>
    <row r="19" spans="1:19" ht="15">
      <c r="A19" s="730" t="s">
        <v>200</v>
      </c>
      <c r="B19" s="553">
        <f>'Sch. G 2021'!H19</f>
        <v>14032716</v>
      </c>
      <c r="C19" s="553">
        <f>'Sch. H'!N19</f>
        <v>665937.80000000005</v>
      </c>
      <c r="D19" s="553">
        <f>-'Sch. F 2022 p2'!N19</f>
        <v>0</v>
      </c>
      <c r="E19" s="553">
        <v>0</v>
      </c>
      <c r="F19" s="553">
        <f>SUM('Sch. M'!I303:N303)</f>
        <v>-94654.639999999999</v>
      </c>
      <c r="G19" s="553">
        <v>0</v>
      </c>
      <c r="H19" s="554">
        <f t="shared" si="0"/>
        <v>14603999</v>
      </c>
      <c r="I19" s="555"/>
      <c r="J19" s="557" t="s">
        <v>200</v>
      </c>
      <c r="K19" s="553">
        <f>'Sch. G 2021'!S19</f>
        <v>5470069</v>
      </c>
      <c r="L19" s="553">
        <f>'Sch. J'!P19</f>
        <v>433476</v>
      </c>
      <c r="M19" s="553">
        <v>0</v>
      </c>
      <c r="N19" s="553">
        <f t="shared" si="2"/>
        <v>0</v>
      </c>
      <c r="O19" s="553">
        <v>0</v>
      </c>
      <c r="P19" s="553">
        <v>0</v>
      </c>
      <c r="Q19" s="553">
        <f>'Sch. N'!AC16</f>
        <v>-114267.81</v>
      </c>
      <c r="R19" s="553">
        <v>0</v>
      </c>
      <c r="S19" s="674">
        <f t="shared" si="1"/>
        <v>5789277</v>
      </c>
    </row>
    <row r="20" spans="1:19" ht="15">
      <c r="A20" s="730">
        <v>3801</v>
      </c>
      <c r="B20" s="553">
        <f>'Sch. G 2021'!H20</f>
        <v>66653051</v>
      </c>
      <c r="C20" s="553">
        <f>'Sch. H'!N20</f>
        <v>3523883.4746484249</v>
      </c>
      <c r="D20" s="553">
        <f>-'Sch. F 2022 p2'!N20</f>
        <v>-385350</v>
      </c>
      <c r="E20" s="553">
        <v>0</v>
      </c>
      <c r="F20" s="553">
        <f>SUM('Sch. M'!I357:N357)</f>
        <v>-4779.6000000000004</v>
      </c>
      <c r="G20" s="553">
        <v>0</v>
      </c>
      <c r="H20" s="554">
        <f t="shared" si="0"/>
        <v>69786805</v>
      </c>
      <c r="I20" s="555"/>
      <c r="J20" s="557">
        <v>3801</v>
      </c>
      <c r="K20" s="553">
        <f>'Sch. G 2021'!S20</f>
        <v>14713629</v>
      </c>
      <c r="L20" s="553">
        <f>'Sch. J'!P20</f>
        <v>1490480</v>
      </c>
      <c r="M20" s="553">
        <v>0</v>
      </c>
      <c r="N20" s="553">
        <f t="shared" si="2"/>
        <v>-385350</v>
      </c>
      <c r="O20" s="553">
        <v>0</v>
      </c>
      <c r="P20" s="553">
        <v>-256017</v>
      </c>
      <c r="Q20" s="553">
        <f>'Sch. N'!AC17</f>
        <v>-4885.5</v>
      </c>
      <c r="R20" s="553">
        <v>0</v>
      </c>
      <c r="S20" s="674">
        <f t="shared" si="1"/>
        <v>15557857</v>
      </c>
    </row>
    <row r="21" spans="1:19" ht="15">
      <c r="A21" s="730">
        <v>3802</v>
      </c>
      <c r="B21" s="553">
        <f>'Sch. G 2021'!H21</f>
        <v>1738352</v>
      </c>
      <c r="C21" s="553">
        <f>'Sch. H'!N21</f>
        <v>34604.5</v>
      </c>
      <c r="D21" s="553">
        <f>-'Sch. F 2022 p2'!N21</f>
        <v>-445488</v>
      </c>
      <c r="E21" s="553">
        <v>0</v>
      </c>
      <c r="F21" s="553">
        <f>SUM('Sch. M'!I443:N443)</f>
        <v>3.4106051316484809E-12</v>
      </c>
      <c r="G21" s="553">
        <v>0</v>
      </c>
      <c r="H21" s="554">
        <f t="shared" si="0"/>
        <v>1327469</v>
      </c>
      <c r="I21" s="555"/>
      <c r="J21" s="557">
        <v>3802</v>
      </c>
      <c r="K21" s="553">
        <f>'Sch. G 2021'!S21</f>
        <v>2295605</v>
      </c>
      <c r="L21" s="553">
        <f>'Sch. J'!P21</f>
        <v>137822</v>
      </c>
      <c r="M21" s="553">
        <v>0</v>
      </c>
      <c r="N21" s="553">
        <f t="shared" si="2"/>
        <v>-445488</v>
      </c>
      <c r="O21" s="553">
        <v>0</v>
      </c>
      <c r="P21" s="553">
        <v>-295969</v>
      </c>
      <c r="Q21" s="553">
        <f>'Sch. N'!AC18</f>
        <v>-272620.81999999995</v>
      </c>
      <c r="R21" s="553">
        <v>0</v>
      </c>
      <c r="S21" s="674">
        <f t="shared" si="1"/>
        <v>1419349</v>
      </c>
    </row>
    <row r="22" spans="1:19" ht="15">
      <c r="A22" s="730" t="s">
        <v>95</v>
      </c>
      <c r="B22" s="553">
        <f>'Sch. G 2021'!H22</f>
        <v>44883146</v>
      </c>
      <c r="C22" s="553">
        <f>'Sch. H'!N22</f>
        <v>4110685</v>
      </c>
      <c r="D22" s="553">
        <f>-'Sch. F 2022 p2'!N22</f>
        <v>0</v>
      </c>
      <c r="E22" s="553">
        <v>0</v>
      </c>
      <c r="F22" s="553">
        <f>SUM('Sch. M'!I458:N458)</f>
        <v>0</v>
      </c>
      <c r="G22" s="553">
        <v>0</v>
      </c>
      <c r="H22" s="554">
        <f t="shared" si="0"/>
        <v>48993831</v>
      </c>
      <c r="I22" s="555"/>
      <c r="J22" s="557" t="s">
        <v>95</v>
      </c>
      <c r="K22" s="553">
        <f>'Sch. G 2021'!S22</f>
        <v>2139588</v>
      </c>
      <c r="L22" s="553">
        <f>'Sch. J'!P22</f>
        <v>1040595</v>
      </c>
      <c r="M22" s="553">
        <v>0</v>
      </c>
      <c r="N22" s="553">
        <f t="shared" si="2"/>
        <v>0</v>
      </c>
      <c r="O22" s="553">
        <v>0</v>
      </c>
      <c r="P22" s="553">
        <v>0</v>
      </c>
      <c r="Q22" s="553">
        <f>'Sch. N'!AC19</f>
        <v>272620.81999999995</v>
      </c>
      <c r="R22" s="553">
        <v>0</v>
      </c>
      <c r="S22" s="674">
        <f t="shared" si="1"/>
        <v>3452804</v>
      </c>
    </row>
    <row r="23" spans="1:19" ht="15">
      <c r="A23" s="730" t="s">
        <v>201</v>
      </c>
      <c r="B23" s="553">
        <f>'Sch. G 2021'!H23</f>
        <v>22386759</v>
      </c>
      <c r="C23" s="553">
        <f>'Sch. H'!N23</f>
        <v>975619.53859319724</v>
      </c>
      <c r="D23" s="553">
        <f>-'Sch. F 2022 p2'!N23</f>
        <v>-94320</v>
      </c>
      <c r="E23" s="553">
        <v>0</v>
      </c>
      <c r="F23" s="553">
        <f>SUM('Sch. M'!I515:N515)</f>
        <v>0</v>
      </c>
      <c r="G23" s="553">
        <v>0</v>
      </c>
      <c r="H23" s="554">
        <f t="shared" si="0"/>
        <v>23268059</v>
      </c>
      <c r="I23" s="555"/>
      <c r="J23" s="557" t="s">
        <v>201</v>
      </c>
      <c r="K23" s="553">
        <f>'Sch. G 2021'!S23</f>
        <v>6842720</v>
      </c>
      <c r="L23" s="553">
        <f>'Sch. J'!P23</f>
        <v>817036</v>
      </c>
      <c r="M23" s="553">
        <v>0</v>
      </c>
      <c r="N23" s="553">
        <f t="shared" si="2"/>
        <v>-94320</v>
      </c>
      <c r="O23" s="553">
        <v>0</v>
      </c>
      <c r="P23" s="553">
        <v>-37060</v>
      </c>
      <c r="Q23" s="553">
        <f>'Sch. N'!AC20</f>
        <v>-173656.32999999999</v>
      </c>
      <c r="R23" s="553">
        <v>0</v>
      </c>
      <c r="S23" s="674">
        <f t="shared" si="1"/>
        <v>7354720</v>
      </c>
    </row>
    <row r="24" spans="1:19" ht="15">
      <c r="A24" s="730">
        <v>3811</v>
      </c>
      <c r="B24" s="553">
        <f>'Sch. G 2021'!H24</f>
        <v>2236536</v>
      </c>
      <c r="C24" s="553">
        <f>'Sch. H'!N24</f>
        <v>66498</v>
      </c>
      <c r="D24" s="553">
        <f>-'Sch. F 2022 p2'!N24</f>
        <v>0</v>
      </c>
      <c r="E24" s="553">
        <v>0</v>
      </c>
      <c r="F24" s="553">
        <f>SUM('Sch. M'!I524:N524)</f>
        <v>0</v>
      </c>
      <c r="G24" s="553">
        <v>0</v>
      </c>
      <c r="H24" s="554">
        <f t="shared" si="0"/>
        <v>2303034</v>
      </c>
      <c r="I24" s="555"/>
      <c r="J24" s="557">
        <v>3811</v>
      </c>
      <c r="K24" s="553">
        <f>'Sch. G 2021'!S24</f>
        <v>1355967</v>
      </c>
      <c r="L24" s="553">
        <f>'Sch. J'!P24</f>
        <v>96765</v>
      </c>
      <c r="M24" s="553">
        <v>0</v>
      </c>
      <c r="N24" s="553">
        <f t="shared" si="2"/>
        <v>0</v>
      </c>
      <c r="O24" s="553">
        <v>0</v>
      </c>
      <c r="P24" s="553">
        <v>0</v>
      </c>
      <c r="Q24" s="553">
        <f>'Sch. N'!AC21</f>
        <v>0</v>
      </c>
      <c r="R24" s="553">
        <v>0</v>
      </c>
      <c r="S24" s="674">
        <f t="shared" si="1"/>
        <v>1452732</v>
      </c>
    </row>
    <row r="25" spans="1:19" ht="15">
      <c r="A25" s="730" t="s">
        <v>202</v>
      </c>
      <c r="B25" s="553">
        <f>'Sch. G 2021'!H25</f>
        <v>17991110</v>
      </c>
      <c r="C25" s="553">
        <f>'Sch. H'!N25</f>
        <v>248812.46749527595</v>
      </c>
      <c r="D25" s="553">
        <f>-'Sch. F 2022 p2'!N25</f>
        <v>0</v>
      </c>
      <c r="E25" s="553">
        <v>0</v>
      </c>
      <c r="F25" s="553">
        <f>SUM('Sch. M'!I602:N602)</f>
        <v>0</v>
      </c>
      <c r="G25" s="553">
        <v>0</v>
      </c>
      <c r="H25" s="554">
        <f t="shared" si="0"/>
        <v>18239922</v>
      </c>
      <c r="I25" s="555"/>
      <c r="J25" s="557" t="s">
        <v>202</v>
      </c>
      <c r="K25" s="553">
        <f>'Sch. G 2021'!S25</f>
        <v>4510962</v>
      </c>
      <c r="L25" s="553">
        <f>'Sch. J'!P25</f>
        <v>578670</v>
      </c>
      <c r="M25" s="553">
        <v>0</v>
      </c>
      <c r="N25" s="553">
        <f t="shared" si="2"/>
        <v>0</v>
      </c>
      <c r="O25" s="553">
        <v>0</v>
      </c>
      <c r="P25" s="553">
        <v>0</v>
      </c>
      <c r="Q25" s="553">
        <f>'Sch. N'!AC22</f>
        <v>169049.82999999999</v>
      </c>
      <c r="R25" s="553">
        <v>0</v>
      </c>
      <c r="S25" s="674">
        <f t="shared" si="1"/>
        <v>5258682</v>
      </c>
    </row>
    <row r="26" spans="1:19" ht="15">
      <c r="A26" s="730">
        <v>3821</v>
      </c>
      <c r="B26" s="553">
        <f>'Sch. G 2021'!H26</f>
        <v>593040</v>
      </c>
      <c r="C26" s="553">
        <f>'Sch. H'!N26</f>
        <v>0</v>
      </c>
      <c r="D26" s="553">
        <f>-'Sch. F 2022 p2'!N26</f>
        <v>0</v>
      </c>
      <c r="E26" s="553">
        <v>0</v>
      </c>
      <c r="F26" s="553">
        <f>SUM('Sch. M'!I608:N608)</f>
        <v>0</v>
      </c>
      <c r="G26" s="553">
        <v>0</v>
      </c>
      <c r="H26" s="554">
        <f t="shared" si="0"/>
        <v>593040</v>
      </c>
      <c r="I26" s="555"/>
      <c r="J26" s="557">
        <v>3821</v>
      </c>
      <c r="K26" s="553">
        <f>'Sch. G 2021'!S26</f>
        <v>268026</v>
      </c>
      <c r="L26" s="553">
        <f>'Sch. J'!P26</f>
        <v>15420</v>
      </c>
      <c r="M26" s="553">
        <v>0</v>
      </c>
      <c r="N26" s="553">
        <f t="shared" si="2"/>
        <v>0</v>
      </c>
      <c r="O26" s="553">
        <v>0</v>
      </c>
      <c r="P26" s="553">
        <v>0</v>
      </c>
      <c r="Q26" s="553">
        <f>'Sch. N'!AC23</f>
        <v>0</v>
      </c>
      <c r="R26" s="553">
        <v>0</v>
      </c>
      <c r="S26" s="674">
        <f t="shared" si="1"/>
        <v>283446</v>
      </c>
    </row>
    <row r="27" spans="1:19" ht="15">
      <c r="A27" s="730" t="s">
        <v>203</v>
      </c>
      <c r="B27" s="553">
        <f>'Sch. G 2021'!H27</f>
        <v>6695727</v>
      </c>
      <c r="C27" s="553">
        <f>'Sch. H'!N27</f>
        <v>167911.91807323514</v>
      </c>
      <c r="D27" s="553">
        <f>-'Sch. F 2022 p2'!N27</f>
        <v>-4531</v>
      </c>
      <c r="E27" s="553">
        <v>0</v>
      </c>
      <c r="F27" s="553">
        <f>SUM('Sch. M'!I662:N662)</f>
        <v>0</v>
      </c>
      <c r="G27" s="553">
        <v>0</v>
      </c>
      <c r="H27" s="554">
        <f t="shared" si="0"/>
        <v>6859108</v>
      </c>
      <c r="I27" s="555"/>
      <c r="J27" s="557" t="s">
        <v>203</v>
      </c>
      <c r="K27" s="553">
        <f>'Sch. G 2021'!S27</f>
        <v>2909271</v>
      </c>
      <c r="L27" s="553">
        <f>'Sch. J'!P27</f>
        <v>222952</v>
      </c>
      <c r="M27" s="553">
        <v>0</v>
      </c>
      <c r="N27" s="553">
        <f t="shared" si="2"/>
        <v>-4531</v>
      </c>
      <c r="O27" s="553">
        <v>0</v>
      </c>
      <c r="P27" s="553">
        <v>-838</v>
      </c>
      <c r="Q27" s="553">
        <f>'Sch. N'!AC24</f>
        <v>4606.5</v>
      </c>
      <c r="R27" s="553">
        <v>0</v>
      </c>
      <c r="S27" s="674">
        <f t="shared" si="1"/>
        <v>3131461</v>
      </c>
    </row>
    <row r="28" spans="1:19" ht="15">
      <c r="A28" s="730" t="s">
        <v>204</v>
      </c>
      <c r="B28" s="553">
        <f>'Sch. G 2021'!H28</f>
        <v>1053753</v>
      </c>
      <c r="C28" s="553">
        <f>'Sch. H'!N28</f>
        <v>27645.829721680177</v>
      </c>
      <c r="D28" s="553">
        <f>-'Sch. F 2022 p2'!N28</f>
        <v>0</v>
      </c>
      <c r="E28" s="553">
        <v>0</v>
      </c>
      <c r="F28" s="553">
        <f>SUM('Sch. M'!I723:N723)</f>
        <v>0</v>
      </c>
      <c r="G28" s="553">
        <v>0</v>
      </c>
      <c r="H28" s="554">
        <f t="shared" si="0"/>
        <v>1081399</v>
      </c>
      <c r="I28" s="555"/>
      <c r="J28" s="557" t="s">
        <v>204</v>
      </c>
      <c r="K28" s="553">
        <f>'Sch. G 2021'!S28</f>
        <v>665282</v>
      </c>
      <c r="L28" s="553">
        <f>'Sch. J'!P28</f>
        <v>28728</v>
      </c>
      <c r="M28" s="553">
        <v>0</v>
      </c>
      <c r="N28" s="553">
        <f t="shared" si="2"/>
        <v>0</v>
      </c>
      <c r="O28" s="553">
        <v>0</v>
      </c>
      <c r="P28" s="553">
        <v>0</v>
      </c>
      <c r="Q28" s="553">
        <f>'Sch. N'!AC25</f>
        <v>0</v>
      </c>
      <c r="R28" s="553">
        <v>0</v>
      </c>
      <c r="S28" s="674">
        <f t="shared" si="1"/>
        <v>694010</v>
      </c>
    </row>
    <row r="29" spans="1:19" ht="15">
      <c r="A29" s="730" t="s">
        <v>205</v>
      </c>
      <c r="B29" s="553">
        <f>'Sch. G 2021'!H29</f>
        <v>1890725</v>
      </c>
      <c r="C29" s="553">
        <f>'Sch. H'!N29</f>
        <v>37850</v>
      </c>
      <c r="D29" s="553">
        <f>-'Sch. F 2022 p2'!N29</f>
        <v>-45547</v>
      </c>
      <c r="E29" s="553">
        <v>0</v>
      </c>
      <c r="F29" s="553">
        <f>SUM('Sch. M'!I762:N762)</f>
        <v>0</v>
      </c>
      <c r="G29" s="553">
        <v>0</v>
      </c>
      <c r="H29" s="554">
        <f t="shared" si="0"/>
        <v>1883028</v>
      </c>
      <c r="I29" s="555"/>
      <c r="J29" s="557" t="s">
        <v>205</v>
      </c>
      <c r="K29" s="553">
        <f>'Sch. G 2021'!S29</f>
        <v>1230172</v>
      </c>
      <c r="L29" s="553">
        <f>'Sch. J'!P29</f>
        <v>43117</v>
      </c>
      <c r="M29" s="553">
        <v>0</v>
      </c>
      <c r="N29" s="553">
        <f t="shared" si="2"/>
        <v>-45547</v>
      </c>
      <c r="O29" s="553">
        <v>0</v>
      </c>
      <c r="P29" s="553">
        <v>-6901</v>
      </c>
      <c r="Q29" s="553">
        <f>'Sch. N'!AC26</f>
        <v>6224.5799999999999</v>
      </c>
      <c r="R29" s="553">
        <v>0</v>
      </c>
      <c r="S29" s="674">
        <f t="shared" si="1"/>
        <v>1227066</v>
      </c>
    </row>
    <row r="30" spans="1:19" ht="15">
      <c r="A30" s="730" t="s">
        <v>206</v>
      </c>
      <c r="B30" s="553">
        <f>'Sch. G 2021'!H30</f>
        <v>3104302</v>
      </c>
      <c r="C30" s="553">
        <f>'Sch. H'!N30</f>
        <v>354400.00000000012</v>
      </c>
      <c r="D30" s="553">
        <f>-'Sch. F 2022 p2'!N30</f>
        <v>0</v>
      </c>
      <c r="E30" s="553">
        <v>0</v>
      </c>
      <c r="F30" s="553">
        <f>SUM('Sch. M'!I813:N813)</f>
        <v>0</v>
      </c>
      <c r="G30" s="553">
        <v>0</v>
      </c>
      <c r="H30" s="554">
        <f t="shared" si="0"/>
        <v>3458702</v>
      </c>
      <c r="I30" s="555"/>
      <c r="J30" s="557" t="s">
        <v>206</v>
      </c>
      <c r="K30" s="553">
        <f>'Sch. G 2021'!S30</f>
        <v>1367694</v>
      </c>
      <c r="L30" s="553">
        <f>'Sch. J'!P30</f>
        <v>129133</v>
      </c>
      <c r="M30" s="553">
        <v>0</v>
      </c>
      <c r="N30" s="553">
        <f t="shared" si="2"/>
        <v>0</v>
      </c>
      <c r="O30" s="553">
        <v>0</v>
      </c>
      <c r="P30" s="553">
        <v>0</v>
      </c>
      <c r="Q30" s="553">
        <f>'Sch. N'!AC27</f>
        <v>0</v>
      </c>
      <c r="R30" s="553">
        <v>0</v>
      </c>
      <c r="S30" s="674">
        <f t="shared" si="1"/>
        <v>1496827</v>
      </c>
    </row>
    <row r="31" spans="1:19" ht="15">
      <c r="A31" s="730" t="s">
        <v>207</v>
      </c>
      <c r="B31" s="553">
        <f>'Sch. G 2021'!H31</f>
        <v>1359043</v>
      </c>
      <c r="C31" s="553">
        <f>'Sch. H'!N31</f>
        <v>525000</v>
      </c>
      <c r="D31" s="553">
        <f>-'Sch. F 2022 p2'!N31</f>
        <v>0</v>
      </c>
      <c r="E31" s="553">
        <v>0</v>
      </c>
      <c r="F31" s="553">
        <v>0</v>
      </c>
      <c r="G31" s="553">
        <v>0</v>
      </c>
      <c r="H31" s="554">
        <f t="shared" si="0"/>
        <v>1884043</v>
      </c>
      <c r="I31" s="555"/>
      <c r="J31" s="557" t="s">
        <v>207</v>
      </c>
      <c r="K31" s="553">
        <f>'Sch. G 2021'!S31</f>
        <v>1318</v>
      </c>
      <c r="L31" s="553">
        <f>'Sch. J'!P31</f>
        <v>0</v>
      </c>
      <c r="M31" s="553">
        <v>0</v>
      </c>
      <c r="N31" s="553">
        <v>0</v>
      </c>
      <c r="O31" s="553">
        <v>0</v>
      </c>
      <c r="P31" s="553">
        <v>0</v>
      </c>
      <c r="Q31" s="553">
        <f>'Sch. N'!AC28</f>
        <v>0</v>
      </c>
      <c r="R31" s="553">
        <v>0</v>
      </c>
      <c r="S31" s="674">
        <f t="shared" si="1"/>
        <v>1318</v>
      </c>
    </row>
    <row r="32" spans="1:19" ht="15">
      <c r="A32" s="730" t="s">
        <v>208</v>
      </c>
      <c r="B32" s="553">
        <f>'Sch. G 2021'!H32</f>
        <v>10646372</v>
      </c>
      <c r="C32" s="553">
        <f>'Sch. H'!N32</f>
        <v>3481788.4500000002</v>
      </c>
      <c r="D32" s="553">
        <f>-'Sch. F 2022 p2'!N32</f>
        <v>-41870.469999999994</v>
      </c>
      <c r="E32" s="553">
        <v>0</v>
      </c>
      <c r="F32" s="553">
        <f>SUM('Sch. M'!I836:N836)</f>
        <v>5894.1999999999998</v>
      </c>
      <c r="G32" s="553">
        <v>0</v>
      </c>
      <c r="H32" s="554">
        <f t="shared" si="0"/>
        <v>14092184</v>
      </c>
      <c r="I32" s="555"/>
      <c r="J32" s="557" t="s">
        <v>208</v>
      </c>
      <c r="K32" s="553">
        <f>'Sch. G 2021'!S32</f>
        <v>893260</v>
      </c>
      <c r="L32" s="553">
        <f>'Sch. J'!P32</f>
        <v>248592</v>
      </c>
      <c r="M32" s="553">
        <v>0</v>
      </c>
      <c r="N32" s="553">
        <f t="shared" si="2"/>
        <v>-41870.469999999994</v>
      </c>
      <c r="O32" s="553">
        <v>0</v>
      </c>
      <c r="P32" s="553">
        <v>0</v>
      </c>
      <c r="Q32" s="553">
        <f>'Sch. N'!AC29</f>
        <v>0</v>
      </c>
      <c r="R32" s="553">
        <v>0</v>
      </c>
      <c r="S32" s="674">
        <f t="shared" si="1"/>
        <v>1099982</v>
      </c>
    </row>
    <row r="33" spans="1:19" ht="15">
      <c r="A33" s="730">
        <v>3910</v>
      </c>
      <c r="B33" s="553">
        <f>'Sch. G 2021'!H33</f>
        <v>1854226</v>
      </c>
      <c r="C33" s="553">
        <f>'Sch. H'!N33</f>
        <v>1141216</v>
      </c>
      <c r="D33" s="553">
        <f>-'Sch. F 2022 p2'!N33</f>
        <v>-231790.39999999999</v>
      </c>
      <c r="E33" s="553">
        <v>0</v>
      </c>
      <c r="F33" s="553">
        <f>SUM('Sch. M'!I853:N853)</f>
        <v>-469210.67999999999</v>
      </c>
      <c r="G33" s="553">
        <v>0</v>
      </c>
      <c r="H33" s="554">
        <f t="shared" si="0"/>
        <v>2294441</v>
      </c>
      <c r="I33" s="556"/>
      <c r="J33" s="557">
        <v>3910</v>
      </c>
      <c r="K33" s="553">
        <f>'Sch. G 2021'!S33</f>
        <v>836757</v>
      </c>
      <c r="L33" s="553">
        <f>'Sch. J'!P33</f>
        <v>145706</v>
      </c>
      <c r="M33" s="553">
        <v>0</v>
      </c>
      <c r="N33" s="553">
        <f t="shared" si="2"/>
        <v>-231790.39999999999</v>
      </c>
      <c r="O33" s="553">
        <v>0</v>
      </c>
      <c r="P33" s="553">
        <v>0</v>
      </c>
      <c r="Q33" s="553">
        <f>'Sch. N'!AC30</f>
        <v>0</v>
      </c>
      <c r="R33" s="553">
        <v>0</v>
      </c>
      <c r="S33" s="738">
        <f t="shared" si="1"/>
        <v>750673</v>
      </c>
    </row>
    <row r="34" spans="1:19" ht="15">
      <c r="A34" s="730">
        <v>3912</v>
      </c>
      <c r="B34" s="553">
        <f>'Sch. G 2021'!H34</f>
        <v>309093</v>
      </c>
      <c r="C34" s="553">
        <f>'Sch. H'!N34</f>
        <v>0</v>
      </c>
      <c r="D34" s="553">
        <f>-'Sch. F 2022 p2'!N34</f>
        <v>-5251.4700000000003</v>
      </c>
      <c r="E34" s="553">
        <v>0</v>
      </c>
      <c r="F34" s="553">
        <f>SUM('Sch. M'!I868:N868)</f>
        <v>70950.5</v>
      </c>
      <c r="G34" s="553">
        <v>0</v>
      </c>
      <c r="H34" s="554">
        <f t="shared" si="0"/>
        <v>374792</v>
      </c>
      <c r="I34" s="556"/>
      <c r="J34" s="557">
        <v>3912</v>
      </c>
      <c r="K34" s="553">
        <f>'Sch. G 2021'!S34</f>
        <v>-140378</v>
      </c>
      <c r="L34" s="553">
        <f>'Sch. J'!P34</f>
        <v>248654</v>
      </c>
      <c r="M34" s="553">
        <v>0</v>
      </c>
      <c r="N34" s="553">
        <f t="shared" si="2"/>
        <v>-5251.4700000000003</v>
      </c>
      <c r="O34" s="553">
        <v>0</v>
      </c>
      <c r="P34" s="553">
        <v>0</v>
      </c>
      <c r="Q34" s="553">
        <f>'Sch. N'!AC31</f>
        <v>0</v>
      </c>
      <c r="R34" s="553">
        <v>0</v>
      </c>
      <c r="S34" s="738">
        <f t="shared" si="1"/>
        <v>103025</v>
      </c>
    </row>
    <row r="35" spans="1:19" ht="15">
      <c r="A35" s="730">
        <v>3913</v>
      </c>
      <c r="B35" s="553">
        <f>'Sch. G 2021'!H35</f>
        <v>619668</v>
      </c>
      <c r="C35" s="553">
        <f>'Sch. H'!N35</f>
        <v>150000</v>
      </c>
      <c r="D35" s="553">
        <f>-'Sch. F 2022 p2'!N35</f>
        <v>-379122.45000000001</v>
      </c>
      <c r="E35" s="553">
        <v>0</v>
      </c>
      <c r="F35" s="553">
        <f>SUM('Sch. M'!I887:N887)</f>
        <v>368105.56</v>
      </c>
      <c r="G35" s="553">
        <v>0</v>
      </c>
      <c r="H35" s="554">
        <f t="shared" si="0"/>
        <v>758651</v>
      </c>
      <c r="I35" s="556"/>
      <c r="J35" s="557">
        <v>3913</v>
      </c>
      <c r="K35" s="553">
        <f>'Sch. G 2021'!S35</f>
        <v>-21873</v>
      </c>
      <c r="L35" s="553">
        <f>'Sch. J'!P35</f>
        <v>51934</v>
      </c>
      <c r="M35" s="553">
        <v>0</v>
      </c>
      <c r="N35" s="553">
        <f t="shared" si="2"/>
        <v>-379122.45000000001</v>
      </c>
      <c r="O35" s="553">
        <v>0</v>
      </c>
      <c r="P35" s="553">
        <v>0</v>
      </c>
      <c r="Q35" s="553">
        <f>'Sch. N'!AC32</f>
        <v>0</v>
      </c>
      <c r="R35" s="553">
        <v>0</v>
      </c>
      <c r="S35" s="738">
        <f t="shared" si="1"/>
        <v>-349061</v>
      </c>
    </row>
    <row r="36" spans="1:19" ht="15">
      <c r="A36" s="730">
        <v>3914</v>
      </c>
      <c r="B36" s="553">
        <f>'Sch. G 2021'!H36</f>
        <v>7197450</v>
      </c>
      <c r="C36" s="553">
        <f>'Sch. H'!N36</f>
        <v>86500</v>
      </c>
      <c r="D36" s="553">
        <f>-'Sch. F 2022 p2'!N36</f>
        <v>0</v>
      </c>
      <c r="E36" s="553">
        <v>0</v>
      </c>
      <c r="F36" s="553">
        <f>SUM('Sch. M'!I904:N904)</f>
        <v>0</v>
      </c>
      <c r="G36" s="553">
        <v>0</v>
      </c>
      <c r="H36" s="554">
        <f t="shared" si="0"/>
        <v>7283950</v>
      </c>
      <c r="I36" s="556"/>
      <c r="J36" s="557">
        <v>3914</v>
      </c>
      <c r="K36" s="553">
        <f>'Sch. G 2021'!S36</f>
        <v>2688686</v>
      </c>
      <c r="L36" s="553">
        <f>'Sch. J'!P36</f>
        <v>740077</v>
      </c>
      <c r="M36" s="553">
        <v>0</v>
      </c>
      <c r="N36" s="553">
        <f t="shared" si="2"/>
        <v>0</v>
      </c>
      <c r="O36" s="553">
        <v>0</v>
      </c>
      <c r="P36" s="553">
        <v>0</v>
      </c>
      <c r="Q36" s="553">
        <f>'Sch. N'!AC33</f>
        <v>0</v>
      </c>
      <c r="R36" s="553">
        <v>0</v>
      </c>
      <c r="S36" s="738">
        <f t="shared" si="1"/>
        <v>3428763</v>
      </c>
    </row>
    <row r="37" spans="1:19" ht="15">
      <c r="A37" s="730">
        <v>3921</v>
      </c>
      <c r="B37" s="553">
        <f>'Sch. G 2021'!H37</f>
        <v>367130</v>
      </c>
      <c r="C37" s="553">
        <f>'Sch. H'!N37</f>
        <v>215000</v>
      </c>
      <c r="D37" s="553">
        <f>-'Sch. F 2022 p2'!N37</f>
        <v>-58922.349999999999</v>
      </c>
      <c r="E37" s="553">
        <v>0</v>
      </c>
      <c r="F37" s="553">
        <f>'Sch. L'!F24</f>
        <v>-224614</v>
      </c>
      <c r="G37" s="553">
        <v>0</v>
      </c>
      <c r="H37" s="554">
        <f t="shared" si="0"/>
        <v>298594</v>
      </c>
      <c r="I37" s="556"/>
      <c r="J37" s="557">
        <v>3921</v>
      </c>
      <c r="K37" s="553">
        <f>'Sch. G 2021'!S37</f>
        <v>214756</v>
      </c>
      <c r="L37" s="553">
        <f>'Sch. J'!P37</f>
        <v>39091</v>
      </c>
      <c r="M37" s="553">
        <v>0</v>
      </c>
      <c r="N37" s="553">
        <f t="shared" si="2"/>
        <v>-58922.349999999999</v>
      </c>
      <c r="O37" s="553">
        <v>14000</v>
      </c>
      <c r="P37" s="553">
        <v>0</v>
      </c>
      <c r="Q37" s="553">
        <f>'Sch. N'!AC34</f>
        <v>-93935.119999999995</v>
      </c>
      <c r="R37" s="553">
        <v>0</v>
      </c>
      <c r="S37" s="738">
        <f t="shared" si="1"/>
        <v>114990</v>
      </c>
    </row>
    <row r="38" spans="1:19" ht="15">
      <c r="A38" s="730">
        <v>3922</v>
      </c>
      <c r="B38" s="553">
        <f>'Sch. G 2021'!H38</f>
        <v>5946652</v>
      </c>
      <c r="C38" s="553">
        <f>'Sch. H'!N38</f>
        <v>773892.57000000007</v>
      </c>
      <c r="D38" s="553">
        <f>-'Sch. F 2022 p2'!N38</f>
        <v>-287324</v>
      </c>
      <c r="E38" s="553">
        <v>0</v>
      </c>
      <c r="F38" s="553">
        <f>'Sch. L'!F197</f>
        <v>259003.01999999999</v>
      </c>
      <c r="G38" s="553">
        <v>0</v>
      </c>
      <c r="H38" s="554">
        <f t="shared" si="0"/>
        <v>6692224</v>
      </c>
      <c r="I38" s="556"/>
      <c r="J38" s="557">
        <v>3922</v>
      </c>
      <c r="K38" s="553">
        <f>'Sch. G 2021'!S38</f>
        <v>2631860</v>
      </c>
      <c r="L38" s="553">
        <f>'Sch. J'!P38</f>
        <v>525294</v>
      </c>
      <c r="M38" s="553">
        <v>0</v>
      </c>
      <c r="N38" s="553">
        <f t="shared" si="2"/>
        <v>-287324</v>
      </c>
      <c r="O38" s="553">
        <v>62000</v>
      </c>
      <c r="P38" s="553">
        <v>0</v>
      </c>
      <c r="Q38" s="553">
        <f>'Sch. N'!AC35</f>
        <v>37587.610000000015</v>
      </c>
      <c r="R38" s="553">
        <v>0</v>
      </c>
      <c r="S38" s="738">
        <f t="shared" si="1"/>
        <v>2969418</v>
      </c>
    </row>
    <row r="39" spans="1:19" ht="15">
      <c r="A39" s="730">
        <v>3923</v>
      </c>
      <c r="B39" s="553">
        <f>'Sch. G 2021'!H39</f>
        <v>0</v>
      </c>
      <c r="C39" s="553">
        <f>'Sch. H'!N39</f>
        <v>0</v>
      </c>
      <c r="D39" s="553">
        <f>-'Sch. F 2022 p2'!N39</f>
        <v>0</v>
      </c>
      <c r="E39" s="553">
        <v>0</v>
      </c>
      <c r="F39" s="553">
        <f>'Sch. L'!F204</f>
        <v>0</v>
      </c>
      <c r="G39" s="553">
        <v>0</v>
      </c>
      <c r="H39" s="554">
        <f t="shared" si="0"/>
        <v>0</v>
      </c>
      <c r="I39" s="556"/>
      <c r="J39" s="557">
        <v>3923</v>
      </c>
      <c r="K39" s="553">
        <f>'Sch. G 2021'!S39</f>
        <v>0</v>
      </c>
      <c r="L39" s="553">
        <f>'Sch. J'!P39</f>
        <v>0</v>
      </c>
      <c r="M39" s="553">
        <v>0</v>
      </c>
      <c r="N39" s="553">
        <f t="shared" si="2"/>
        <v>0</v>
      </c>
      <c r="O39" s="553">
        <v>0</v>
      </c>
      <c r="P39" s="553">
        <v>0</v>
      </c>
      <c r="Q39" s="553">
        <f>'Sch. N'!AC36</f>
        <v>0</v>
      </c>
      <c r="R39" s="553">
        <v>0</v>
      </c>
      <c r="S39" s="738">
        <f t="shared" si="1"/>
        <v>0</v>
      </c>
    </row>
    <row r="40" spans="1:19" ht="15">
      <c r="A40" s="730">
        <v>3924</v>
      </c>
      <c r="B40" s="553">
        <f>'Sch. G 2021'!H40</f>
        <v>79064</v>
      </c>
      <c r="C40" s="553">
        <f>'Sch. H'!N40</f>
        <v>0</v>
      </c>
      <c r="D40" s="553">
        <f>-'Sch. F 2022 p2'!N40</f>
        <v>0</v>
      </c>
      <c r="E40" s="553">
        <v>0</v>
      </c>
      <c r="F40" s="553">
        <f>'Sch. L'!F224</f>
        <v>-15599.02</v>
      </c>
      <c r="G40" s="553">
        <v>0</v>
      </c>
      <c r="H40" s="554">
        <f t="shared" si="0"/>
        <v>63465</v>
      </c>
      <c r="I40" s="556"/>
      <c r="J40" s="557">
        <v>3924</v>
      </c>
      <c r="K40" s="553">
        <f>'Sch. G 2021'!S40</f>
        <v>45939</v>
      </c>
      <c r="L40" s="553">
        <f>'Sch. J'!P40</f>
        <v>3909</v>
      </c>
      <c r="M40" s="553">
        <v>0</v>
      </c>
      <c r="N40" s="553">
        <f t="shared" si="2"/>
        <v>0</v>
      </c>
      <c r="O40" s="553">
        <v>0</v>
      </c>
      <c r="P40" s="553">
        <v>0</v>
      </c>
      <c r="Q40" s="553">
        <f>'Sch. N'!AC37</f>
        <v>0</v>
      </c>
      <c r="R40" s="553">
        <v>0</v>
      </c>
      <c r="S40" s="738">
        <f t="shared" si="1"/>
        <v>49848</v>
      </c>
    </row>
    <row r="41" spans="1:19" ht="15">
      <c r="A41" s="730" t="s">
        <v>209</v>
      </c>
      <c r="B41" s="553">
        <f>'Sch. G 2021'!H41</f>
        <v>29982</v>
      </c>
      <c r="C41" s="553">
        <f>'Sch. H'!N41</f>
        <v>0</v>
      </c>
      <c r="D41" s="553">
        <f>-'Sch. F 2022 p2'!N41</f>
        <v>-524.38999999999999</v>
      </c>
      <c r="E41" s="553">
        <v>0</v>
      </c>
      <c r="F41" s="553">
        <f>SUM('Sch. M'!I918:N918)</f>
        <v>0</v>
      </c>
      <c r="G41" s="553">
        <v>0</v>
      </c>
      <c r="H41" s="554">
        <f t="shared" si="0"/>
        <v>29458</v>
      </c>
      <c r="I41" s="555"/>
      <c r="J41" s="557" t="s">
        <v>209</v>
      </c>
      <c r="K41" s="553">
        <f>'Sch. G 2021'!S41</f>
        <v>14380</v>
      </c>
      <c r="L41" s="553">
        <f>'Sch. J'!P41</f>
        <v>969</v>
      </c>
      <c r="M41" s="553">
        <v>0</v>
      </c>
      <c r="N41" s="553">
        <f t="shared" si="2"/>
        <v>-524.38999999999999</v>
      </c>
      <c r="O41" s="553">
        <v>0</v>
      </c>
      <c r="P41" s="553">
        <v>0</v>
      </c>
      <c r="Q41" s="553">
        <f>'Sch. N'!AC38</f>
        <v>0</v>
      </c>
      <c r="R41" s="553">
        <v>0</v>
      </c>
      <c r="S41" s="738">
        <f t="shared" si="1"/>
        <v>14825</v>
      </c>
    </row>
    <row r="42" spans="1:19" ht="15">
      <c r="A42" s="730" t="s">
        <v>210</v>
      </c>
      <c r="B42" s="553">
        <f>'Sch. G 2021'!H42</f>
        <v>1115043</v>
      </c>
      <c r="C42" s="553">
        <f>'Sch. H'!N42</f>
        <v>271503.66999999998</v>
      </c>
      <c r="D42" s="553">
        <f>-'Sch. F 2022 p2'!N42</f>
        <v>-29475.090000000011</v>
      </c>
      <c r="E42" s="553">
        <v>0</v>
      </c>
      <c r="F42" s="553">
        <f>SUM('Sch. M'!I935:N935)</f>
        <v>9737</v>
      </c>
      <c r="G42" s="553">
        <v>0</v>
      </c>
      <c r="H42" s="554">
        <f t="shared" si="0"/>
        <v>1366809</v>
      </c>
      <c r="I42" s="555"/>
      <c r="J42" s="557" t="s">
        <v>210</v>
      </c>
      <c r="K42" s="553">
        <f>'Sch. G 2021'!S42</f>
        <v>604290</v>
      </c>
      <c r="L42" s="553">
        <f>'Sch. J'!P42</f>
        <v>95048</v>
      </c>
      <c r="M42" s="553">
        <v>0</v>
      </c>
      <c r="N42" s="553">
        <f t="shared" si="2"/>
        <v>-29475.090000000011</v>
      </c>
      <c r="O42" s="553">
        <v>0</v>
      </c>
      <c r="P42" s="553">
        <v>0</v>
      </c>
      <c r="Q42" s="553">
        <f>'Sch. N'!AC39</f>
        <v>1947.4100000000001</v>
      </c>
      <c r="R42" s="553">
        <v>0</v>
      </c>
      <c r="S42" s="738">
        <f t="shared" si="1"/>
        <v>671810</v>
      </c>
    </row>
    <row r="43" spans="1:19" ht="15">
      <c r="A43" s="730" t="s">
        <v>211</v>
      </c>
      <c r="B43" s="553">
        <f>'Sch. G 2021'!H43</f>
        <v>0</v>
      </c>
      <c r="C43" s="553">
        <f>'Sch. H'!N43</f>
        <v>0</v>
      </c>
      <c r="D43" s="553">
        <f>-'Sch. F 2022 p2'!N43</f>
        <v>0</v>
      </c>
      <c r="E43" s="553">
        <v>0</v>
      </c>
      <c r="F43" s="553">
        <v>0</v>
      </c>
      <c r="G43" s="553">
        <v>0</v>
      </c>
      <c r="H43" s="554">
        <f t="shared" si="0"/>
        <v>0</v>
      </c>
      <c r="I43" s="555"/>
      <c r="J43" s="557" t="s">
        <v>211</v>
      </c>
      <c r="K43" s="553">
        <f>'Sch. G 2021'!S43</f>
        <v>0</v>
      </c>
      <c r="L43" s="553">
        <f>'Sch. J'!P43</f>
        <v>0</v>
      </c>
      <c r="M43" s="553">
        <v>0</v>
      </c>
      <c r="N43" s="553">
        <f t="shared" si="2"/>
        <v>0</v>
      </c>
      <c r="O43" s="553">
        <v>0</v>
      </c>
      <c r="P43" s="553">
        <v>0</v>
      </c>
      <c r="Q43" s="553">
        <f>'Sch. N'!AC40</f>
        <v>0</v>
      </c>
      <c r="R43" s="553">
        <v>0</v>
      </c>
      <c r="S43" s="738">
        <f t="shared" si="1"/>
        <v>0</v>
      </c>
    </row>
    <row r="44" spans="1:19" ht="15">
      <c r="A44" s="730" t="s">
        <v>212</v>
      </c>
      <c r="B44" s="553">
        <f>'Sch. G 2021'!H44</f>
        <v>1412159</v>
      </c>
      <c r="C44" s="553">
        <f>'Sch. H'!N44</f>
        <v>357895</v>
      </c>
      <c r="D44" s="553">
        <f>-'Sch. F 2022 p2'!N44</f>
        <v>0</v>
      </c>
      <c r="E44" s="553">
        <v>0</v>
      </c>
      <c r="F44" s="553">
        <f>SUM('Sch. M'!I968:N968)</f>
        <v>18988</v>
      </c>
      <c r="G44" s="553">
        <v>0</v>
      </c>
      <c r="H44" s="554">
        <f t="shared" si="0"/>
        <v>1789042</v>
      </c>
      <c r="I44" s="555"/>
      <c r="J44" s="557" t="s">
        <v>212</v>
      </c>
      <c r="K44" s="553">
        <f>'Sch. G 2021'!S44</f>
        <v>973436</v>
      </c>
      <c r="L44" s="553">
        <f>'Sch. J'!P44</f>
        <v>82681</v>
      </c>
      <c r="M44" s="553">
        <v>0</v>
      </c>
      <c r="N44" s="553">
        <f t="shared" si="2"/>
        <v>0</v>
      </c>
      <c r="O44" s="553">
        <v>0</v>
      </c>
      <c r="P44" s="553">
        <v>0</v>
      </c>
      <c r="Q44" s="553">
        <f>'Sch. N'!AC41</f>
        <v>1049.0899999999999</v>
      </c>
      <c r="R44" s="553">
        <v>0</v>
      </c>
      <c r="S44" s="738">
        <f t="shared" si="1"/>
        <v>1057166</v>
      </c>
    </row>
    <row r="45" spans="1:19" ht="15">
      <c r="A45" s="730" t="s">
        <v>213</v>
      </c>
      <c r="B45" s="553">
        <f>'Sch. G 2021'!H45</f>
        <v>2628479</v>
      </c>
      <c r="C45" s="553">
        <f>'Sch. H'!N45</f>
        <v>11000</v>
      </c>
      <c r="D45" s="553">
        <f>-'Sch. F 2022 p2'!N45</f>
        <v>-296215.89999999997</v>
      </c>
      <c r="E45" s="553">
        <v>0</v>
      </c>
      <c r="F45" s="553">
        <f>SUM('Sch. M'!I986:N986)</f>
        <v>7783.6999999999998</v>
      </c>
      <c r="G45" s="553">
        <v>0</v>
      </c>
      <c r="H45" s="554">
        <f t="shared" si="0"/>
        <v>2351047</v>
      </c>
      <c r="I45" s="555"/>
      <c r="J45" s="557" t="s">
        <v>213</v>
      </c>
      <c r="K45" s="553">
        <f>'Sch. G 2021'!S45</f>
        <v>1031238</v>
      </c>
      <c r="L45" s="553">
        <f>'Sch. J'!P45</f>
        <v>199638</v>
      </c>
      <c r="M45" s="553">
        <v>0</v>
      </c>
      <c r="N45" s="553">
        <f t="shared" si="2"/>
        <v>-296215.89999999997</v>
      </c>
      <c r="O45" s="553">
        <v>0</v>
      </c>
      <c r="P45" s="553">
        <v>0</v>
      </c>
      <c r="Q45" s="553">
        <f>'Sch. N'!AC42</f>
        <v>0</v>
      </c>
      <c r="R45" s="553">
        <v>0</v>
      </c>
      <c r="S45" s="738">
        <f t="shared" si="1"/>
        <v>934660</v>
      </c>
    </row>
    <row r="46" spans="1:19" ht="15">
      <c r="A46" s="730" t="s">
        <v>214</v>
      </c>
      <c r="B46" s="553">
        <f>'Sch. G 2021'!H46</f>
        <v>372105</v>
      </c>
      <c r="C46" s="553">
        <f>'Sch. H'!N46</f>
        <v>500</v>
      </c>
      <c r="D46" s="553">
        <f>-'Sch. F 2022 p2'!N46</f>
        <v>-20177.709999999999</v>
      </c>
      <c r="E46" s="553">
        <v>0</v>
      </c>
      <c r="F46" s="553">
        <f>SUM('Sch. M'!I1003:N1003)</f>
        <v>16476.720000000001</v>
      </c>
      <c r="G46" s="553">
        <v>0</v>
      </c>
      <c r="H46" s="554">
        <f t="shared" si="0"/>
        <v>368904</v>
      </c>
      <c r="I46" s="555"/>
      <c r="J46" s="557" t="s">
        <v>214</v>
      </c>
      <c r="K46" s="553">
        <f>'Sch. G 2021'!S46</f>
        <v>227271</v>
      </c>
      <c r="L46" s="553">
        <f>'Sch. J'!P46</f>
        <v>31019</v>
      </c>
      <c r="M46" s="553">
        <v>0</v>
      </c>
      <c r="N46" s="553">
        <f t="shared" si="2"/>
        <v>-20177.709999999999</v>
      </c>
      <c r="O46" s="553">
        <v>0</v>
      </c>
      <c r="P46" s="553">
        <v>0</v>
      </c>
      <c r="Q46" s="553">
        <f>'Sch. N'!AC43</f>
        <v>0</v>
      </c>
      <c r="R46" s="553">
        <v>0</v>
      </c>
      <c r="S46" s="738">
        <f t="shared" si="1"/>
        <v>238112</v>
      </c>
    </row>
    <row r="47" spans="1:19" ht="15">
      <c r="A47" s="730" t="s">
        <v>215</v>
      </c>
      <c r="B47" s="553">
        <f>'Sch. G 2021'!H47</f>
        <v>0</v>
      </c>
      <c r="C47" s="553">
        <f>'Sch. H'!N47</f>
        <v>0</v>
      </c>
      <c r="D47" s="553">
        <f>-'Sch. F 2022 p2'!N47</f>
        <v>0</v>
      </c>
      <c r="E47" s="553">
        <v>0</v>
      </c>
      <c r="F47" s="553">
        <v>0</v>
      </c>
      <c r="G47" s="553">
        <v>0</v>
      </c>
      <c r="H47" s="554">
        <f t="shared" si="0"/>
        <v>0</v>
      </c>
      <c r="I47" s="555"/>
      <c r="J47" s="557" t="s">
        <v>215</v>
      </c>
      <c r="K47" s="553">
        <f>'Sch. G 2021'!S47</f>
        <v>0</v>
      </c>
      <c r="L47" s="553">
        <f>'Sch. J'!P47</f>
        <v>0</v>
      </c>
      <c r="M47" s="553">
        <v>0</v>
      </c>
      <c r="N47" s="553">
        <f t="shared" si="2"/>
        <v>0</v>
      </c>
      <c r="O47" s="553">
        <v>0</v>
      </c>
      <c r="P47" s="553">
        <v>0</v>
      </c>
      <c r="Q47" s="553">
        <f>'Sch. N'!AC44</f>
        <v>0</v>
      </c>
      <c r="R47" s="553">
        <v>0</v>
      </c>
      <c r="S47" s="738">
        <f t="shared" si="1"/>
        <v>0</v>
      </c>
    </row>
    <row r="48" spans="1:19" ht="15.75" thickBot="1">
      <c r="A48" s="733"/>
      <c r="B48" s="735">
        <f t="shared" si="3" ref="B48:H48">ROUND(SUM(B9:B47),0)</f>
        <v>543280748</v>
      </c>
      <c r="C48" s="735">
        <f t="shared" si="3"/>
        <v>35649907</v>
      </c>
      <c r="D48" s="735">
        <f t="shared" si="3"/>
        <v>-3937773</v>
      </c>
      <c r="E48" s="735">
        <f t="shared" si="3"/>
        <v>0</v>
      </c>
      <c r="F48" s="739">
        <f t="shared" si="3"/>
        <v>3982306</v>
      </c>
      <c r="G48" s="735">
        <f t="shared" si="3"/>
        <v>0</v>
      </c>
      <c r="H48" s="735">
        <f t="shared" si="3"/>
        <v>578975191</v>
      </c>
      <c r="I48" s="740"/>
      <c r="J48" s="741"/>
      <c r="K48" s="739">
        <f t="shared" si="4" ref="K48:S48">ROUND(SUM(K9:K47),0)</f>
        <v>130898524</v>
      </c>
      <c r="L48" s="739">
        <f t="shared" si="4"/>
        <v>14599537</v>
      </c>
      <c r="M48" s="739">
        <f t="shared" si="4"/>
        <v>0</v>
      </c>
      <c r="N48" s="739">
        <f t="shared" si="4"/>
        <v>-3937773</v>
      </c>
      <c r="O48" s="739">
        <f t="shared" si="4"/>
        <v>76000</v>
      </c>
      <c r="P48" s="739">
        <f t="shared" si="4"/>
        <v>-1089346</v>
      </c>
      <c r="Q48" s="739">
        <f t="shared" si="4"/>
        <v>-205091</v>
      </c>
      <c r="R48" s="739">
        <f t="shared" si="4"/>
        <v>0</v>
      </c>
      <c r="S48" s="736">
        <f t="shared" si="4"/>
        <v>140341855</v>
      </c>
    </row>
    <row r="49" ht="15.75" thickTop="1"/>
    <row r="51" spans="3:5" ht="15">
      <c r="C51" s="659"/>
      <c r="D51" s="659"/>
      <c r="E51" s="659"/>
    </row>
    <row r="52" spans="3:7" ht="15">
      <c r="C52" s="659"/>
      <c r="D52" s="659"/>
      <c r="E52" s="659"/>
      <c r="F52" s="553"/>
      <c r="G52" s="659"/>
    </row>
    <row r="53" spans="3:5" ht="15">
      <c r="C53" s="659"/>
      <c r="E53" s="659"/>
    </row>
    <row r="54" spans="1:1" ht="15">
      <c r="A54" t="s">
        <v>678</v>
      </c>
    </row>
    <row r="55" spans="2:19" ht="15">
      <c r="B55" t="s">
        <v>687</v>
      </c>
      <c r="C55" t="s">
        <v>683</v>
      </c>
      <c r="D55" t="s">
        <v>688</v>
      </c>
      <c r="F55" t="s">
        <v>699</v>
      </c>
      <c r="H55" t="s">
        <v>175</v>
      </c>
      <c r="K55" t="s">
        <v>687</v>
      </c>
      <c r="L55" t="s">
        <v>686</v>
      </c>
      <c r="N55" t="s">
        <v>685</v>
      </c>
      <c r="P55" t="s">
        <v>695</v>
      </c>
      <c r="Q55" t="s">
        <v>684</v>
      </c>
      <c r="S55" t="s">
        <v>175</v>
      </c>
    </row>
    <row r="56" spans="2:19" ht="15">
      <c r="B56" s="371">
        <f>'Sch. G 2021'!H48</f>
        <v>543280748</v>
      </c>
      <c r="C56" s="371">
        <f>'Sch. H'!N48</f>
        <v>35649907</v>
      </c>
      <c r="D56" s="371">
        <f>-'Sch. F 2022 p2'!N48</f>
        <v>-3937773</v>
      </c>
      <c r="F56" s="371">
        <f>SUM('Sch. M'!I1011:N1011)+'Sch. L'!F231</f>
        <v>3982306.4000000004</v>
      </c>
      <c r="H56" s="371">
        <f>SUM(B9:G47)</f>
        <v>578975188.44853187</v>
      </c>
      <c r="K56" s="371">
        <f>'Sch. G 2021'!S48</f>
        <v>130898524</v>
      </c>
      <c r="L56" s="371">
        <f>'Sch. J'!P48</f>
        <v>14599537</v>
      </c>
      <c r="N56" s="371">
        <f>D48</f>
        <v>-3937773</v>
      </c>
      <c r="P56" s="371">
        <f>'Sch. K'!P49</f>
        <v>-1013346</v>
      </c>
      <c r="Q56" s="371">
        <f>'Sch. N'!AC45</f>
        <v>-205091.15958333333</v>
      </c>
      <c r="S56" s="371">
        <f>SUM(K9:R47)</f>
        <v>140341850.61041665</v>
      </c>
    </row>
    <row r="57" spans="2:19" ht="15">
      <c r="B57" s="371">
        <f>B48-B56</f>
        <v>0</v>
      </c>
      <c r="C57" s="371">
        <f>C48-C56</f>
        <v>0</v>
      </c>
      <c r="D57" s="371">
        <f>D48-D56</f>
        <v>0</v>
      </c>
      <c r="F57" s="371">
        <f>F48-F56</f>
        <v>-0.40000000037252903</v>
      </c>
      <c r="H57" s="371">
        <f>H48-H56</f>
        <v>2.5514681339263916</v>
      </c>
      <c r="K57" s="371">
        <f>K48-K56</f>
        <v>0</v>
      </c>
      <c r="L57" s="371">
        <f>L48-L56</f>
        <v>0</v>
      </c>
      <c r="N57" s="371">
        <f>N48-N56</f>
        <v>0</v>
      </c>
      <c r="P57">
        <f>P56-P48-O48</f>
        <v>0</v>
      </c>
      <c r="Q57" s="371">
        <f>Q48-Q56</f>
        <v>0.15958333332673647</v>
      </c>
      <c r="S57" s="371">
        <f>S48-S56</f>
        <v>4.3895833492279053</v>
      </c>
    </row>
    <row r="59" spans="14:14" ht="15">
      <c r="N59" t="s">
        <v>696</v>
      </c>
    </row>
    <row r="60" spans="14:14" ht="15">
      <c r="N60" s="371">
        <f>'Sch. K'!O49</f>
        <v>3937773.2300000004</v>
      </c>
    </row>
    <row r="61" spans="14:14" ht="15">
      <c r="N61" s="371">
        <f>-N60-N48</f>
        <v>-0.23000000044703484</v>
      </c>
    </row>
  </sheetData>
  <mergeCells count="6">
    <mergeCell ref="A1:S1"/>
    <mergeCell ref="A2:S2"/>
    <mergeCell ref="A3:S3"/>
    <mergeCell ref="A4:S4"/>
    <mergeCell ref="A6:H6"/>
    <mergeCell ref="J6:S6"/>
  </mergeCells>
  <printOptions horizontalCentered="1"/>
  <pageMargins left="0.5" right="0.5" top="0.96" bottom="0.5" header="0.5" footer="0.2"/>
  <pageSetup orientation="landscape" scale="62" r:id="rId1"/>
  <headerFooter>
    <oddHeader>&amp;L&amp;"Arial,Bold"&amp;12Florida Public Utilities Natural Gas Division
2023 Consolidated Depreciation Study Workbook
Docket No. 20220067&amp;R&amp;"Arial,Bold"&amp;12Revised Exhibit PSL-2
Page &amp;P of 93
Schedule G</oddHeader>
    <oddFooter>&amp;C&amp;A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N51"/>
  <sheetViews>
    <sheetView workbookViewId="0" topLeftCell="A1">
      <selection pane="topLeft" activeCell="J11" sqref="J11"/>
    </sheetView>
  </sheetViews>
  <sheetFormatPr defaultRowHeight="15"/>
  <cols>
    <col min="2" max="13" width="13" bestFit="1" customWidth="1"/>
    <col min="14" max="14" width="12.1428571428571" bestFit="1" customWidth="1"/>
  </cols>
  <sheetData>
    <row r="1" spans="1:14" s="645" customFormat="1" ht="19.5" thickTop="1">
      <c r="A1" s="956" t="s">
        <v>56</v>
      </c>
      <c r="B1" s="957"/>
      <c r="C1" s="957"/>
      <c r="D1" s="957"/>
      <c r="E1" s="957"/>
      <c r="F1" s="957"/>
      <c r="G1" s="957"/>
      <c r="H1" s="957"/>
      <c r="I1" s="957"/>
      <c r="J1" s="957"/>
      <c r="K1" s="957"/>
      <c r="L1" s="957"/>
      <c r="M1" s="957"/>
      <c r="N1" s="958"/>
    </row>
    <row r="2" spans="1:14" s="543" customFormat="1" ht="15">
      <c r="A2" s="959" t="str">
        <f>Input!B3</f>
        <v>FPUC, FPUC - Common, FPUC - Indiantown, Florida Division of Chesapeake Utilities Corporation, FPUC - Ft Meade</v>
      </c>
      <c r="B2" s="960"/>
      <c r="C2" s="960"/>
      <c r="D2" s="960"/>
      <c r="E2" s="960"/>
      <c r="F2" s="960"/>
      <c r="G2" s="960"/>
      <c r="H2" s="960"/>
      <c r="I2" s="960"/>
      <c r="J2" s="960"/>
      <c r="K2" s="960"/>
      <c r="L2" s="960"/>
      <c r="M2" s="960"/>
      <c r="N2" s="961"/>
    </row>
    <row r="3" spans="1:14" s="544" customFormat="1" ht="15.75">
      <c r="A3" s="962" t="s">
        <v>697</v>
      </c>
      <c r="B3" s="963"/>
      <c r="C3" s="963"/>
      <c r="D3" s="963"/>
      <c r="E3" s="963"/>
      <c r="F3" s="963"/>
      <c r="G3" s="963"/>
      <c r="H3" s="963"/>
      <c r="I3" s="963"/>
      <c r="J3" s="963"/>
      <c r="K3" s="963"/>
      <c r="L3" s="963"/>
      <c r="M3" s="963"/>
      <c r="N3" s="964"/>
    </row>
    <row r="4" spans="1:14" s="544" customFormat="1" ht="15.75">
      <c r="A4" s="965">
        <v>2022</v>
      </c>
      <c r="B4" s="966"/>
      <c r="C4" s="966"/>
      <c r="D4" s="966"/>
      <c r="E4" s="966"/>
      <c r="F4" s="966"/>
      <c r="G4" s="966"/>
      <c r="H4" s="966"/>
      <c r="I4" s="966"/>
      <c r="J4" s="966"/>
      <c r="K4" s="966"/>
      <c r="L4" s="966"/>
      <c r="M4" s="966"/>
      <c r="N4" s="967"/>
    </row>
    <row r="5" spans="1:14" ht="15.75" thickBot="1">
      <c r="A5" s="221"/>
      <c r="N5" s="220"/>
    </row>
    <row r="6" spans="1:14" ht="15.75" thickTop="1">
      <c r="A6" s="917" t="s">
        <v>177</v>
      </c>
      <c r="B6" s="918"/>
      <c r="C6" s="918"/>
      <c r="D6" s="918"/>
      <c r="E6" s="918"/>
      <c r="F6" s="918"/>
      <c r="G6" s="918"/>
      <c r="H6" s="918"/>
      <c r="I6" s="918"/>
      <c r="J6" s="918"/>
      <c r="K6" s="918"/>
      <c r="L6" s="918"/>
      <c r="M6" s="918"/>
      <c r="N6" s="919"/>
    </row>
    <row r="7" spans="1:14" s="219" customFormat="1" ht="15">
      <c r="A7" s="208" t="s">
        <v>178</v>
      </c>
      <c r="B7" s="205" t="s">
        <v>180</v>
      </c>
      <c r="C7" s="205" t="s">
        <v>180</v>
      </c>
      <c r="D7" s="205" t="s">
        <v>180</v>
      </c>
      <c r="E7" s="205" t="s">
        <v>180</v>
      </c>
      <c r="F7" s="205" t="s">
        <v>180</v>
      </c>
      <c r="G7" s="205" t="s">
        <v>180</v>
      </c>
      <c r="H7" s="205" t="s">
        <v>180</v>
      </c>
      <c r="I7" s="205" t="s">
        <v>180</v>
      </c>
      <c r="J7" s="205" t="s">
        <v>180</v>
      </c>
      <c r="K7" s="205" t="s">
        <v>180</v>
      </c>
      <c r="L7" s="205" t="s">
        <v>180</v>
      </c>
      <c r="M7" s="205" t="s">
        <v>180</v>
      </c>
      <c r="N7" s="203">
        <v>2022</v>
      </c>
    </row>
    <row r="8" spans="1:14" ht="15">
      <c r="A8" s="202" t="s">
        <v>181</v>
      </c>
      <c r="B8" s="199" t="s">
        <v>182</v>
      </c>
      <c r="C8" s="199" t="s">
        <v>183</v>
      </c>
      <c r="D8" s="199" t="s">
        <v>184</v>
      </c>
      <c r="E8" s="199" t="s">
        <v>185</v>
      </c>
      <c r="F8" s="199" t="s">
        <v>186</v>
      </c>
      <c r="G8" s="199" t="s">
        <v>187</v>
      </c>
      <c r="H8" s="199" t="s">
        <v>188</v>
      </c>
      <c r="I8" s="199" t="s">
        <v>189</v>
      </c>
      <c r="J8" s="199" t="s">
        <v>190</v>
      </c>
      <c r="K8" s="199" t="s">
        <v>191</v>
      </c>
      <c r="L8" s="199" t="s">
        <v>192</v>
      </c>
      <c r="M8" s="199" t="s">
        <v>193</v>
      </c>
      <c r="N8" s="198" t="s">
        <v>224</v>
      </c>
    </row>
    <row r="9" spans="1:14" ht="15">
      <c r="A9" s="218">
        <v>3010</v>
      </c>
      <c r="B9" s="193">
        <v>0</v>
      </c>
      <c r="C9" s="193">
        <v>0</v>
      </c>
      <c r="D9" s="193">
        <v>0</v>
      </c>
      <c r="E9" s="193">
        <v>0</v>
      </c>
      <c r="F9" s="193">
        <v>0</v>
      </c>
      <c r="G9" s="193">
        <v>0</v>
      </c>
      <c r="H9" s="193">
        <v>0</v>
      </c>
      <c r="I9" s="193">
        <v>0</v>
      </c>
      <c r="J9" s="193">
        <v>0</v>
      </c>
      <c r="K9" s="193">
        <v>0</v>
      </c>
      <c r="L9" s="193">
        <v>0</v>
      </c>
      <c r="M9" s="193">
        <v>0</v>
      </c>
      <c r="N9" s="197">
        <f t="shared" si="0" ref="N9:N47">SUM(B9:M9)</f>
        <v>0</v>
      </c>
    </row>
    <row r="10" spans="1:14" ht="15">
      <c r="A10" s="218" t="s">
        <v>195</v>
      </c>
      <c r="B10" s="193">
        <v>0</v>
      </c>
      <c r="C10" s="193">
        <v>0</v>
      </c>
      <c r="D10" s="193">
        <v>0</v>
      </c>
      <c r="E10" s="193">
        <v>0</v>
      </c>
      <c r="F10" s="193">
        <v>0</v>
      </c>
      <c r="G10" s="193">
        <v>0</v>
      </c>
      <c r="H10" s="193">
        <v>0</v>
      </c>
      <c r="I10" s="193">
        <v>0</v>
      </c>
      <c r="J10" s="193">
        <v>0</v>
      </c>
      <c r="K10" s="193">
        <v>0</v>
      </c>
      <c r="L10" s="193">
        <v>0</v>
      </c>
      <c r="M10" s="193">
        <v>0</v>
      </c>
      <c r="N10" s="197">
        <f t="shared" si="0"/>
        <v>0</v>
      </c>
    </row>
    <row r="11" spans="1:14" ht="15">
      <c r="A11" s="218" t="s">
        <v>196</v>
      </c>
      <c r="B11" s="193">
        <v>0</v>
      </c>
      <c r="C11" s="193">
        <v>0</v>
      </c>
      <c r="D11" s="193">
        <v>0</v>
      </c>
      <c r="E11" s="193">
        <v>0</v>
      </c>
      <c r="F11" s="193">
        <v>0</v>
      </c>
      <c r="G11" s="193">
        <v>0</v>
      </c>
      <c r="H11" s="193">
        <v>0</v>
      </c>
      <c r="I11" s="193">
        <v>0</v>
      </c>
      <c r="J11" s="193">
        <v>0</v>
      </c>
      <c r="K11" s="193">
        <v>0</v>
      </c>
      <c r="L11" s="193">
        <v>0</v>
      </c>
      <c r="M11" s="193">
        <v>0</v>
      </c>
      <c r="N11" s="197">
        <f t="shared" si="0"/>
        <v>0</v>
      </c>
    </row>
    <row r="12" spans="1:14" ht="15">
      <c r="A12" s="218" t="s">
        <v>197</v>
      </c>
      <c r="B12" s="193">
        <v>0</v>
      </c>
      <c r="C12" s="193">
        <v>0</v>
      </c>
      <c r="D12" s="193">
        <v>0</v>
      </c>
      <c r="E12" s="193">
        <v>0</v>
      </c>
      <c r="F12" s="193">
        <v>0</v>
      </c>
      <c r="G12" s="193">
        <v>0</v>
      </c>
      <c r="H12" s="193">
        <v>0</v>
      </c>
      <c r="I12" s="193">
        <v>0</v>
      </c>
      <c r="J12" s="193">
        <v>0</v>
      </c>
      <c r="K12" s="193">
        <v>0</v>
      </c>
      <c r="L12" s="193">
        <v>0</v>
      </c>
      <c r="M12" s="193">
        <v>0</v>
      </c>
      <c r="N12" s="197">
        <f t="shared" si="0"/>
        <v>0</v>
      </c>
    </row>
    <row r="13" spans="1:14" ht="15">
      <c r="A13" s="218">
        <v>3741</v>
      </c>
      <c r="B13" s="193">
        <v>0</v>
      </c>
      <c r="C13" s="193">
        <v>0</v>
      </c>
      <c r="D13" s="193">
        <v>0</v>
      </c>
      <c r="E13" s="193">
        <v>0</v>
      </c>
      <c r="F13" s="193">
        <v>0</v>
      </c>
      <c r="G13" s="193">
        <v>0</v>
      </c>
      <c r="H13" s="193">
        <v>0</v>
      </c>
      <c r="I13" s="193">
        <v>0</v>
      </c>
      <c r="J13" s="193">
        <v>0</v>
      </c>
      <c r="K13" s="193">
        <v>0</v>
      </c>
      <c r="L13" s="193">
        <v>0</v>
      </c>
      <c r="M13" s="193">
        <v>0</v>
      </c>
      <c r="N13" s="197">
        <f t="shared" si="0"/>
        <v>0</v>
      </c>
    </row>
    <row r="14" spans="1:14" ht="15">
      <c r="A14" s="218" t="s">
        <v>198</v>
      </c>
      <c r="B14" s="193">
        <v>0</v>
      </c>
      <c r="C14" s="193">
        <v>0</v>
      </c>
      <c r="D14" s="193">
        <v>21687.489999999998</v>
      </c>
      <c r="E14" s="193">
        <v>0</v>
      </c>
      <c r="F14" s="193">
        <v>0</v>
      </c>
      <c r="G14" s="193">
        <v>21687.48</v>
      </c>
      <c r="H14" s="193">
        <v>0</v>
      </c>
      <c r="I14" s="193">
        <v>0</v>
      </c>
      <c r="J14" s="193">
        <v>0</v>
      </c>
      <c r="K14" s="193">
        <v>0</v>
      </c>
      <c r="L14" s="193">
        <v>0</v>
      </c>
      <c r="M14" s="193">
        <v>0</v>
      </c>
      <c r="N14" s="197">
        <f t="shared" si="0"/>
        <v>43374.970000000001</v>
      </c>
    </row>
    <row r="15" spans="1:14" ht="15">
      <c r="A15" s="218">
        <v>3761</v>
      </c>
      <c r="B15" s="193">
        <v>213870.22000001394</v>
      </c>
      <c r="C15" s="193">
        <v>268769.48999998596</v>
      </c>
      <c r="D15" s="193">
        <v>2624128.0200000019</v>
      </c>
      <c r="E15" s="193">
        <v>488366.5700000021</v>
      </c>
      <c r="F15" s="193">
        <v>488366.57000001194</v>
      </c>
      <c r="G15" s="193">
        <v>2208691.579999995</v>
      </c>
      <c r="H15" s="193">
        <v>543265.83999999193</v>
      </c>
      <c r="I15" s="193">
        <v>543265.84000001196</v>
      </c>
      <c r="J15" s="193">
        <v>838105.18000000482</v>
      </c>
      <c r="K15" s="193">
        <v>543265.83999999193</v>
      </c>
      <c r="L15" s="193">
        <v>488366.57000000204</v>
      </c>
      <c r="M15" s="193">
        <v>1441997.150000002</v>
      </c>
      <c r="N15" s="197">
        <f t="shared" si="0"/>
        <v>10690458.870000016</v>
      </c>
    </row>
    <row r="16" spans="1:14" ht="15">
      <c r="A16" s="218">
        <v>3762</v>
      </c>
      <c r="B16" s="193">
        <v>0</v>
      </c>
      <c r="C16" s="193">
        <v>0</v>
      </c>
      <c r="D16" s="193">
        <v>203288.20999999999</v>
      </c>
      <c r="E16" s="193">
        <v>0</v>
      </c>
      <c r="F16" s="193">
        <v>0</v>
      </c>
      <c r="G16" s="193">
        <v>28844.010000000002</v>
      </c>
      <c r="H16" s="193">
        <v>0</v>
      </c>
      <c r="I16" s="193">
        <v>0</v>
      </c>
      <c r="J16" s="193">
        <v>0</v>
      </c>
      <c r="K16" s="193">
        <v>0</v>
      </c>
      <c r="L16" s="193">
        <v>0</v>
      </c>
      <c r="M16" s="193">
        <v>0</v>
      </c>
      <c r="N16" s="197">
        <f t="shared" si="0"/>
        <v>232132.22</v>
      </c>
    </row>
    <row r="17" spans="1:14" ht="15">
      <c r="A17" s="218" t="s">
        <v>87</v>
      </c>
      <c r="B17" s="193">
        <v>879049</v>
      </c>
      <c r="C17" s="193">
        <v>966348</v>
      </c>
      <c r="D17" s="193">
        <v>1718500</v>
      </c>
      <c r="E17" s="193">
        <v>755000</v>
      </c>
      <c r="F17" s="193">
        <v>540000</v>
      </c>
      <c r="G17" s="193">
        <v>265000</v>
      </c>
      <c r="H17" s="193">
        <v>250000</v>
      </c>
      <c r="I17" s="193">
        <v>0</v>
      </c>
      <c r="J17" s="193">
        <v>0</v>
      </c>
      <c r="K17" s="193">
        <v>0</v>
      </c>
      <c r="L17" s="193">
        <v>0</v>
      </c>
      <c r="M17" s="193">
        <v>0</v>
      </c>
      <c r="N17" s="197">
        <f t="shared" si="0"/>
        <v>5373897</v>
      </c>
    </row>
    <row r="18" spans="1:14" ht="15">
      <c r="A18" s="218" t="s">
        <v>199</v>
      </c>
      <c r="B18" s="193">
        <v>29045.25</v>
      </c>
      <c r="C18" s="193">
        <v>38727</v>
      </c>
      <c r="D18" s="193">
        <v>48408.75</v>
      </c>
      <c r="E18" s="193">
        <v>77454</v>
      </c>
      <c r="F18" s="193">
        <v>77454</v>
      </c>
      <c r="G18" s="193">
        <v>77454</v>
      </c>
      <c r="H18" s="193">
        <v>87135.75</v>
      </c>
      <c r="I18" s="193">
        <v>87135.75</v>
      </c>
      <c r="J18" s="193">
        <v>87135.75</v>
      </c>
      <c r="K18" s="193">
        <v>87135.75</v>
      </c>
      <c r="L18" s="193">
        <v>77454</v>
      </c>
      <c r="M18" s="193">
        <v>1307360</v>
      </c>
      <c r="N18" s="197">
        <f t="shared" si="0"/>
        <v>2081900</v>
      </c>
    </row>
    <row r="19" spans="1:14" ht="15">
      <c r="A19" s="218" t="s">
        <v>200</v>
      </c>
      <c r="B19" s="193">
        <v>0</v>
      </c>
      <c r="C19" s="193">
        <v>0</v>
      </c>
      <c r="D19" s="193">
        <v>17068.91</v>
      </c>
      <c r="E19" s="193">
        <v>0</v>
      </c>
      <c r="F19" s="193">
        <v>0</v>
      </c>
      <c r="G19" s="193">
        <v>17068.889999999999</v>
      </c>
      <c r="H19" s="193">
        <v>0</v>
      </c>
      <c r="I19" s="193">
        <v>0</v>
      </c>
      <c r="J19" s="193">
        <v>0</v>
      </c>
      <c r="K19" s="193">
        <v>0</v>
      </c>
      <c r="L19" s="193">
        <v>0</v>
      </c>
      <c r="M19" s="193">
        <v>631800</v>
      </c>
      <c r="N19" s="197">
        <f t="shared" si="0"/>
        <v>665937.80000000005</v>
      </c>
    </row>
    <row r="20" spans="1:14" ht="15">
      <c r="A20" s="218">
        <v>3801</v>
      </c>
      <c r="B20" s="193">
        <v>106883.14563098353</v>
      </c>
      <c r="C20" s="193">
        <v>141903.13488234623</v>
      </c>
      <c r="D20" s="193">
        <v>176923.34534024296</v>
      </c>
      <c r="E20" s="193">
        <v>281983.53430085734</v>
      </c>
      <c r="F20" s="193">
        <v>281983.64490412775</v>
      </c>
      <c r="G20" s="193">
        <v>281983.53430085734</v>
      </c>
      <c r="H20" s="193">
        <v>317003.74475875596</v>
      </c>
      <c r="I20" s="193">
        <v>317003.63415548753</v>
      </c>
      <c r="J20" s="193">
        <v>317003.74475875404</v>
      </c>
      <c r="K20" s="193">
        <v>317003.63415548753</v>
      </c>
      <c r="L20" s="193">
        <v>281983.64490412577</v>
      </c>
      <c r="M20" s="193">
        <v>702224.73255639838</v>
      </c>
      <c r="N20" s="197">
        <f t="shared" si="0"/>
        <v>3523883.4746484249</v>
      </c>
    </row>
    <row r="21" spans="1:14" ht="15">
      <c r="A21" s="218">
        <v>3802</v>
      </c>
      <c r="B21" s="193">
        <v>0</v>
      </c>
      <c r="C21" s="193">
        <v>0</v>
      </c>
      <c r="D21" s="193">
        <v>17302.239999999998</v>
      </c>
      <c r="E21" s="193">
        <v>0</v>
      </c>
      <c r="F21" s="193">
        <v>0</v>
      </c>
      <c r="G21" s="193">
        <v>17302.260000000002</v>
      </c>
      <c r="H21" s="193">
        <v>0</v>
      </c>
      <c r="I21" s="193">
        <v>0</v>
      </c>
      <c r="J21" s="193">
        <v>0</v>
      </c>
      <c r="K21" s="193">
        <v>0</v>
      </c>
      <c r="L21" s="193">
        <v>0</v>
      </c>
      <c r="M21" s="193">
        <v>0</v>
      </c>
      <c r="N21" s="197">
        <f t="shared" si="0"/>
        <v>34604.5</v>
      </c>
    </row>
    <row r="22" spans="1:14" ht="15">
      <c r="A22" s="218" t="s">
        <v>95</v>
      </c>
      <c r="B22" s="193">
        <v>192112</v>
      </c>
      <c r="C22" s="193">
        <v>218573</v>
      </c>
      <c r="D22" s="193">
        <v>1050000</v>
      </c>
      <c r="E22" s="193">
        <v>550000</v>
      </c>
      <c r="F22" s="193">
        <v>550000</v>
      </c>
      <c r="G22" s="193">
        <v>450000</v>
      </c>
      <c r="H22" s="193">
        <v>400000</v>
      </c>
      <c r="I22" s="193">
        <v>300000</v>
      </c>
      <c r="J22" s="193">
        <v>300000</v>
      </c>
      <c r="K22" s="193">
        <v>100000</v>
      </c>
      <c r="L22" s="193">
        <v>0</v>
      </c>
      <c r="M22" s="193">
        <v>0</v>
      </c>
      <c r="N22" s="197">
        <f t="shared" si="0"/>
        <v>4110685</v>
      </c>
    </row>
    <row r="23" spans="1:14" ht="15">
      <c r="A23" s="218" t="s">
        <v>201</v>
      </c>
      <c r="B23" s="193">
        <v>29379.734812679068</v>
      </c>
      <c r="C23" s="193">
        <v>39115.08982582068</v>
      </c>
      <c r="D23" s="193">
        <v>48850.444838961848</v>
      </c>
      <c r="E23" s="193">
        <v>78056.509878386219</v>
      </c>
      <c r="F23" s="193">
        <v>78056.509878385783</v>
      </c>
      <c r="G23" s="193">
        <v>78056.509878386234</v>
      </c>
      <c r="H23" s="193">
        <v>87791.864891527395</v>
      </c>
      <c r="I23" s="193">
        <v>87791.864891527395</v>
      </c>
      <c r="J23" s="193">
        <v>87791.864891526959</v>
      </c>
      <c r="K23" s="193">
        <v>87791.864891527832</v>
      </c>
      <c r="L23" s="193">
        <v>78056.509878386234</v>
      </c>
      <c r="M23" s="193">
        <v>194880.77003608164</v>
      </c>
      <c r="N23" s="197">
        <f t="shared" si="0"/>
        <v>975619.53859319724</v>
      </c>
    </row>
    <row r="24" spans="1:14" ht="15">
      <c r="A24" s="218">
        <v>3811</v>
      </c>
      <c r="B24" s="193">
        <v>0</v>
      </c>
      <c r="C24" s="193">
        <v>0</v>
      </c>
      <c r="D24" s="193">
        <v>0</v>
      </c>
      <c r="E24" s="193">
        <v>0</v>
      </c>
      <c r="F24" s="193">
        <v>0</v>
      </c>
      <c r="G24" s="193">
        <v>0</v>
      </c>
      <c r="H24" s="193">
        <v>11083</v>
      </c>
      <c r="I24" s="193">
        <v>11083</v>
      </c>
      <c r="J24" s="193">
        <v>11083</v>
      </c>
      <c r="K24" s="193">
        <v>11083</v>
      </c>
      <c r="L24" s="193">
        <v>11083</v>
      </c>
      <c r="M24" s="193">
        <v>11083</v>
      </c>
      <c r="N24" s="197">
        <f t="shared" si="0"/>
        <v>66498</v>
      </c>
    </row>
    <row r="25" spans="1:14" ht="15">
      <c r="A25" s="218" t="s">
        <v>202</v>
      </c>
      <c r="B25" s="193">
        <v>10085.079183394671</v>
      </c>
      <c r="C25" s="193">
        <v>12081.821641123573</v>
      </c>
      <c r="D25" s="193">
        <v>14078.564098848638</v>
      </c>
      <c r="E25" s="193">
        <v>20068.791472031502</v>
      </c>
      <c r="F25" s="193">
        <v>20068.791472031393</v>
      </c>
      <c r="G25" s="193">
        <v>20068.791472029639</v>
      </c>
      <c r="H25" s="193">
        <v>22065.533929758429</v>
      </c>
      <c r="I25" s="193">
        <v>22065.533929756566</v>
      </c>
      <c r="J25" s="193">
        <v>22065.53392975832</v>
      </c>
      <c r="K25" s="193">
        <v>22065.533929758538</v>
      </c>
      <c r="L25" s="193">
        <v>20068.791472029639</v>
      </c>
      <c r="M25" s="193">
        <v>44029.700964755066</v>
      </c>
      <c r="N25" s="197">
        <f t="shared" si="0"/>
        <v>248812.46749527595</v>
      </c>
    </row>
    <row r="26" spans="1:14" ht="15">
      <c r="A26" s="218">
        <v>3821</v>
      </c>
      <c r="B26" s="193">
        <v>0</v>
      </c>
      <c r="C26" s="193">
        <v>0</v>
      </c>
      <c r="D26" s="193">
        <v>0</v>
      </c>
      <c r="E26" s="193">
        <v>0</v>
      </c>
      <c r="F26" s="193">
        <v>0</v>
      </c>
      <c r="G26" s="193">
        <v>0</v>
      </c>
      <c r="H26" s="193">
        <v>0</v>
      </c>
      <c r="I26" s="193">
        <v>0</v>
      </c>
      <c r="J26" s="193">
        <v>0</v>
      </c>
      <c r="K26" s="193">
        <v>0</v>
      </c>
      <c r="L26" s="193">
        <v>0</v>
      </c>
      <c r="M26" s="193">
        <v>0</v>
      </c>
      <c r="N26" s="197">
        <f t="shared" si="0"/>
        <v>0</v>
      </c>
    </row>
    <row r="27" spans="1:14" ht="15">
      <c r="A27" s="218" t="s">
        <v>203</v>
      </c>
      <c r="B27" s="193">
        <v>6700.4874460831306</v>
      </c>
      <c r="C27" s="193">
        <v>8067.7697698375368</v>
      </c>
      <c r="D27" s="193">
        <v>9435.0520935915465</v>
      </c>
      <c r="E27" s="193">
        <v>13536.899064851015</v>
      </c>
      <c r="F27" s="193">
        <v>13536.899064852198</v>
      </c>
      <c r="G27" s="193">
        <v>13536.899064851015</v>
      </c>
      <c r="H27" s="193">
        <v>14904.181388606014</v>
      </c>
      <c r="I27" s="193">
        <v>14904.181388606014</v>
      </c>
      <c r="J27" s="193">
        <v>14904.181388604433</v>
      </c>
      <c r="K27" s="193">
        <v>14904.181388606014</v>
      </c>
      <c r="L27" s="193">
        <v>13536.899064851015</v>
      </c>
      <c r="M27" s="193">
        <v>29944.286949895202</v>
      </c>
      <c r="N27" s="197">
        <f t="shared" si="0"/>
        <v>167911.91807323514</v>
      </c>
    </row>
    <row r="28" spans="1:14" ht="15">
      <c r="A28" s="218" t="s">
        <v>204</v>
      </c>
      <c r="B28" s="193">
        <v>1120.5643537099897</v>
      </c>
      <c r="C28" s="193">
        <v>1342.4246267907381</v>
      </c>
      <c r="D28" s="193">
        <v>1564.2848998714221</v>
      </c>
      <c r="E28" s="193">
        <v>2229.865719113021</v>
      </c>
      <c r="F28" s="193">
        <v>2229.8657191132279</v>
      </c>
      <c r="G28" s="193">
        <v>2229.865719113021</v>
      </c>
      <c r="H28" s="193">
        <v>2451.7259921938726</v>
      </c>
      <c r="I28" s="193">
        <v>2451.7259921938726</v>
      </c>
      <c r="J28" s="193">
        <v>2451.7259921936011</v>
      </c>
      <c r="K28" s="193">
        <v>2451.7259921938726</v>
      </c>
      <c r="L28" s="193">
        <v>2229.865719113021</v>
      </c>
      <c r="M28" s="193">
        <v>4892.1889960805156</v>
      </c>
      <c r="N28" s="197">
        <f t="shared" si="0"/>
        <v>27645.829721680177</v>
      </c>
    </row>
    <row r="29" spans="1:14" ht="15">
      <c r="A29" s="218" t="s">
        <v>205</v>
      </c>
      <c r="B29" s="193">
        <v>0</v>
      </c>
      <c r="C29" s="193">
        <v>0</v>
      </c>
      <c r="D29" s="193">
        <v>0</v>
      </c>
      <c r="E29" s="193">
        <v>0</v>
      </c>
      <c r="F29" s="193">
        <v>0</v>
      </c>
      <c r="G29" s="193">
        <v>0</v>
      </c>
      <c r="H29" s="193">
        <v>0</v>
      </c>
      <c r="I29" s="193">
        <v>0</v>
      </c>
      <c r="J29" s="193">
        <v>0</v>
      </c>
      <c r="K29" s="193">
        <v>0</v>
      </c>
      <c r="L29" s="193">
        <v>0</v>
      </c>
      <c r="M29" s="193">
        <v>37850</v>
      </c>
      <c r="N29" s="197">
        <f t="shared" si="0"/>
        <v>37850</v>
      </c>
    </row>
    <row r="30" spans="1:14" ht="15">
      <c r="A30" s="218" t="s">
        <v>206</v>
      </c>
      <c r="B30" s="193">
        <v>10632.000000000004</v>
      </c>
      <c r="C30" s="193">
        <v>14176.000000000004</v>
      </c>
      <c r="D30" s="193">
        <v>17720.000000000007</v>
      </c>
      <c r="E30" s="193">
        <v>28352.000000000007</v>
      </c>
      <c r="F30" s="193">
        <v>28352.000000000007</v>
      </c>
      <c r="G30" s="193">
        <v>28352.000000000007</v>
      </c>
      <c r="H30" s="193">
        <v>31896.000000000011</v>
      </c>
      <c r="I30" s="193">
        <v>31896.000000000011</v>
      </c>
      <c r="J30" s="193">
        <v>31896.000000000011</v>
      </c>
      <c r="K30" s="193">
        <v>31896.000000000011</v>
      </c>
      <c r="L30" s="193">
        <v>28352.000000000007</v>
      </c>
      <c r="M30" s="193">
        <v>70880.000000000029</v>
      </c>
      <c r="N30" s="197">
        <f t="shared" si="0"/>
        <v>354400.00000000012</v>
      </c>
    </row>
    <row r="31" spans="1:14" ht="15">
      <c r="A31" s="218" t="s">
        <v>207</v>
      </c>
      <c r="B31" s="193">
        <v>40283</v>
      </c>
      <c r="C31" s="193">
        <v>40933</v>
      </c>
      <c r="D31" s="193">
        <v>41583</v>
      </c>
      <c r="E31" s="193">
        <v>43533</v>
      </c>
      <c r="F31" s="193">
        <v>43533</v>
      </c>
      <c r="G31" s="193">
        <v>43533</v>
      </c>
      <c r="H31" s="193">
        <v>44183.000000000007</v>
      </c>
      <c r="I31" s="193">
        <v>44183</v>
      </c>
      <c r="J31" s="193">
        <v>44184</v>
      </c>
      <c r="K31" s="193">
        <v>44184</v>
      </c>
      <c r="L31" s="193">
        <v>43534</v>
      </c>
      <c r="M31" s="193">
        <v>51334</v>
      </c>
      <c r="N31" s="197">
        <f t="shared" si="0"/>
        <v>525000</v>
      </c>
    </row>
    <row r="32" spans="1:14" ht="15">
      <c r="A32" s="218" t="s">
        <v>208</v>
      </c>
      <c r="B32" s="193">
        <v>0</v>
      </c>
      <c r="C32" s="193">
        <v>0</v>
      </c>
      <c r="D32" s="193">
        <v>153394.22</v>
      </c>
      <c r="E32" s="193">
        <v>0</v>
      </c>
      <c r="F32" s="193">
        <v>0</v>
      </c>
      <c r="G32" s="193">
        <v>153394.23000000001</v>
      </c>
      <c r="H32" s="193">
        <v>0</v>
      </c>
      <c r="I32" s="193">
        <v>0</v>
      </c>
      <c r="J32" s="193">
        <v>0</v>
      </c>
      <c r="K32" s="193">
        <v>0</v>
      </c>
      <c r="L32" s="193">
        <v>0</v>
      </c>
      <c r="M32" s="193">
        <v>3175000</v>
      </c>
      <c r="N32" s="197">
        <f t="shared" si="0"/>
        <v>3481788.4500000002</v>
      </c>
    </row>
    <row r="33" spans="1:14" ht="15">
      <c r="A33" s="218">
        <v>3910</v>
      </c>
      <c r="B33" s="193">
        <v>3300.0000000000005</v>
      </c>
      <c r="C33" s="193">
        <v>4400</v>
      </c>
      <c r="D33" s="193">
        <v>5500</v>
      </c>
      <c r="E33" s="193">
        <v>8800</v>
      </c>
      <c r="F33" s="193">
        <v>1022176</v>
      </c>
      <c r="G33" s="193">
        <v>8800</v>
      </c>
      <c r="H33" s="193">
        <v>27740</v>
      </c>
      <c r="I33" s="193">
        <v>9900</v>
      </c>
      <c r="J33" s="193">
        <v>9899.9999999999909</v>
      </c>
      <c r="K33" s="193">
        <v>9900</v>
      </c>
      <c r="L33" s="193">
        <v>8800</v>
      </c>
      <c r="M33" s="193">
        <v>22000</v>
      </c>
      <c r="N33" s="197">
        <f t="shared" si="0"/>
        <v>1141216</v>
      </c>
    </row>
    <row r="34" spans="1:14" ht="15">
      <c r="A34" s="218">
        <v>3912</v>
      </c>
      <c r="B34" s="193">
        <v>0</v>
      </c>
      <c r="C34" s="193">
        <v>0</v>
      </c>
      <c r="D34" s="193">
        <v>0</v>
      </c>
      <c r="E34" s="193">
        <v>0</v>
      </c>
      <c r="F34" s="193">
        <v>0</v>
      </c>
      <c r="G34" s="193">
        <v>0</v>
      </c>
      <c r="H34" s="193">
        <v>0</v>
      </c>
      <c r="I34" s="193">
        <v>0</v>
      </c>
      <c r="J34" s="193">
        <v>0</v>
      </c>
      <c r="K34" s="193">
        <v>0</v>
      </c>
      <c r="L34" s="193">
        <v>0</v>
      </c>
      <c r="M34" s="193">
        <v>0</v>
      </c>
      <c r="N34" s="197">
        <f t="shared" si="0"/>
        <v>0</v>
      </c>
    </row>
    <row r="35" spans="1:14" ht="15">
      <c r="A35" s="218">
        <v>3913</v>
      </c>
      <c r="B35" s="193">
        <v>4500.0000000000009</v>
      </c>
      <c r="C35" s="193">
        <v>6000.0000000000009</v>
      </c>
      <c r="D35" s="193">
        <v>7500.0000000000009</v>
      </c>
      <c r="E35" s="193">
        <v>12000.000000000002</v>
      </c>
      <c r="F35" s="193">
        <v>12000.000000000002</v>
      </c>
      <c r="G35" s="193">
        <v>12000.000000000002</v>
      </c>
      <c r="H35" s="193">
        <v>13500.000000000002</v>
      </c>
      <c r="I35" s="193">
        <v>13500.000000000002</v>
      </c>
      <c r="J35" s="193">
        <v>13499.999999999982</v>
      </c>
      <c r="K35" s="193">
        <v>13500.000000000002</v>
      </c>
      <c r="L35" s="193">
        <v>12000.000000000002</v>
      </c>
      <c r="M35" s="193">
        <v>30000.000000000004</v>
      </c>
      <c r="N35" s="197">
        <f t="shared" si="0"/>
        <v>150000</v>
      </c>
    </row>
    <row r="36" spans="1:14" ht="15">
      <c r="A36" s="218">
        <v>3914</v>
      </c>
      <c r="B36" s="193">
        <v>2595</v>
      </c>
      <c r="C36" s="193">
        <v>3460</v>
      </c>
      <c r="D36" s="193">
        <v>4325</v>
      </c>
      <c r="E36" s="193">
        <v>6920</v>
      </c>
      <c r="F36" s="193">
        <v>6920</v>
      </c>
      <c r="G36" s="193">
        <v>6920</v>
      </c>
      <c r="H36" s="193">
        <v>7785</v>
      </c>
      <c r="I36" s="193">
        <v>7785</v>
      </c>
      <c r="J36" s="193">
        <v>7785</v>
      </c>
      <c r="K36" s="193">
        <v>7785</v>
      </c>
      <c r="L36" s="193">
        <v>6920</v>
      </c>
      <c r="M36" s="193">
        <v>17300</v>
      </c>
      <c r="N36" s="197">
        <f t="shared" si="0"/>
        <v>86500</v>
      </c>
    </row>
    <row r="37" spans="1:14" ht="15">
      <c r="A37" s="218">
        <v>3921</v>
      </c>
      <c r="B37" s="193">
        <v>0</v>
      </c>
      <c r="C37" s="193">
        <v>0</v>
      </c>
      <c r="D37" s="193">
        <v>0</v>
      </c>
      <c r="E37" s="193">
        <v>0</v>
      </c>
      <c r="F37" s="193">
        <v>0</v>
      </c>
      <c r="G37" s="193">
        <v>0</v>
      </c>
      <c r="H37" s="193">
        <v>0</v>
      </c>
      <c r="I37" s="193">
        <v>0</v>
      </c>
      <c r="J37" s="193">
        <v>0</v>
      </c>
      <c r="K37" s="193">
        <v>215000</v>
      </c>
      <c r="L37" s="193">
        <v>0</v>
      </c>
      <c r="M37" s="193">
        <v>0</v>
      </c>
      <c r="N37" s="197">
        <f t="shared" si="0"/>
        <v>215000</v>
      </c>
    </row>
    <row r="38" spans="1:14" ht="15">
      <c r="A38" s="218">
        <v>3922</v>
      </c>
      <c r="B38" s="193">
        <v>0</v>
      </c>
      <c r="C38" s="193">
        <v>0</v>
      </c>
      <c r="D38" s="193">
        <v>54331.68</v>
      </c>
      <c r="E38" s="193">
        <v>0</v>
      </c>
      <c r="F38" s="193">
        <v>0</v>
      </c>
      <c r="G38" s="193">
        <v>37810.889999999999</v>
      </c>
      <c r="H38" s="193">
        <v>0</v>
      </c>
      <c r="I38" s="193">
        <v>0</v>
      </c>
      <c r="J38" s="193">
        <v>0</v>
      </c>
      <c r="K38" s="193">
        <v>681750</v>
      </c>
      <c r="L38" s="193">
        <v>0</v>
      </c>
      <c r="M38" s="193">
        <v>0</v>
      </c>
      <c r="N38" s="197">
        <f t="shared" si="0"/>
        <v>773892.57000000007</v>
      </c>
    </row>
    <row r="39" spans="1:14" ht="15">
      <c r="A39" s="218">
        <v>3923</v>
      </c>
      <c r="B39" s="193">
        <v>0</v>
      </c>
      <c r="C39" s="193">
        <v>0</v>
      </c>
      <c r="D39" s="193">
        <v>0</v>
      </c>
      <c r="E39" s="193">
        <v>0</v>
      </c>
      <c r="F39" s="193">
        <v>0</v>
      </c>
      <c r="G39" s="193">
        <v>0</v>
      </c>
      <c r="H39" s="193">
        <v>0</v>
      </c>
      <c r="I39" s="193">
        <v>0</v>
      </c>
      <c r="J39" s="193">
        <v>0</v>
      </c>
      <c r="K39" s="193">
        <v>0</v>
      </c>
      <c r="L39" s="193">
        <v>0</v>
      </c>
      <c r="M39" s="193">
        <v>0</v>
      </c>
      <c r="N39" s="197">
        <f t="shared" si="0"/>
        <v>0</v>
      </c>
    </row>
    <row r="40" spans="1:14" ht="15">
      <c r="A40" s="218">
        <v>3924</v>
      </c>
      <c r="B40" s="193">
        <v>0</v>
      </c>
      <c r="C40" s="193">
        <v>0</v>
      </c>
      <c r="D40" s="193">
        <v>0</v>
      </c>
      <c r="E40" s="193">
        <v>0</v>
      </c>
      <c r="F40" s="193">
        <v>0</v>
      </c>
      <c r="G40" s="193">
        <v>0</v>
      </c>
      <c r="H40" s="193">
        <v>0</v>
      </c>
      <c r="I40" s="193">
        <v>0</v>
      </c>
      <c r="J40" s="193">
        <v>0</v>
      </c>
      <c r="K40" s="193">
        <v>0</v>
      </c>
      <c r="L40" s="193">
        <v>0</v>
      </c>
      <c r="M40" s="193">
        <v>0</v>
      </c>
      <c r="N40" s="197">
        <f t="shared" si="0"/>
        <v>0</v>
      </c>
    </row>
    <row r="41" spans="1:14" ht="15">
      <c r="A41" s="218" t="s">
        <v>209</v>
      </c>
      <c r="B41" s="193">
        <v>0</v>
      </c>
      <c r="C41" s="193">
        <v>0</v>
      </c>
      <c r="D41" s="193">
        <v>0</v>
      </c>
      <c r="E41" s="193">
        <v>0</v>
      </c>
      <c r="F41" s="193">
        <v>0</v>
      </c>
      <c r="G41" s="193">
        <v>0</v>
      </c>
      <c r="H41" s="193">
        <v>0</v>
      </c>
      <c r="I41" s="193">
        <v>0</v>
      </c>
      <c r="J41" s="193">
        <v>0</v>
      </c>
      <c r="K41" s="193">
        <v>0</v>
      </c>
      <c r="L41" s="193">
        <v>0</v>
      </c>
      <c r="M41" s="193">
        <v>0</v>
      </c>
      <c r="N41" s="197">
        <f t="shared" si="0"/>
        <v>0</v>
      </c>
    </row>
    <row r="42" spans="1:14" ht="15">
      <c r="A42" s="218" t="s">
        <v>210</v>
      </c>
      <c r="B42" s="193">
        <v>7662</v>
      </c>
      <c r="C42" s="193">
        <v>10216</v>
      </c>
      <c r="D42" s="193">
        <v>20822</v>
      </c>
      <c r="E42" s="193">
        <v>20432</v>
      </c>
      <c r="F42" s="193">
        <v>20432</v>
      </c>
      <c r="G42" s="193">
        <v>28483.669999999998</v>
      </c>
      <c r="H42" s="193">
        <v>22986</v>
      </c>
      <c r="I42" s="193">
        <v>22986</v>
      </c>
      <c r="J42" s="193">
        <v>22986</v>
      </c>
      <c r="K42" s="193">
        <v>22986</v>
      </c>
      <c r="L42" s="193">
        <v>20432</v>
      </c>
      <c r="M42" s="193">
        <v>51080</v>
      </c>
      <c r="N42" s="197">
        <f t="shared" si="0"/>
        <v>271503.66999999998</v>
      </c>
    </row>
    <row r="43" spans="1:14" ht="15">
      <c r="A43" s="218" t="s">
        <v>211</v>
      </c>
      <c r="B43" s="193">
        <v>0</v>
      </c>
      <c r="C43" s="193">
        <v>0</v>
      </c>
      <c r="D43" s="193">
        <v>0</v>
      </c>
      <c r="E43" s="193">
        <v>0</v>
      </c>
      <c r="F43" s="193">
        <v>0</v>
      </c>
      <c r="G43" s="193">
        <v>0</v>
      </c>
      <c r="H43" s="193">
        <v>0</v>
      </c>
      <c r="I43" s="193">
        <v>0</v>
      </c>
      <c r="J43" s="193">
        <v>0</v>
      </c>
      <c r="K43" s="193">
        <v>0</v>
      </c>
      <c r="L43" s="193">
        <v>0</v>
      </c>
      <c r="M43" s="193">
        <v>0</v>
      </c>
      <c r="N43" s="197">
        <f t="shared" si="0"/>
        <v>0</v>
      </c>
    </row>
    <row r="44" spans="1:14" ht="15">
      <c r="A44" s="218" t="s">
        <v>212</v>
      </c>
      <c r="B44" s="193">
        <v>3150</v>
      </c>
      <c r="C44" s="193">
        <v>4200</v>
      </c>
      <c r="D44" s="193">
        <v>131697</v>
      </c>
      <c r="E44" s="193">
        <v>8400</v>
      </c>
      <c r="F44" s="193">
        <v>8400</v>
      </c>
      <c r="G44" s="193">
        <v>134848</v>
      </c>
      <c r="H44" s="193">
        <v>9450</v>
      </c>
      <c r="I44" s="193">
        <v>9450</v>
      </c>
      <c r="J44" s="193">
        <v>9450</v>
      </c>
      <c r="K44" s="193">
        <v>9450</v>
      </c>
      <c r="L44" s="193">
        <v>8400</v>
      </c>
      <c r="M44" s="193">
        <v>21000</v>
      </c>
      <c r="N44" s="197">
        <f t="shared" si="0"/>
        <v>357895</v>
      </c>
    </row>
    <row r="45" spans="1:14" ht="15">
      <c r="A45" s="218" t="s">
        <v>213</v>
      </c>
      <c r="B45" s="193">
        <v>0</v>
      </c>
      <c r="C45" s="193">
        <v>0</v>
      </c>
      <c r="D45" s="193">
        <v>5500.0100000000002</v>
      </c>
      <c r="E45" s="193">
        <v>0</v>
      </c>
      <c r="F45" s="193">
        <v>0</v>
      </c>
      <c r="G45" s="193">
        <v>5499.9899999999998</v>
      </c>
      <c r="H45" s="193">
        <v>0</v>
      </c>
      <c r="I45" s="193">
        <v>0</v>
      </c>
      <c r="J45" s="193">
        <v>0</v>
      </c>
      <c r="K45" s="193">
        <v>0</v>
      </c>
      <c r="L45" s="193">
        <v>0</v>
      </c>
      <c r="M45" s="193">
        <v>0</v>
      </c>
      <c r="N45" s="197">
        <f t="shared" si="0"/>
        <v>11000</v>
      </c>
    </row>
    <row r="46" spans="1:14" ht="15">
      <c r="A46" s="218" t="s">
        <v>214</v>
      </c>
      <c r="B46" s="193">
        <v>15</v>
      </c>
      <c r="C46" s="193">
        <v>20</v>
      </c>
      <c r="D46" s="193">
        <v>25</v>
      </c>
      <c r="E46" s="193">
        <v>40</v>
      </c>
      <c r="F46" s="193">
        <v>40</v>
      </c>
      <c r="G46" s="193">
        <v>40</v>
      </c>
      <c r="H46" s="193">
        <v>45</v>
      </c>
      <c r="I46" s="193">
        <v>45</v>
      </c>
      <c r="J46" s="193">
        <v>45</v>
      </c>
      <c r="K46" s="193">
        <v>45</v>
      </c>
      <c r="L46" s="193">
        <v>40</v>
      </c>
      <c r="M46" s="193">
        <v>100</v>
      </c>
      <c r="N46" s="197">
        <f t="shared" si="0"/>
        <v>500</v>
      </c>
    </row>
    <row r="47" spans="1:14" ht="15">
      <c r="A47" s="218" t="s">
        <v>215</v>
      </c>
      <c r="B47" s="193">
        <v>0</v>
      </c>
      <c r="C47" s="193">
        <v>0</v>
      </c>
      <c r="D47" s="193">
        <v>0</v>
      </c>
      <c r="E47" s="193">
        <v>0</v>
      </c>
      <c r="F47" s="193">
        <v>0</v>
      </c>
      <c r="G47" s="193">
        <v>0</v>
      </c>
      <c r="H47" s="193">
        <v>0</v>
      </c>
      <c r="I47" s="193">
        <v>0</v>
      </c>
      <c r="J47" s="193">
        <v>0</v>
      </c>
      <c r="K47" s="193">
        <v>0</v>
      </c>
      <c r="L47" s="193">
        <v>0</v>
      </c>
      <c r="M47" s="193">
        <v>0</v>
      </c>
      <c r="N47" s="197">
        <f t="shared" si="0"/>
        <v>0</v>
      </c>
    </row>
    <row r="48" spans="1:14" ht="15.75" thickBot="1">
      <c r="A48" s="191"/>
      <c r="B48" s="187">
        <f t="shared" si="1" ref="B48:N48">ROUND(SUM(B9:B47),0)</f>
        <v>1540382</v>
      </c>
      <c r="C48" s="187">
        <f t="shared" si="1"/>
        <v>1778333</v>
      </c>
      <c r="D48" s="187">
        <f t="shared" si="1"/>
        <v>6393633</v>
      </c>
      <c r="E48" s="187">
        <f t="shared" si="1"/>
        <v>2395173</v>
      </c>
      <c r="F48" s="187">
        <f t="shared" si="1"/>
        <v>3193549</v>
      </c>
      <c r="G48" s="187">
        <f t="shared" si="1"/>
        <v>3941606</v>
      </c>
      <c r="H48" s="187">
        <f t="shared" si="1"/>
        <v>1893287</v>
      </c>
      <c r="I48" s="187">
        <f t="shared" si="1"/>
        <v>1525447</v>
      </c>
      <c r="J48" s="187">
        <f t="shared" si="1"/>
        <v>1820287</v>
      </c>
      <c r="K48" s="187">
        <f t="shared" si="1"/>
        <v>2222198</v>
      </c>
      <c r="L48" s="187">
        <f t="shared" si="1"/>
        <v>1101257</v>
      </c>
      <c r="M48" s="187">
        <f t="shared" si="1"/>
        <v>7844756</v>
      </c>
      <c r="N48" s="217">
        <f t="shared" si="1"/>
        <v>35649907</v>
      </c>
    </row>
    <row r="50" spans="13:14" ht="15">
      <c r="M50" t="s">
        <v>328</v>
      </c>
      <c r="N50" s="371">
        <f>SUM(B9:M47)</f>
        <v>35649907.278531842</v>
      </c>
    </row>
    <row r="51" spans="14:14" ht="15">
      <c r="N51" s="371">
        <f>N48-N50</f>
        <v>-0.27853184193372726</v>
      </c>
    </row>
  </sheetData>
  <mergeCells count="5">
    <mergeCell ref="A6:N6"/>
    <mergeCell ref="A1:N1"/>
    <mergeCell ref="A2:N2"/>
    <mergeCell ref="A3:N3"/>
    <mergeCell ref="A4:N4"/>
  </mergeCells>
  <printOptions horizontalCentered="1"/>
  <pageMargins left="0.5" right="0.5" top="1" bottom="0.5" header="0.5" footer="0.2"/>
  <pageSetup orientation="landscape" scale="72" r:id="rId1"/>
  <headerFooter>
    <oddHeader>&amp;L&amp;"Arial,Bold"&amp;12Florida Public Utilities Natural Gas Division
2023 Consolidated Depreciation Study Workbook
Docket No. 20220067&amp;R&amp;"Arial,Bold"&amp;12Revised Exhibit PSL-2
Page &amp;P of 93
Schedule H</oddHeader>
    <oddFooter>&amp;C&amp;A</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55"/>
  <sheetViews>
    <sheetView workbookViewId="0" topLeftCell="A1">
      <selection pane="topLeft" activeCell="A4" sqref="A4:Q4"/>
    </sheetView>
  </sheetViews>
  <sheetFormatPr defaultRowHeight="15"/>
  <cols>
    <col min="2" max="4" width="13" bestFit="1" customWidth="1"/>
    <col min="5" max="5" width="13" customWidth="1"/>
    <col min="6" max="14" width="13" bestFit="1" customWidth="1"/>
    <col min="15" max="15" width="13" customWidth="1"/>
    <col min="16" max="16" width="13" bestFit="1" customWidth="1"/>
    <col min="17" max="17" width="11.5714285714286" bestFit="1" customWidth="1"/>
  </cols>
  <sheetData>
    <row r="1" spans="1:17" s="646" customFormat="1" ht="19.5" thickTop="1">
      <c r="A1" s="956" t="s">
        <v>56</v>
      </c>
      <c r="B1" s="957"/>
      <c r="C1" s="957"/>
      <c r="D1" s="957"/>
      <c r="E1" s="957"/>
      <c r="F1" s="957"/>
      <c r="G1" s="957"/>
      <c r="H1" s="957"/>
      <c r="I1" s="957"/>
      <c r="J1" s="957"/>
      <c r="K1" s="957"/>
      <c r="L1" s="957"/>
      <c r="M1" s="957"/>
      <c r="N1" s="957"/>
      <c r="O1" s="957"/>
      <c r="P1" s="957"/>
      <c r="Q1" s="958"/>
    </row>
    <row r="2" spans="1:17" s="375" customFormat="1" ht="15">
      <c r="A2" s="968" t="str">
        <f>Input!B3</f>
        <v>FPUC, FPUC - Common, FPUC - Indiantown, Florida Division of Chesapeake Utilities Corporation, FPUC - Ft Meade</v>
      </c>
      <c r="B2" s="969"/>
      <c r="C2" s="969"/>
      <c r="D2" s="969"/>
      <c r="E2" s="969"/>
      <c r="F2" s="969"/>
      <c r="G2" s="969"/>
      <c r="H2" s="969"/>
      <c r="I2" s="969"/>
      <c r="J2" s="969"/>
      <c r="K2" s="969"/>
      <c r="L2" s="969"/>
      <c r="M2" s="969"/>
      <c r="N2" s="969"/>
      <c r="O2" s="969"/>
      <c r="P2" s="969"/>
      <c r="Q2" s="970"/>
    </row>
    <row r="3" spans="1:17" s="647" customFormat="1" ht="15.75">
      <c r="A3" s="962" t="s">
        <v>698</v>
      </c>
      <c r="B3" s="963"/>
      <c r="C3" s="963"/>
      <c r="D3" s="963"/>
      <c r="E3" s="963"/>
      <c r="F3" s="963"/>
      <c r="G3" s="963"/>
      <c r="H3" s="963"/>
      <c r="I3" s="963"/>
      <c r="J3" s="963"/>
      <c r="K3" s="963"/>
      <c r="L3" s="963"/>
      <c r="M3" s="963"/>
      <c r="N3" s="963"/>
      <c r="O3" s="963"/>
      <c r="P3" s="963"/>
      <c r="Q3" s="964"/>
    </row>
    <row r="4" spans="1:17" s="647" customFormat="1" ht="15.75">
      <c r="A4" s="965">
        <v>2022</v>
      </c>
      <c r="B4" s="966"/>
      <c r="C4" s="966"/>
      <c r="D4" s="966"/>
      <c r="E4" s="966"/>
      <c r="F4" s="966"/>
      <c r="G4" s="966"/>
      <c r="H4" s="966"/>
      <c r="I4" s="966"/>
      <c r="J4" s="966"/>
      <c r="K4" s="966"/>
      <c r="L4" s="966"/>
      <c r="M4" s="966"/>
      <c r="N4" s="966"/>
      <c r="O4" s="966"/>
      <c r="P4" s="966"/>
      <c r="Q4" s="967"/>
    </row>
    <row r="5" spans="1:17" ht="15.75" thickBot="1">
      <c r="A5" s="221"/>
      <c r="Q5" s="220"/>
    </row>
    <row r="6" spans="1:19" ht="15.75" thickTop="1">
      <c r="A6" s="917" t="s">
        <v>177</v>
      </c>
      <c r="B6" s="918"/>
      <c r="C6" s="918"/>
      <c r="D6" s="918"/>
      <c r="E6" s="918"/>
      <c r="F6" s="918"/>
      <c r="G6" s="918"/>
      <c r="H6" s="918"/>
      <c r="I6" s="918"/>
      <c r="J6" s="918"/>
      <c r="K6" s="918"/>
      <c r="L6" s="918"/>
      <c r="M6" s="918"/>
      <c r="N6" s="918"/>
      <c r="O6" s="918"/>
      <c r="P6" s="918"/>
      <c r="Q6" s="919"/>
      <c r="S6" t="s">
        <v>328</v>
      </c>
    </row>
    <row r="7" spans="1:17" s="219" customFormat="1" ht="15">
      <c r="A7" s="208" t="s">
        <v>178</v>
      </c>
      <c r="B7" s="205" t="s">
        <v>179</v>
      </c>
      <c r="C7" s="205" t="s">
        <v>180</v>
      </c>
      <c r="D7" s="205" t="s">
        <v>180</v>
      </c>
      <c r="E7" s="205" t="s">
        <v>329</v>
      </c>
      <c r="F7" s="205" t="s">
        <v>180</v>
      </c>
      <c r="G7" s="205" t="s">
        <v>180</v>
      </c>
      <c r="H7" s="205" t="s">
        <v>180</v>
      </c>
      <c r="I7" s="205" t="s">
        <v>180</v>
      </c>
      <c r="J7" s="205" t="s">
        <v>180</v>
      </c>
      <c r="K7" s="205" t="s">
        <v>180</v>
      </c>
      <c r="L7" s="205" t="s">
        <v>180</v>
      </c>
      <c r="M7" s="205" t="s">
        <v>180</v>
      </c>
      <c r="N7" s="205" t="s">
        <v>180</v>
      </c>
      <c r="O7" s="205" t="s">
        <v>691</v>
      </c>
      <c r="P7" s="205" t="s">
        <v>180</v>
      </c>
      <c r="Q7" s="203" t="s">
        <v>330</v>
      </c>
    </row>
    <row r="8" spans="1:17" ht="15">
      <c r="A8" s="202" t="s">
        <v>181</v>
      </c>
      <c r="B8" s="326">
        <v>44561</v>
      </c>
      <c r="C8" s="199" t="s">
        <v>182</v>
      </c>
      <c r="D8" s="199" t="s">
        <v>183</v>
      </c>
      <c r="E8" s="199" t="s">
        <v>331</v>
      </c>
      <c r="F8" s="199" t="s">
        <v>184</v>
      </c>
      <c r="G8" s="199" t="s">
        <v>185</v>
      </c>
      <c r="H8" s="199" t="s">
        <v>186</v>
      </c>
      <c r="I8" s="199" t="s">
        <v>187</v>
      </c>
      <c r="J8" s="199" t="s">
        <v>188</v>
      </c>
      <c r="K8" s="199" t="s">
        <v>189</v>
      </c>
      <c r="L8" s="199" t="s">
        <v>190</v>
      </c>
      <c r="M8" s="199" t="s">
        <v>191</v>
      </c>
      <c r="N8" s="199" t="s">
        <v>192</v>
      </c>
      <c r="O8" s="199" t="s">
        <v>692</v>
      </c>
      <c r="P8" s="199" t="s">
        <v>193</v>
      </c>
      <c r="Q8" s="198" t="s">
        <v>224</v>
      </c>
    </row>
    <row r="9" spans="1:19" ht="15">
      <c r="A9" s="218">
        <v>3010</v>
      </c>
      <c r="B9" s="193">
        <f>'Sch. G 2021'!H9</f>
        <v>23328</v>
      </c>
      <c r="C9" s="193">
        <f>B9+'Sch. H'!B9-'Sch. F 2022 p2'!B9</f>
        <v>23328</v>
      </c>
      <c r="D9" s="193">
        <f>C9+'Sch. H'!C9-'Sch. F 2022 p2'!C9</f>
        <v>23328</v>
      </c>
      <c r="E9" s="193">
        <f>'Sch. G 2022'!F9</f>
        <v>0</v>
      </c>
      <c r="F9" s="193">
        <f>D9+'Sch. H'!D9-'Sch. F 2022 p2'!D9+E9</f>
        <v>23328</v>
      </c>
      <c r="G9" s="193">
        <f>F9+'Sch. H'!E9-'Sch. F 2022 p2'!E9</f>
        <v>23328</v>
      </c>
      <c r="H9" s="193">
        <f>G9+'Sch. H'!F9-'Sch. F 2022 p2'!F9</f>
        <v>23328</v>
      </c>
      <c r="I9" s="193">
        <f>H9+'Sch. H'!G9-'Sch. F 2022 p2'!G9</f>
        <v>23328</v>
      </c>
      <c r="J9" s="193">
        <f>I9+'Sch. H'!H9-'Sch. F 2022 p2'!H9</f>
        <v>23328</v>
      </c>
      <c r="K9" s="193">
        <f>J9+'Sch. H'!I9-'Sch. F 2022 p2'!I9</f>
        <v>23328</v>
      </c>
      <c r="L9" s="193">
        <f>K9+'Sch. H'!J9-'Sch. F 2022 p2'!J9</f>
        <v>23328</v>
      </c>
      <c r="M9" s="193">
        <f>L9+'Sch. H'!K9-'Sch. F 2022 p2'!K9</f>
        <v>23328</v>
      </c>
      <c r="N9" s="193">
        <f>M9+'Sch. H'!L9-'Sch. F 2022 p2'!L9</f>
        <v>23328</v>
      </c>
      <c r="O9" s="193"/>
      <c r="P9" s="193">
        <f>N9+'Sch. H'!M9-'Sch. F 2022 p2'!M9</f>
        <v>23328</v>
      </c>
      <c r="Q9" s="197">
        <f t="shared" si="0" ref="Q9:Q47">P9-B9</f>
        <v>0</v>
      </c>
      <c r="S9" s="371">
        <f>'Sch. G 2022'!H9-P9</f>
        <v>0</v>
      </c>
    </row>
    <row r="10" spans="1:19" ht="15">
      <c r="A10" s="218" t="s">
        <v>195</v>
      </c>
      <c r="B10" s="193">
        <f>'Sch. G 2021'!H10</f>
        <v>14132</v>
      </c>
      <c r="C10" s="193">
        <f>B10+'Sch. H'!B10-'Sch. F 2022 p2'!B10</f>
        <v>14132</v>
      </c>
      <c r="D10" s="193">
        <f>C10+'Sch. H'!C10-'Sch. F 2022 p2'!C10</f>
        <v>14132</v>
      </c>
      <c r="E10" s="193">
        <f>'Sch. G 2022'!F10</f>
        <v>0</v>
      </c>
      <c r="F10" s="193">
        <f>D10+'Sch. H'!D10-'Sch. F 2022 p2'!D10+E10</f>
        <v>14132</v>
      </c>
      <c r="G10" s="193">
        <f>F10+'Sch. H'!E10-'Sch. F 2022 p2'!E10</f>
        <v>14132</v>
      </c>
      <c r="H10" s="193">
        <f>G10+'Sch. H'!F10-'Sch. F 2022 p2'!F10</f>
        <v>14132</v>
      </c>
      <c r="I10" s="193">
        <f>H10+'Sch. H'!G10-'Sch. F 2022 p2'!G10</f>
        <v>14132</v>
      </c>
      <c r="J10" s="193">
        <f>I10+'Sch. H'!H10-'Sch. F 2022 p2'!H10</f>
        <v>14132</v>
      </c>
      <c r="K10" s="193">
        <f>J10+'Sch. H'!I10-'Sch. F 2022 p2'!I10</f>
        <v>14132</v>
      </c>
      <c r="L10" s="193">
        <f>K10+'Sch. H'!J10-'Sch. F 2022 p2'!J10</f>
        <v>14132</v>
      </c>
      <c r="M10" s="193">
        <f>L10+'Sch. H'!K10-'Sch. F 2022 p2'!K10</f>
        <v>14132</v>
      </c>
      <c r="N10" s="193">
        <f>M10+'Sch. H'!L10-'Sch. F 2022 p2'!L10</f>
        <v>14132</v>
      </c>
      <c r="O10" s="193"/>
      <c r="P10" s="193">
        <f>N10+'Sch. H'!M10-'Sch. F 2022 p2'!M10</f>
        <v>14132</v>
      </c>
      <c r="Q10" s="197">
        <f t="shared" si="0"/>
        <v>0</v>
      </c>
      <c r="S10" s="371">
        <f>'Sch. G 2022'!H10-P10</f>
        <v>0</v>
      </c>
    </row>
    <row r="11" spans="1:19" ht="15">
      <c r="A11" s="218" t="s">
        <v>196</v>
      </c>
      <c r="B11" s="193">
        <f>'Sch. G 2021'!H11</f>
        <v>213641</v>
      </c>
      <c r="C11" s="193">
        <f>B11+'Sch. H'!B11-'Sch. F 2022 p2'!B11</f>
        <v>213641</v>
      </c>
      <c r="D11" s="193">
        <f>C11+'Sch. H'!C11-'Sch. F 2022 p2'!C11</f>
        <v>213641</v>
      </c>
      <c r="E11" s="193">
        <f>'Sch. G 2022'!F11</f>
        <v>0</v>
      </c>
      <c r="F11" s="193">
        <f>D11+'Sch. H'!D11-'Sch. F 2022 p2'!D11+E11</f>
        <v>213641</v>
      </c>
      <c r="G11" s="193">
        <f>F11+'Sch. H'!E11-'Sch. F 2022 p2'!E11</f>
        <v>213641</v>
      </c>
      <c r="H11" s="193">
        <f>G11+'Sch. H'!F11-'Sch. F 2022 p2'!F11</f>
        <v>213641</v>
      </c>
      <c r="I11" s="193">
        <f>H11+'Sch. H'!G11-'Sch. F 2022 p2'!G11</f>
        <v>213641</v>
      </c>
      <c r="J11" s="193">
        <f>I11+'Sch. H'!H11-'Sch. F 2022 p2'!H11</f>
        <v>213641</v>
      </c>
      <c r="K11" s="193">
        <f>J11+'Sch. H'!I11-'Sch. F 2022 p2'!I11</f>
        <v>213641</v>
      </c>
      <c r="L11" s="193">
        <f>K11+'Sch. H'!J11-'Sch. F 2022 p2'!J11</f>
        <v>213641</v>
      </c>
      <c r="M11" s="193">
        <f>L11+'Sch. H'!K11-'Sch. F 2022 p2'!K11</f>
        <v>213641</v>
      </c>
      <c r="N11" s="193">
        <f>M11+'Sch. H'!L11-'Sch. F 2022 p2'!L11</f>
        <v>213641</v>
      </c>
      <c r="O11" s="193"/>
      <c r="P11" s="193">
        <f>N11+'Sch. H'!M11-'Sch. F 2022 p2'!M11</f>
        <v>213641</v>
      </c>
      <c r="Q11" s="197">
        <f t="shared" si="0"/>
        <v>0</v>
      </c>
      <c r="S11" s="371">
        <f>'Sch. G 2022'!H11-P11</f>
        <v>0</v>
      </c>
    </row>
    <row r="12" spans="1:19" ht="15">
      <c r="A12" s="218" t="s">
        <v>197</v>
      </c>
      <c r="B12" s="193">
        <f>'Sch. G 2021'!H12</f>
        <v>376799</v>
      </c>
      <c r="C12" s="193">
        <f>B12+'Sch. H'!B12-'Sch. F 2022 p2'!B12</f>
        <v>376799</v>
      </c>
      <c r="D12" s="193">
        <f>C12+'Sch. H'!C12-'Sch. F 2022 p2'!C12</f>
        <v>376799</v>
      </c>
      <c r="E12" s="193">
        <f>'Sch. G 2022'!F12</f>
        <v>0</v>
      </c>
      <c r="F12" s="193">
        <f>D12+'Sch. H'!D12-'Sch. F 2022 p2'!D12+E12</f>
        <v>376799</v>
      </c>
      <c r="G12" s="193">
        <f>F12+'Sch. H'!E12-'Sch. F 2022 p2'!E12</f>
        <v>376799</v>
      </c>
      <c r="H12" s="193">
        <f>G12+'Sch. H'!F12-'Sch. F 2022 p2'!F12</f>
        <v>376799</v>
      </c>
      <c r="I12" s="193">
        <f>H12+'Sch. H'!G12-'Sch. F 2022 p2'!G12</f>
        <v>376799</v>
      </c>
      <c r="J12" s="193">
        <f>I12+'Sch. H'!H12-'Sch. F 2022 p2'!H12</f>
        <v>376799</v>
      </c>
      <c r="K12" s="193">
        <f>J12+'Sch. H'!I12-'Sch. F 2022 p2'!I12</f>
        <v>376799</v>
      </c>
      <c r="L12" s="193">
        <f>K12+'Sch. H'!J12-'Sch. F 2022 p2'!J12</f>
        <v>376799</v>
      </c>
      <c r="M12" s="193">
        <f>L12+'Sch. H'!K12-'Sch. F 2022 p2'!K12</f>
        <v>376799</v>
      </c>
      <c r="N12" s="193">
        <f>M12+'Sch. H'!L12-'Sch. F 2022 p2'!L12</f>
        <v>376799</v>
      </c>
      <c r="O12" s="193"/>
      <c r="P12" s="193">
        <f>N12+'Sch. H'!M12-'Sch. F 2022 p2'!M12</f>
        <v>376799</v>
      </c>
      <c r="Q12" s="197">
        <f t="shared" si="0"/>
        <v>0</v>
      </c>
      <c r="S12" s="371">
        <f>'Sch. G 2022'!H12-P12</f>
        <v>0</v>
      </c>
    </row>
    <row r="13" spans="1:19" ht="15">
      <c r="A13" s="218">
        <v>3741</v>
      </c>
      <c r="B13" s="436">
        <f>'Sch. G 2021'!H13</f>
        <v>33410</v>
      </c>
      <c r="C13" s="436">
        <f>B13+'Sch. H'!B13-'Sch. F 2022 p2'!B13</f>
        <v>33410</v>
      </c>
      <c r="D13" s="436">
        <f>C13+'Sch. H'!C13-'Sch. F 2022 p2'!C13</f>
        <v>33410</v>
      </c>
      <c r="E13" s="436">
        <f>'Sch. G 2022'!F13</f>
        <v>0</v>
      </c>
      <c r="F13" s="436">
        <f>D13+'Sch. H'!D13-'Sch. F 2022 p2'!D13+E13</f>
        <v>33410</v>
      </c>
      <c r="G13" s="436">
        <f>F13+'Sch. H'!E13-'Sch. F 2022 p2'!E13</f>
        <v>33410</v>
      </c>
      <c r="H13" s="436">
        <f>G13+'Sch. H'!F13-'Sch. F 2022 p2'!F13</f>
        <v>33410</v>
      </c>
      <c r="I13" s="436">
        <f>H13+'Sch. H'!G13-'Sch. F 2022 p2'!G13</f>
        <v>33410</v>
      </c>
      <c r="J13" s="436">
        <f>I13+'Sch. H'!H13-'Sch. F 2022 p2'!H13</f>
        <v>33410</v>
      </c>
      <c r="K13" s="436">
        <f>J13+'Sch. H'!I13-'Sch. F 2022 p2'!I13</f>
        <v>33410</v>
      </c>
      <c r="L13" s="436">
        <f>K13+'Sch. H'!J13-'Sch. F 2022 p2'!J13</f>
        <v>33410</v>
      </c>
      <c r="M13" s="436">
        <f>L13+'Sch. H'!K13-'Sch. F 2022 p2'!K13</f>
        <v>33410</v>
      </c>
      <c r="N13" s="436">
        <f>M13+'Sch. H'!L13-'Sch. F 2022 p2'!L13</f>
        <v>33410</v>
      </c>
      <c r="O13" s="436"/>
      <c r="P13" s="436">
        <f>N13+'Sch. H'!M13-'Sch. F 2022 p2'!M13</f>
        <v>33410</v>
      </c>
      <c r="Q13" s="674">
        <f t="shared" si="0"/>
        <v>0</v>
      </c>
      <c r="S13" s="371">
        <f>'Sch. G 2022'!H13-P13</f>
        <v>0</v>
      </c>
    </row>
    <row r="14" spans="1:19" ht="15">
      <c r="A14" s="218" t="s">
        <v>198</v>
      </c>
      <c r="B14" s="436">
        <f>'Sch. G 2021'!H14</f>
        <v>1540583</v>
      </c>
      <c r="C14" s="436">
        <f>B14+'Sch. H'!B14-'Sch. F 2022 p2'!B14</f>
        <v>1540583</v>
      </c>
      <c r="D14" s="436">
        <f>C14+'Sch. H'!C14-'Sch. F 2022 p2'!C14</f>
        <v>1540583</v>
      </c>
      <c r="E14" s="436">
        <f>'Sch. G 2022'!F14</f>
        <v>-11239</v>
      </c>
      <c r="F14" s="436">
        <f>D14+'Sch. H'!D14-'Sch. F 2022 p2'!D14+E14</f>
        <v>1551031.49</v>
      </c>
      <c r="G14" s="436">
        <f>F14+'Sch. H'!E14-'Sch. F 2022 p2'!E14</f>
        <v>1551031.49</v>
      </c>
      <c r="H14" s="436">
        <f>G14+'Sch. H'!F14-'Sch. F 2022 p2'!F14</f>
        <v>1551031.49</v>
      </c>
      <c r="I14" s="436">
        <f>H14+'Sch. H'!G14-'Sch. F 2022 p2'!G14</f>
        <v>1572718.97</v>
      </c>
      <c r="J14" s="436">
        <f>I14+'Sch. H'!H14-'Sch. F 2022 p2'!H14</f>
        <v>1572718.97</v>
      </c>
      <c r="K14" s="436">
        <f>J14+'Sch. H'!I14-'Sch. F 2022 p2'!I14</f>
        <v>1572718.97</v>
      </c>
      <c r="L14" s="436">
        <f>K14+'Sch. H'!J14-'Sch. F 2022 p2'!J14</f>
        <v>1572718.97</v>
      </c>
      <c r="M14" s="436">
        <f>L14+'Sch. H'!K14-'Sch. F 2022 p2'!K14</f>
        <v>1572718.97</v>
      </c>
      <c r="N14" s="436">
        <f>M14+'Sch. H'!L14-'Sch. F 2022 p2'!L14</f>
        <v>1572718.97</v>
      </c>
      <c r="O14" s="436"/>
      <c r="P14" s="436">
        <f>N14+'Sch. H'!M14-'Sch. F 2022 p2'!M14</f>
        <v>1572718.97</v>
      </c>
      <c r="Q14" s="674">
        <f t="shared" si="0"/>
        <v>32135.969999999972</v>
      </c>
      <c r="S14" s="371">
        <f>'Sch. G 2022'!H14-P14</f>
        <v>0.030000000027939677</v>
      </c>
    </row>
    <row r="15" spans="1:19" ht="15">
      <c r="A15" s="218">
        <v>3761</v>
      </c>
      <c r="B15" s="436">
        <f>'Sch. G 2021'!H15</f>
        <v>115361926</v>
      </c>
      <c r="C15" s="436">
        <f>B15+'Sch. H'!B15-'Sch. F 2022 p2'!B15</f>
        <v>115556699.22000001</v>
      </c>
      <c r="D15" s="436">
        <f>C15+'Sch. H'!C15-'Sch. F 2022 p2'!C15</f>
        <v>115800890.70999999</v>
      </c>
      <c r="E15" s="436">
        <v>0</v>
      </c>
      <c r="F15" s="436">
        <f>D15+'Sch. H'!D15-'Sch. F 2022 p2'!D15+E15</f>
        <v>118162611.72999999</v>
      </c>
      <c r="G15" s="436">
        <f>F15+'Sch. H'!E15-'Sch. F 2022 p2'!E15</f>
        <v>118604472.3</v>
      </c>
      <c r="H15" s="436">
        <f>G15+'Sch. H'!F15-'Sch. F 2022 p2'!F15</f>
        <v>119046332.87</v>
      </c>
      <c r="I15" s="436">
        <f>H15+'Sch. H'!G15-'Sch. F 2022 p2'!G15</f>
        <v>121034765.45</v>
      </c>
      <c r="J15" s="436">
        <f>I15+'Sch. H'!H15-'Sch. F 2022 p2'!H15</f>
        <v>121526043.28999999</v>
      </c>
      <c r="K15" s="436">
        <f>J15+'Sch. H'!I15-'Sch. F 2022 p2'!I15</f>
        <v>122017321.13000001</v>
      </c>
      <c r="L15" s="436">
        <f>K15+'Sch. H'!J15-'Sch. F 2022 p2'!J15</f>
        <v>122773660.31000002</v>
      </c>
      <c r="M15" s="436">
        <f>L15+'Sch. H'!K15-'Sch. F 2022 p2'!K15</f>
        <v>123264938.15000001</v>
      </c>
      <c r="N15" s="436">
        <f>M15+'Sch. H'!L15-'Sch. F 2022 p2'!L15</f>
        <v>123706798.72000001</v>
      </c>
      <c r="O15" s="436">
        <f>'Sch. G 2022'!F15</f>
        <v>4080685.5600000005</v>
      </c>
      <c r="P15" s="436">
        <f>N15+'Sch. H'!M15-'Sch. F 2022 p2'!M15+O15</f>
        <v>129087416.43000002</v>
      </c>
      <c r="Q15" s="674">
        <f t="shared" si="0"/>
        <v>13725490.430000022</v>
      </c>
      <c r="S15" s="371">
        <f>'Sch. G 2022'!H15-P15</f>
        <v>-0.43000002205371857</v>
      </c>
    </row>
    <row r="16" spans="1:19" ht="15">
      <c r="A16" s="218">
        <v>3762</v>
      </c>
      <c r="B16" s="436">
        <f>'Sch. G 2021'!H16</f>
        <v>62159262</v>
      </c>
      <c r="C16" s="436">
        <f>B16+'Sch. H'!B16-'Sch. F 2022 p2'!B16</f>
        <v>62070478</v>
      </c>
      <c r="D16" s="436">
        <f>C16+'Sch. H'!C16-'Sch. F 2022 p2'!C16</f>
        <v>61972877</v>
      </c>
      <c r="E16" s="436">
        <f>'Sch. G 2022'!F16</f>
        <v>-14321.66</v>
      </c>
      <c r="F16" s="436">
        <f>D16+'Sch. H'!D16-'Sch. F 2022 p2'!D16+E16</f>
        <v>61967742.550000004</v>
      </c>
      <c r="G16" s="436">
        <f>F16+'Sch. H'!E16-'Sch. F 2022 p2'!E16</f>
        <v>61891487.550000004</v>
      </c>
      <c r="H16" s="436">
        <f>G16+'Sch. H'!F16-'Sch. F 2022 p2'!F16</f>
        <v>61836947.550000004</v>
      </c>
      <c r="I16" s="436">
        <f>H16+'Sch. H'!G16-'Sch. F 2022 p2'!G16</f>
        <v>61836113.560000002</v>
      </c>
      <c r="J16" s="436">
        <f>I16+'Sch. H'!H16-'Sch. F 2022 p2'!H16</f>
        <v>61810863.560000002</v>
      </c>
      <c r="K16" s="436">
        <f>J16+'Sch. H'!I16-'Sch. F 2022 p2'!I16</f>
        <v>61810863.560000002</v>
      </c>
      <c r="L16" s="436">
        <f>K16+'Sch. H'!J16-'Sch. F 2022 p2'!J16</f>
        <v>61810863.560000002</v>
      </c>
      <c r="M16" s="436">
        <f>L16+'Sch. H'!K16-'Sch. F 2022 p2'!K16</f>
        <v>61810863.560000002</v>
      </c>
      <c r="N16" s="436">
        <f>M16+'Sch. H'!L16-'Sch. F 2022 p2'!L16</f>
        <v>61810863.560000002</v>
      </c>
      <c r="O16" s="436"/>
      <c r="P16" s="436">
        <f>N16+'Sch. H'!M16-'Sch. F 2022 p2'!M16</f>
        <v>61810863.560000002</v>
      </c>
      <c r="Q16" s="674">
        <f t="shared" si="0"/>
        <v>-348398.43999999762</v>
      </c>
      <c r="S16" s="371">
        <f>'Sch. G 2022'!H16-P16</f>
        <v>0.43999999761581421</v>
      </c>
    </row>
    <row r="17" spans="1:19" ht="15">
      <c r="A17" s="218" t="s">
        <v>87</v>
      </c>
      <c r="B17" s="436">
        <f>'Sch. G 2021'!H17</f>
        <v>141518776</v>
      </c>
      <c r="C17" s="436">
        <f>B17+'Sch. H'!B17-'Sch. F 2022 p2'!B17</f>
        <v>142397825</v>
      </c>
      <c r="D17" s="436">
        <f>C17+'Sch. H'!C17-'Sch. F 2022 p2'!C17</f>
        <v>143364173</v>
      </c>
      <c r="E17" s="436">
        <f>'Sch. G 2022'!F17</f>
        <v>13355.5</v>
      </c>
      <c r="F17" s="436">
        <f>D17+'Sch. H'!D17-'Sch. F 2022 p2'!D17+E17</f>
        <v>145096028.5</v>
      </c>
      <c r="G17" s="436">
        <f>F17+'Sch. H'!E17-'Sch. F 2022 p2'!E17</f>
        <v>145851028.5</v>
      </c>
      <c r="H17" s="436">
        <f>G17+'Sch. H'!F17-'Sch. F 2022 p2'!F17</f>
        <v>146391028.5</v>
      </c>
      <c r="I17" s="436">
        <f>H17+'Sch. H'!G17-'Sch. F 2022 p2'!G17</f>
        <v>146656028.5</v>
      </c>
      <c r="J17" s="436">
        <f>I17+'Sch. H'!H17-'Sch. F 2022 p2'!H17</f>
        <v>146906028.5</v>
      </c>
      <c r="K17" s="436">
        <f>J17+'Sch. H'!I17-'Sch. F 2022 p2'!I17</f>
        <v>146906028.5</v>
      </c>
      <c r="L17" s="436">
        <f>K17+'Sch. H'!J17-'Sch. F 2022 p2'!J17</f>
        <v>146906028.5</v>
      </c>
      <c r="M17" s="436">
        <f>L17+'Sch. H'!K17-'Sch. F 2022 p2'!K17</f>
        <v>146906028.5</v>
      </c>
      <c r="N17" s="436">
        <f>M17+'Sch. H'!L17-'Sch. F 2022 p2'!L17</f>
        <v>146906028.5</v>
      </c>
      <c r="O17" s="436"/>
      <c r="P17" s="436">
        <f>N17+'Sch. H'!M17-'Sch. F 2022 p2'!M17</f>
        <v>146906028.5</v>
      </c>
      <c r="Q17" s="674">
        <f t="shared" si="0"/>
        <v>5387252.5</v>
      </c>
      <c r="S17" s="371">
        <f>'Sch. G 2022'!H17-P17</f>
        <v>0.5</v>
      </c>
    </row>
    <row r="18" spans="1:19" ht="15">
      <c r="A18" s="218" t="s">
        <v>199</v>
      </c>
      <c r="B18" s="436">
        <f>'Sch. G 2021'!H18</f>
        <v>4843208</v>
      </c>
      <c r="C18" s="436">
        <f>B18+'Sch. H'!B18-'Sch. F 2022 p2'!B18</f>
        <v>4872253.25</v>
      </c>
      <c r="D18" s="436">
        <f>C18+'Sch. H'!C18-'Sch. F 2022 p2'!C18</f>
        <v>4910980.25</v>
      </c>
      <c r="E18" s="436">
        <f>'Sch. G 2022'!F18</f>
        <v>-34254.760000000002</v>
      </c>
      <c r="F18" s="436">
        <f>D18+'Sch. H'!D18-'Sch. F 2022 p2'!D18+E18</f>
        <v>4925134.2400000002</v>
      </c>
      <c r="G18" s="436">
        <f>F18+'Sch. H'!E18-'Sch. F 2022 p2'!E18</f>
        <v>5002588.2400000002</v>
      </c>
      <c r="H18" s="436">
        <f>G18+'Sch. H'!F18-'Sch. F 2022 p2'!F18</f>
        <v>5080042.2400000002</v>
      </c>
      <c r="I18" s="436">
        <f>H18+'Sch. H'!G18-'Sch. F 2022 p2'!G18</f>
        <v>5157496.2400000002</v>
      </c>
      <c r="J18" s="436">
        <f>I18+'Sch. H'!H18-'Sch. F 2022 p2'!H18</f>
        <v>5244631.9900000002</v>
      </c>
      <c r="K18" s="436">
        <f>J18+'Sch. H'!I18-'Sch. F 2022 p2'!I18</f>
        <v>5331767.7400000002</v>
      </c>
      <c r="L18" s="436">
        <f>K18+'Sch. H'!J18-'Sch. F 2022 p2'!J18</f>
        <v>5418903.4900000002</v>
      </c>
      <c r="M18" s="436">
        <f>L18+'Sch. H'!K18-'Sch. F 2022 p2'!K18</f>
        <v>5506039.2400000002</v>
      </c>
      <c r="N18" s="436">
        <f>M18+'Sch. H'!L18-'Sch. F 2022 p2'!L18</f>
        <v>5583493.2400000002</v>
      </c>
      <c r="O18" s="436"/>
      <c r="P18" s="436">
        <f>N18+'Sch. H'!M18-'Sch. F 2022 p2'!M18</f>
        <v>6890853.2400000002</v>
      </c>
      <c r="Q18" s="674">
        <f t="shared" si="0"/>
        <v>2047645.2400000002</v>
      </c>
      <c r="S18" s="371">
        <f>'Sch. G 2022'!H18-P18</f>
        <v>-0.24000000022351742</v>
      </c>
    </row>
    <row r="19" spans="1:19" ht="15">
      <c r="A19" s="218" t="s">
        <v>200</v>
      </c>
      <c r="B19" s="436">
        <f>'Sch. G 2021'!H19</f>
        <v>14032716</v>
      </c>
      <c r="C19" s="436">
        <f>B19+'Sch. H'!B19-'Sch. F 2022 p2'!B19</f>
        <v>14032716</v>
      </c>
      <c r="D19" s="436">
        <f>C19+'Sch. H'!C19-'Sch. F 2022 p2'!C19</f>
        <v>14032716</v>
      </c>
      <c r="E19" s="436">
        <f>'Sch. G 2022'!F19</f>
        <v>-94654.639999999999</v>
      </c>
      <c r="F19" s="436">
        <f>D19+'Sch. H'!D19-'Sch. F 2022 p2'!D19+E19</f>
        <v>13955130.27</v>
      </c>
      <c r="G19" s="436">
        <f>F19+'Sch. H'!E19-'Sch. F 2022 p2'!E19</f>
        <v>13955130.27</v>
      </c>
      <c r="H19" s="436">
        <f>G19+'Sch. H'!F19-'Sch. F 2022 p2'!F19</f>
        <v>13955130.27</v>
      </c>
      <c r="I19" s="436">
        <f>H19+'Sch. H'!G19-'Sch. F 2022 p2'!G19</f>
        <v>13972199.16</v>
      </c>
      <c r="J19" s="436">
        <f>I19+'Sch. H'!H19-'Sch. F 2022 p2'!H19</f>
        <v>13972199.16</v>
      </c>
      <c r="K19" s="436">
        <f>J19+'Sch. H'!I19-'Sch. F 2022 p2'!I19</f>
        <v>13972199.16</v>
      </c>
      <c r="L19" s="436">
        <f>K19+'Sch. H'!J19-'Sch. F 2022 p2'!J19</f>
        <v>13972199.16</v>
      </c>
      <c r="M19" s="436">
        <f>L19+'Sch. H'!K19-'Sch. F 2022 p2'!K19</f>
        <v>13972199.16</v>
      </c>
      <c r="N19" s="436">
        <f>M19+'Sch. H'!L19-'Sch. F 2022 p2'!L19</f>
        <v>13972199.16</v>
      </c>
      <c r="O19" s="436"/>
      <c r="P19" s="436">
        <f>N19+'Sch. H'!M19-'Sch. F 2022 p2'!M19</f>
        <v>14603999.16</v>
      </c>
      <c r="Q19" s="674">
        <f t="shared" si="0"/>
        <v>571283.16000000015</v>
      </c>
      <c r="S19" s="371">
        <f>'Sch. G 2022'!H19-P19</f>
        <v>-0.16000000014901161</v>
      </c>
    </row>
    <row r="20" spans="1:19" ht="15">
      <c r="A20" s="218">
        <v>3801</v>
      </c>
      <c r="B20" s="436">
        <f>'Sch. G 2021'!H20</f>
        <v>66653051</v>
      </c>
      <c r="C20" s="436">
        <f>B20+'Sch. H'!B20-'Sch. F 2022 p2'!B20</f>
        <v>66748376.145630985</v>
      </c>
      <c r="D20" s="436">
        <f>C20+'Sch. H'!C20-'Sch. F 2022 p2'!C20</f>
        <v>66874925.280513331</v>
      </c>
      <c r="E20" s="436">
        <f>'Sch. G 2022'!F20</f>
        <v>-4779.6000000000004</v>
      </c>
      <c r="F20" s="436">
        <f>D20+'Sch. H'!D20-'Sch. F 2022 p2'!D20+E20</f>
        <v>67026045.025853574</v>
      </c>
      <c r="G20" s="436">
        <f>F20+'Sch. H'!E20-'Sch. F 2022 p2'!E20</f>
        <v>67277493.560154438</v>
      </c>
      <c r="H20" s="436">
        <f>G20+'Sch. H'!F20-'Sch. F 2022 p2'!F20</f>
        <v>67528942.20505856</v>
      </c>
      <c r="I20" s="436">
        <f>H20+'Sch. H'!G20-'Sch. F 2022 p2'!G20</f>
        <v>67778515.739359424</v>
      </c>
      <c r="J20" s="436">
        <f>I20+'Sch. H'!H20-'Sch. F 2022 p2'!H20</f>
        <v>68061189.484118178</v>
      </c>
      <c r="K20" s="436">
        <f>J20+'Sch. H'!I20-'Sch. F 2022 p2'!I20</f>
        <v>68343863.118273661</v>
      </c>
      <c r="L20" s="436">
        <f>K20+'Sch. H'!J20-'Sch. F 2022 p2'!J20</f>
        <v>68626536.863032416</v>
      </c>
      <c r="M20" s="436">
        <f>L20+'Sch. H'!K20-'Sch. F 2022 p2'!K20</f>
        <v>68909210.497187898</v>
      </c>
      <c r="N20" s="436">
        <f>M20+'Sch. H'!L20-'Sch. F 2022 p2'!L20</f>
        <v>69160659.142092019</v>
      </c>
      <c r="O20" s="436"/>
      <c r="P20" s="436">
        <f>N20+'Sch. H'!M20-'Sch. F 2022 p2'!M20</f>
        <v>69786804.874648422</v>
      </c>
      <c r="Q20" s="674">
        <f t="shared" si="0"/>
        <v>3133753.874648422</v>
      </c>
      <c r="S20" s="371">
        <f>'Sch. G 2022'!H20-P20</f>
        <v>0.12535157799720764</v>
      </c>
    </row>
    <row r="21" spans="1:19" ht="15">
      <c r="A21" s="218">
        <v>3802</v>
      </c>
      <c r="B21" s="436">
        <f>'Sch. G 2021'!H21</f>
        <v>1738352</v>
      </c>
      <c r="C21" s="436">
        <f>B21+'Sch. H'!B21-'Sch. F 2022 p2'!B21</f>
        <v>1717532</v>
      </c>
      <c r="D21" s="436">
        <f>C21+'Sch. H'!C21-'Sch. F 2022 p2'!C21</f>
        <v>1693844</v>
      </c>
      <c r="E21" s="436">
        <f>'Sch. G 2022'!F21</f>
        <v>3.4106051316484809E-12</v>
      </c>
      <c r="F21" s="436">
        <f>D21+'Sch. H'!D21-'Sch. F 2022 p2'!D21+E21</f>
        <v>1597354.24</v>
      </c>
      <c r="G21" s="436">
        <f>F21+'Sch. H'!E21-'Sch. F 2022 p2'!E21</f>
        <v>1537749.24</v>
      </c>
      <c r="H21" s="436">
        <f>G21+'Sch. H'!F21-'Sch. F 2022 p2'!F21</f>
        <v>1478144.24</v>
      </c>
      <c r="I21" s="436">
        <f>H21+'Sch. H'!G21-'Sch. F 2022 p2'!G21</f>
        <v>1446678.5</v>
      </c>
      <c r="J21" s="436">
        <f>I21+'Sch. H'!H21-'Sch. F 2022 p2'!H21</f>
        <v>1403329.5</v>
      </c>
      <c r="K21" s="436">
        <f>J21+'Sch. H'!I21-'Sch. F 2022 p2'!I21</f>
        <v>1370817.5</v>
      </c>
      <c r="L21" s="436">
        <f>K21+'Sch. H'!J21-'Sch. F 2022 p2'!J21</f>
        <v>1338305.5</v>
      </c>
      <c r="M21" s="436">
        <f>L21+'Sch. H'!K21-'Sch. F 2022 p2'!K21</f>
        <v>1327468.5</v>
      </c>
      <c r="N21" s="436">
        <f>M21+'Sch. H'!L21-'Sch. F 2022 p2'!L21</f>
        <v>1327468.5</v>
      </c>
      <c r="O21" s="436"/>
      <c r="P21" s="436">
        <f>N21+'Sch. H'!M21-'Sch. F 2022 p2'!M21</f>
        <v>1327468.5</v>
      </c>
      <c r="Q21" s="674">
        <f t="shared" si="0"/>
        <v>-410883.5</v>
      </c>
      <c r="S21" s="371">
        <f>'Sch. G 2022'!H21-P21</f>
        <v>0.5</v>
      </c>
    </row>
    <row r="22" spans="1:19" ht="15">
      <c r="A22" s="218" t="s">
        <v>95</v>
      </c>
      <c r="B22" s="436">
        <f>'Sch. G 2021'!H22</f>
        <v>44883146</v>
      </c>
      <c r="C22" s="436">
        <f>B22+'Sch. H'!B22-'Sch. F 2022 p2'!B22</f>
        <v>45075258</v>
      </c>
      <c r="D22" s="436">
        <f>C22+'Sch. H'!C22-'Sch. F 2022 p2'!C22</f>
        <v>45293831</v>
      </c>
      <c r="E22" s="436">
        <f>'Sch. G 2022'!F22</f>
        <v>0</v>
      </c>
      <c r="F22" s="436">
        <f>D22+'Sch. H'!D22-'Sch. F 2022 p2'!D22+E22</f>
        <v>46343831</v>
      </c>
      <c r="G22" s="436">
        <f>F22+'Sch. H'!E22-'Sch. F 2022 p2'!E22</f>
        <v>46893831</v>
      </c>
      <c r="H22" s="436">
        <f>G22+'Sch. H'!F22-'Sch. F 2022 p2'!F22</f>
        <v>47443831</v>
      </c>
      <c r="I22" s="436">
        <f>H22+'Sch. H'!G22-'Sch. F 2022 p2'!G22</f>
        <v>47893831</v>
      </c>
      <c r="J22" s="436">
        <f>I22+'Sch. H'!H22-'Sch. F 2022 p2'!H22</f>
        <v>48293831</v>
      </c>
      <c r="K22" s="436">
        <f>J22+'Sch. H'!I22-'Sch. F 2022 p2'!I22</f>
        <v>48593831</v>
      </c>
      <c r="L22" s="436">
        <f>K22+'Sch. H'!J22-'Sch. F 2022 p2'!J22</f>
        <v>48893831</v>
      </c>
      <c r="M22" s="436">
        <f>L22+'Sch. H'!K22-'Sch. F 2022 p2'!K22</f>
        <v>48993831</v>
      </c>
      <c r="N22" s="436">
        <f>M22+'Sch. H'!L22-'Sch. F 2022 p2'!L22</f>
        <v>48993831</v>
      </c>
      <c r="O22" s="436"/>
      <c r="P22" s="436">
        <f>N22+'Sch. H'!M22-'Sch. F 2022 p2'!M22</f>
        <v>48993831</v>
      </c>
      <c r="Q22" s="674">
        <f t="shared" si="0"/>
        <v>4110685</v>
      </c>
      <c r="S22" s="371">
        <f>'Sch. G 2022'!H22-P22</f>
        <v>0</v>
      </c>
    </row>
    <row r="23" spans="1:19" ht="15">
      <c r="A23" s="218" t="s">
        <v>201</v>
      </c>
      <c r="B23" s="436">
        <f>'Sch. G 2021'!H23</f>
        <v>22386759</v>
      </c>
      <c r="C23" s="436">
        <f>B23+'Sch. H'!B23-'Sch. F 2022 p2'!B23</f>
        <v>22413304.734812681</v>
      </c>
      <c r="D23" s="436">
        <f>C23+'Sch. H'!C23-'Sch. F 2022 p2'!C23</f>
        <v>22448642.824638501</v>
      </c>
      <c r="E23" s="436">
        <f>'Sch. G 2022'!F23</f>
        <v>0</v>
      </c>
      <c r="F23" s="436">
        <f>D23+'Sch. H'!D23-'Sch. F 2022 p2'!D23+E23</f>
        <v>22492774.269477464</v>
      </c>
      <c r="G23" s="436">
        <f>F23+'Sch. H'!E23-'Sch. F 2022 p2'!E23</f>
        <v>22563284.77935585</v>
      </c>
      <c r="H23" s="436">
        <f>G23+'Sch. H'!F23-'Sch. F 2022 p2'!F23</f>
        <v>22633795.289234236</v>
      </c>
      <c r="I23" s="436">
        <f>H23+'Sch. H'!G23-'Sch. F 2022 p2'!G23</f>
        <v>22704305.799112622</v>
      </c>
      <c r="J23" s="436">
        <f>I23+'Sch. H'!H23-'Sch. F 2022 p2'!H23</f>
        <v>22783609.664004151</v>
      </c>
      <c r="K23" s="436">
        <f>J23+'Sch. H'!I23-'Sch. F 2022 p2'!I23</f>
        <v>22862913.52889568</v>
      </c>
      <c r="L23" s="436">
        <f>K23+'Sch. H'!J23-'Sch. F 2022 p2'!J23</f>
        <v>22942217.393787205</v>
      </c>
      <c r="M23" s="436">
        <f>L23+'Sch. H'!K23-'Sch. F 2022 p2'!K23</f>
        <v>23021521.258678734</v>
      </c>
      <c r="N23" s="436">
        <f>M23+'Sch. H'!L23-'Sch. F 2022 p2'!L23</f>
        <v>23092031.76855712</v>
      </c>
      <c r="O23" s="436"/>
      <c r="P23" s="436">
        <f>N23+'Sch. H'!M23-'Sch. F 2022 p2'!M23</f>
        <v>23268058.538593203</v>
      </c>
      <c r="Q23" s="674">
        <f t="shared" si="0"/>
        <v>881299.53859320283</v>
      </c>
      <c r="S23" s="371">
        <f>'Sch. G 2022'!H23-P23</f>
        <v>0.46140679717063904</v>
      </c>
    </row>
    <row r="24" spans="1:19" ht="15">
      <c r="A24" s="218">
        <v>3811</v>
      </c>
      <c r="B24" s="436">
        <f>'Sch. G 2021'!H24</f>
        <v>2236536</v>
      </c>
      <c r="C24" s="436">
        <f>B24+'Sch. H'!B24-'Sch. F 2022 p2'!B24</f>
        <v>2236536</v>
      </c>
      <c r="D24" s="436">
        <f>C24+'Sch. H'!C24-'Sch. F 2022 p2'!C24</f>
        <v>2236536</v>
      </c>
      <c r="E24" s="436">
        <f>'Sch. G 2022'!F24</f>
        <v>0</v>
      </c>
      <c r="F24" s="436">
        <f>D24+'Sch. H'!D24-'Sch. F 2022 p2'!D24+E24</f>
        <v>2236536</v>
      </c>
      <c r="G24" s="436">
        <f>F24+'Sch. H'!E24-'Sch. F 2022 p2'!E24</f>
        <v>2236536</v>
      </c>
      <c r="H24" s="436">
        <f>G24+'Sch. H'!F24-'Sch. F 2022 p2'!F24</f>
        <v>2236536</v>
      </c>
      <c r="I24" s="436">
        <f>H24+'Sch. H'!G24-'Sch. F 2022 p2'!G24</f>
        <v>2236536</v>
      </c>
      <c r="J24" s="436">
        <f>I24+'Sch. H'!H24-'Sch. F 2022 p2'!H24</f>
        <v>2247619</v>
      </c>
      <c r="K24" s="436">
        <f>J24+'Sch. H'!I24-'Sch. F 2022 p2'!I24</f>
        <v>2258702</v>
      </c>
      <c r="L24" s="436">
        <f>K24+'Sch. H'!J24-'Sch. F 2022 p2'!J24</f>
        <v>2269785</v>
      </c>
      <c r="M24" s="436">
        <f>L24+'Sch. H'!K24-'Sch. F 2022 p2'!K24</f>
        <v>2280868</v>
      </c>
      <c r="N24" s="436">
        <f>M24+'Sch. H'!L24-'Sch. F 2022 p2'!L24</f>
        <v>2291951</v>
      </c>
      <c r="O24" s="436"/>
      <c r="P24" s="436">
        <f>N24+'Sch. H'!M24-'Sch. F 2022 p2'!M24</f>
        <v>2303034</v>
      </c>
      <c r="Q24" s="674">
        <f t="shared" si="0"/>
        <v>66498</v>
      </c>
      <c r="S24" s="371">
        <f>'Sch. G 2022'!H24-P24</f>
        <v>0</v>
      </c>
    </row>
    <row r="25" spans="1:19" ht="15">
      <c r="A25" s="218" t="s">
        <v>202</v>
      </c>
      <c r="B25" s="436">
        <f>'Sch. G 2021'!H25</f>
        <v>17991110</v>
      </c>
      <c r="C25" s="436">
        <f>B25+'Sch. H'!B25-'Sch. F 2022 p2'!B25</f>
        <v>18001195.079183396</v>
      </c>
      <c r="D25" s="436">
        <f>C25+'Sch. H'!C25-'Sch. F 2022 p2'!C25</f>
        <v>18013276.900824521</v>
      </c>
      <c r="E25" s="436">
        <f>'Sch. G 2022'!F25</f>
        <v>0</v>
      </c>
      <c r="F25" s="436">
        <f>D25+'Sch. H'!D25-'Sch. F 2022 p2'!D25+E25</f>
        <v>18027355.464923371</v>
      </c>
      <c r="G25" s="436">
        <f>F25+'Sch. H'!E25-'Sch. F 2022 p2'!E25</f>
        <v>18047424.256395403</v>
      </c>
      <c r="H25" s="436">
        <f>G25+'Sch. H'!F25-'Sch. F 2022 p2'!F25</f>
        <v>18067493.047867436</v>
      </c>
      <c r="I25" s="436">
        <f>H25+'Sch. H'!G25-'Sch. F 2022 p2'!G25</f>
        <v>18087561.839339465</v>
      </c>
      <c r="J25" s="436">
        <f>I25+'Sch. H'!H25-'Sch. F 2022 p2'!H25</f>
        <v>18109627.373269223</v>
      </c>
      <c r="K25" s="436">
        <f>J25+'Sch. H'!I25-'Sch. F 2022 p2'!I25</f>
        <v>18131692.90719898</v>
      </c>
      <c r="L25" s="436">
        <f>K25+'Sch. H'!J25-'Sch. F 2022 p2'!J25</f>
        <v>18153758.441128738</v>
      </c>
      <c r="M25" s="436">
        <f>L25+'Sch. H'!K25-'Sch. F 2022 p2'!K25</f>
        <v>18175823.975058496</v>
      </c>
      <c r="N25" s="436">
        <f>M25+'Sch. H'!L25-'Sch. F 2022 p2'!L25</f>
        <v>18195892.766530525</v>
      </c>
      <c r="O25" s="436"/>
      <c r="P25" s="436">
        <f>N25+'Sch. H'!M25-'Sch. F 2022 p2'!M25</f>
        <v>18239922.467495281</v>
      </c>
      <c r="Q25" s="674">
        <f t="shared" si="0"/>
        <v>248812.46749528125</v>
      </c>
      <c r="S25" s="371">
        <f>'Sch. G 2022'!H25-P25</f>
        <v>-0.46749528124928474</v>
      </c>
    </row>
    <row r="26" spans="1:19" ht="15">
      <c r="A26" s="218">
        <v>3821</v>
      </c>
      <c r="B26" s="436">
        <f>'Sch. G 2021'!H26</f>
        <v>593040</v>
      </c>
      <c r="C26" s="436">
        <f>B26+'Sch. H'!B26-'Sch. F 2022 p2'!B26</f>
        <v>593040</v>
      </c>
      <c r="D26" s="436">
        <f>C26+'Sch. H'!C26-'Sch. F 2022 p2'!C26</f>
        <v>593040</v>
      </c>
      <c r="E26" s="436">
        <f>'Sch. G 2022'!F26</f>
        <v>0</v>
      </c>
      <c r="F26" s="436">
        <f>D26+'Sch. H'!D26-'Sch. F 2022 p2'!D26+E26</f>
        <v>593040</v>
      </c>
      <c r="G26" s="436">
        <f>F26+'Sch. H'!E26-'Sch. F 2022 p2'!E26</f>
        <v>593040</v>
      </c>
      <c r="H26" s="436">
        <f>G26+'Sch. H'!F26-'Sch. F 2022 p2'!F26</f>
        <v>593040</v>
      </c>
      <c r="I26" s="436">
        <f>H26+'Sch. H'!G26-'Sch. F 2022 p2'!G26</f>
        <v>593040</v>
      </c>
      <c r="J26" s="436">
        <f>I26+'Sch. H'!H26-'Sch. F 2022 p2'!H26</f>
        <v>593040</v>
      </c>
      <c r="K26" s="436">
        <f>J26+'Sch. H'!I26-'Sch. F 2022 p2'!I26</f>
        <v>593040</v>
      </c>
      <c r="L26" s="436">
        <f>K26+'Sch. H'!J26-'Sch. F 2022 p2'!J26</f>
        <v>593040</v>
      </c>
      <c r="M26" s="436">
        <f>L26+'Sch. H'!K26-'Sch. F 2022 p2'!K26</f>
        <v>593040</v>
      </c>
      <c r="N26" s="436">
        <f>M26+'Sch. H'!L26-'Sch. F 2022 p2'!L26</f>
        <v>593040</v>
      </c>
      <c r="O26" s="436"/>
      <c r="P26" s="436">
        <f>N26+'Sch. H'!M26-'Sch. F 2022 p2'!M26</f>
        <v>593040</v>
      </c>
      <c r="Q26" s="674">
        <f t="shared" si="0"/>
        <v>0</v>
      </c>
      <c r="S26" s="371">
        <f>'Sch. G 2022'!H26-P26</f>
        <v>0</v>
      </c>
    </row>
    <row r="27" spans="1:19" ht="15">
      <c r="A27" s="218" t="s">
        <v>203</v>
      </c>
      <c r="B27" s="436">
        <f>'Sch. G 2021'!H27</f>
        <v>6695727</v>
      </c>
      <c r="C27" s="436">
        <f>B27+'Sch. H'!B27-'Sch. F 2022 p2'!B27</f>
        <v>6702224.4874460828</v>
      </c>
      <c r="D27" s="436">
        <f>C27+'Sch. H'!C27-'Sch. F 2022 p2'!C27</f>
        <v>6710056.2572159199</v>
      </c>
      <c r="E27" s="436">
        <f>'Sch. G 2022'!F27</f>
        <v>0</v>
      </c>
      <c r="F27" s="436">
        <f>D27+'Sch. H'!D27-'Sch. F 2022 p2'!D27+E27</f>
        <v>6719222.3093095114</v>
      </c>
      <c r="G27" s="436">
        <f>F27+'Sch. H'!E27-'Sch. F 2022 p2'!E27</f>
        <v>6732392.2083743624</v>
      </c>
      <c r="H27" s="436">
        <f>G27+'Sch. H'!F27-'Sch. F 2022 p2'!F27</f>
        <v>6745562.1074392144</v>
      </c>
      <c r="I27" s="436">
        <f>H27+'Sch. H'!G27-'Sch. F 2022 p2'!G27</f>
        <v>6758732.0065040654</v>
      </c>
      <c r="J27" s="436">
        <f>I27+'Sch. H'!H27-'Sch. F 2022 p2'!H27</f>
        <v>6773237.1878926717</v>
      </c>
      <c r="K27" s="436">
        <f>J27+'Sch. H'!I27-'Sch. F 2022 p2'!I27</f>
        <v>6787742.369281278</v>
      </c>
      <c r="L27" s="436">
        <f>K27+'Sch. H'!J27-'Sch. F 2022 p2'!J27</f>
        <v>6802247.5506698824</v>
      </c>
      <c r="M27" s="436">
        <f>L27+'Sch. H'!K27-'Sch. F 2022 p2'!K27</f>
        <v>6816752.7320584888</v>
      </c>
      <c r="N27" s="436">
        <f>M27+'Sch. H'!L27-'Sch. F 2022 p2'!L27</f>
        <v>6829922.6311233398</v>
      </c>
      <c r="O27" s="436"/>
      <c r="P27" s="436">
        <f>N27+'Sch. H'!M27-'Sch. F 2022 p2'!M27</f>
        <v>6859107.9180732351</v>
      </c>
      <c r="Q27" s="674">
        <f t="shared" si="0"/>
        <v>163380.91807323508</v>
      </c>
      <c r="S27" s="371">
        <f>'Sch. G 2022'!H27-P27</f>
        <v>0.081926764920353889</v>
      </c>
    </row>
    <row r="28" spans="1:19" ht="15">
      <c r="A28" s="218" t="s">
        <v>204</v>
      </c>
      <c r="B28" s="436">
        <f>'Sch. G 2021'!H28</f>
        <v>1053753</v>
      </c>
      <c r="C28" s="436">
        <f>B28+'Sch. H'!B28-'Sch. F 2022 p2'!B28</f>
        <v>1054873.56435371</v>
      </c>
      <c r="D28" s="436">
        <f>C28+'Sch. H'!C28-'Sch. F 2022 p2'!C28</f>
        <v>1056215.9889805007</v>
      </c>
      <c r="E28" s="436">
        <f>'Sch. G 2022'!F28</f>
        <v>0</v>
      </c>
      <c r="F28" s="436">
        <f>D28+'Sch. H'!D28-'Sch. F 2022 p2'!D28+E28</f>
        <v>1057780.2738803721</v>
      </c>
      <c r="G28" s="436">
        <f>F28+'Sch. H'!E28-'Sch. F 2022 p2'!E28</f>
        <v>1060010.1395994851</v>
      </c>
      <c r="H28" s="436">
        <f>G28+'Sch. H'!F28-'Sch. F 2022 p2'!F28</f>
        <v>1062240.0053185984</v>
      </c>
      <c r="I28" s="436">
        <f>H28+'Sch. H'!G28-'Sch. F 2022 p2'!G28</f>
        <v>1064469.8710377114</v>
      </c>
      <c r="J28" s="436">
        <f>I28+'Sch. H'!H28-'Sch. F 2022 p2'!H28</f>
        <v>1066921.5970299053</v>
      </c>
      <c r="K28" s="436">
        <f>J28+'Sch. H'!I28-'Sch. F 2022 p2'!I28</f>
        <v>1069373.3230220992</v>
      </c>
      <c r="L28" s="436">
        <f>K28+'Sch. H'!J28-'Sch. F 2022 p2'!J28</f>
        <v>1071825.0490142929</v>
      </c>
      <c r="M28" s="436">
        <f>L28+'Sch. H'!K28-'Sch. F 2022 p2'!K28</f>
        <v>1074276.7750064868</v>
      </c>
      <c r="N28" s="436">
        <f>M28+'Sch. H'!L28-'Sch. F 2022 p2'!L28</f>
        <v>1076506.6407255998</v>
      </c>
      <c r="O28" s="436"/>
      <c r="P28" s="436">
        <f>N28+'Sch. H'!M28-'Sch. F 2022 p2'!M28</f>
        <v>1081398.8297216804</v>
      </c>
      <c r="Q28" s="674">
        <f t="shared" si="0"/>
        <v>27645.829721680377</v>
      </c>
      <c r="S28" s="371">
        <f>'Sch. G 2022'!H28-P28</f>
        <v>0.17027831962332129</v>
      </c>
    </row>
    <row r="29" spans="1:19" ht="15">
      <c r="A29" s="218" t="s">
        <v>205</v>
      </c>
      <c r="B29" s="436">
        <f>'Sch. G 2021'!H29</f>
        <v>1890725</v>
      </c>
      <c r="C29" s="436">
        <f>B29+'Sch. H'!B29-'Sch. F 2022 p2'!B29</f>
        <v>1889373</v>
      </c>
      <c r="D29" s="436">
        <f>C29+'Sch. H'!C29-'Sch. F 2022 p2'!C29</f>
        <v>1887570</v>
      </c>
      <c r="E29" s="436">
        <f>'Sch. G 2022'!F29</f>
        <v>0</v>
      </c>
      <c r="F29" s="436">
        <f>D29+'Sch. H'!D29-'Sch. F 2022 p2'!D29+E29</f>
        <v>1885081</v>
      </c>
      <c r="G29" s="436">
        <f>F29+'Sch. H'!E29-'Sch. F 2022 p2'!E29</f>
        <v>1881475</v>
      </c>
      <c r="H29" s="436">
        <f>G29+'Sch. H'!F29-'Sch. F 2022 p2'!F29</f>
        <v>1877869</v>
      </c>
      <c r="I29" s="436">
        <f>H29+'Sch. H'!G29-'Sch. F 2022 p2'!G29</f>
        <v>1874027</v>
      </c>
      <c r="J29" s="436">
        <f>I29+'Sch. H'!H29-'Sch. F 2022 p2'!H29</f>
        <v>1869970</v>
      </c>
      <c r="K29" s="436">
        <f>J29+'Sch. H'!I29-'Sch. F 2022 p2'!I29</f>
        <v>1865913</v>
      </c>
      <c r="L29" s="436">
        <f>K29+'Sch. H'!J29-'Sch. F 2022 p2'!J29</f>
        <v>1861856</v>
      </c>
      <c r="M29" s="436">
        <f>L29+'Sch. H'!K29-'Sch. F 2022 p2'!K29</f>
        <v>1857799</v>
      </c>
      <c r="N29" s="436">
        <f>M29+'Sch. H'!L29-'Sch. F 2022 p2'!L29</f>
        <v>1854193</v>
      </c>
      <c r="O29" s="436"/>
      <c r="P29" s="436">
        <f>N29+'Sch. H'!M29-'Sch. F 2022 p2'!M29</f>
        <v>1883028</v>
      </c>
      <c r="Q29" s="674">
        <f t="shared" si="0"/>
        <v>-7697</v>
      </c>
      <c r="S29" s="371">
        <f>'Sch. G 2022'!H29-P29</f>
        <v>0</v>
      </c>
    </row>
    <row r="30" spans="1:19" ht="15">
      <c r="A30" s="218" t="s">
        <v>206</v>
      </c>
      <c r="B30" s="436">
        <f>'Sch. G 2021'!H30</f>
        <v>3104302</v>
      </c>
      <c r="C30" s="436">
        <f>B30+'Sch. H'!B30-'Sch. F 2022 p2'!B30</f>
        <v>3114934</v>
      </c>
      <c r="D30" s="436">
        <f>C30+'Sch. H'!C30-'Sch. F 2022 p2'!C30</f>
        <v>3129110</v>
      </c>
      <c r="E30" s="436">
        <f>'Sch. G 2022'!F30</f>
        <v>0</v>
      </c>
      <c r="F30" s="436">
        <f>D30+'Sch. H'!D30-'Sch. F 2022 p2'!D30+E30</f>
        <v>3146830</v>
      </c>
      <c r="G30" s="436">
        <f>F30+'Sch. H'!E30-'Sch. F 2022 p2'!E30</f>
        <v>3175182</v>
      </c>
      <c r="H30" s="436">
        <f>G30+'Sch. H'!F30-'Sch. F 2022 p2'!F30</f>
        <v>3203534</v>
      </c>
      <c r="I30" s="436">
        <f>H30+'Sch. H'!G30-'Sch. F 2022 p2'!G30</f>
        <v>3231886</v>
      </c>
      <c r="J30" s="436">
        <f>I30+'Sch. H'!H30-'Sch. F 2022 p2'!H30</f>
        <v>3263782</v>
      </c>
      <c r="K30" s="436">
        <f>J30+'Sch. H'!I30-'Sch. F 2022 p2'!I30</f>
        <v>3295678</v>
      </c>
      <c r="L30" s="436">
        <f>K30+'Sch. H'!J30-'Sch. F 2022 p2'!J30</f>
        <v>3327574</v>
      </c>
      <c r="M30" s="436">
        <f>L30+'Sch. H'!K30-'Sch. F 2022 p2'!K30</f>
        <v>3359470</v>
      </c>
      <c r="N30" s="436">
        <f>M30+'Sch. H'!L30-'Sch. F 2022 p2'!L30</f>
        <v>3387822</v>
      </c>
      <c r="O30" s="436"/>
      <c r="P30" s="436">
        <f>N30+'Sch. H'!M30-'Sch. F 2022 p2'!M30</f>
        <v>3458702</v>
      </c>
      <c r="Q30" s="674">
        <f t="shared" si="0"/>
        <v>354400</v>
      </c>
      <c r="S30" s="371">
        <f>'Sch. G 2022'!H30-P30</f>
        <v>0</v>
      </c>
    </row>
    <row r="31" spans="1:19" ht="15">
      <c r="A31" s="218" t="s">
        <v>207</v>
      </c>
      <c r="B31" s="436">
        <f>'Sch. G 2021'!H31</f>
        <v>1359043</v>
      </c>
      <c r="C31" s="436">
        <f>B31+'Sch. H'!B31-'Sch. F 2022 p2'!B31</f>
        <v>1399326</v>
      </c>
      <c r="D31" s="436">
        <f>C31+'Sch. H'!C31-'Sch. F 2022 p2'!C31</f>
        <v>1440259</v>
      </c>
      <c r="E31" s="436">
        <f>'Sch. G 2022'!F31</f>
        <v>0</v>
      </c>
      <c r="F31" s="436">
        <f>D31+'Sch. H'!D31-'Sch. F 2022 p2'!D31+E31</f>
        <v>1481842</v>
      </c>
      <c r="G31" s="436">
        <f>F31+'Sch. H'!E31-'Sch. F 2022 p2'!E31</f>
        <v>1525375</v>
      </c>
      <c r="H31" s="436">
        <f>G31+'Sch. H'!F31-'Sch. F 2022 p2'!F31</f>
        <v>1568908</v>
      </c>
      <c r="I31" s="436">
        <f>H31+'Sch. H'!G31-'Sch. F 2022 p2'!G31</f>
        <v>1612441</v>
      </c>
      <c r="J31" s="436">
        <f>I31+'Sch. H'!H31-'Sch. F 2022 p2'!H31</f>
        <v>1656624</v>
      </c>
      <c r="K31" s="436">
        <f>J31+'Sch. H'!I31-'Sch. F 2022 p2'!I31</f>
        <v>1700807</v>
      </c>
      <c r="L31" s="436">
        <f>K31+'Sch. H'!J31-'Sch. F 2022 p2'!J31</f>
        <v>1744991</v>
      </c>
      <c r="M31" s="436">
        <f>L31+'Sch. H'!K31-'Sch. F 2022 p2'!K31</f>
        <v>1789175</v>
      </c>
      <c r="N31" s="436">
        <f>M31+'Sch. H'!L31-'Sch. F 2022 p2'!L31</f>
        <v>1832709</v>
      </c>
      <c r="O31" s="436"/>
      <c r="P31" s="436">
        <f>N31+'Sch. H'!M31-'Sch. F 2022 p2'!M31</f>
        <v>1884043</v>
      </c>
      <c r="Q31" s="674">
        <f t="shared" si="0"/>
        <v>525000</v>
      </c>
      <c r="S31" s="371">
        <f>'Sch. G 2022'!H31-P31</f>
        <v>0</v>
      </c>
    </row>
    <row r="32" spans="1:19" ht="15">
      <c r="A32" s="218" t="s">
        <v>208</v>
      </c>
      <c r="B32" s="436">
        <f>'Sch. G 2021'!H32</f>
        <v>10646372</v>
      </c>
      <c r="C32" s="436">
        <f>B32+'Sch. H'!B32-'Sch. F 2022 p2'!B32</f>
        <v>10646372</v>
      </c>
      <c r="D32" s="436">
        <f>C32+'Sch. H'!C32-'Sch. F 2022 p2'!C32</f>
        <v>10610395.73</v>
      </c>
      <c r="E32" s="436">
        <f>'Sch. G 2022'!F32</f>
        <v>5894.1999999999998</v>
      </c>
      <c r="F32" s="436">
        <f>D32+'Sch. H'!D32-'Sch. F 2022 p2'!D32+E32</f>
        <v>10763789.950000001</v>
      </c>
      <c r="G32" s="436">
        <f>F32+'Sch. H'!E32-'Sch. F 2022 p2'!E32</f>
        <v>10763789.950000001</v>
      </c>
      <c r="H32" s="436">
        <f>G32+'Sch. H'!F32-'Sch. F 2022 p2'!F32</f>
        <v>10763789.950000001</v>
      </c>
      <c r="I32" s="436">
        <f>H32+'Sch. H'!G32-'Sch. F 2022 p2'!G32</f>
        <v>10917184.180000002</v>
      </c>
      <c r="J32" s="436">
        <f>I32+'Sch. H'!H32-'Sch. F 2022 p2'!H32</f>
        <v>10917184.180000002</v>
      </c>
      <c r="K32" s="436">
        <f>J32+'Sch. H'!I32-'Sch. F 2022 p2'!I32</f>
        <v>10917184.180000002</v>
      </c>
      <c r="L32" s="436">
        <f>K32+'Sch. H'!J32-'Sch. F 2022 p2'!J32</f>
        <v>10917184.180000002</v>
      </c>
      <c r="M32" s="436">
        <f>L32+'Sch. H'!K32-'Sch. F 2022 p2'!K32</f>
        <v>10917184.180000002</v>
      </c>
      <c r="N32" s="436">
        <f>M32+'Sch. H'!L32-'Sch. F 2022 p2'!L32</f>
        <v>10917184.180000002</v>
      </c>
      <c r="O32" s="436"/>
      <c r="P32" s="436">
        <f>N32+'Sch. H'!M32-'Sch. F 2022 p2'!M32</f>
        <v>14092184.180000002</v>
      </c>
      <c r="Q32" s="674">
        <f t="shared" si="0"/>
        <v>3445812.1800000016</v>
      </c>
      <c r="S32" s="371">
        <f>'Sch. G 2022'!H32-P32</f>
        <v>-0.18000000156462193</v>
      </c>
    </row>
    <row r="33" spans="1:19" ht="15">
      <c r="A33" s="218">
        <v>3910</v>
      </c>
      <c r="B33" s="436">
        <f>'Sch. G 2021'!H33</f>
        <v>1854226</v>
      </c>
      <c r="C33" s="436">
        <f>B33+'Sch. H'!B33-'Sch. F 2022 p2'!B33</f>
        <v>1857526</v>
      </c>
      <c r="D33" s="436">
        <f>C33+'Sch. H'!C33-'Sch. F 2022 p2'!C33</f>
        <v>1676970.6899999999</v>
      </c>
      <c r="E33" s="436">
        <f>'Sch. G 2022'!F33</f>
        <v>-469210.67999999999</v>
      </c>
      <c r="F33" s="436">
        <f>D33+'Sch. H'!D33-'Sch. F 2022 p2'!D33+E33</f>
        <v>1213260.01</v>
      </c>
      <c r="G33" s="436">
        <f>F33+'Sch. H'!E33-'Sch. F 2022 p2'!E33</f>
        <v>1222060.01</v>
      </c>
      <c r="H33" s="436">
        <f>G33+'Sch. H'!F33-'Sch. F 2022 p2'!F33</f>
        <v>2244236.0099999998</v>
      </c>
      <c r="I33" s="436">
        <f>H33+'Sch. H'!G33-'Sch. F 2022 p2'!G33</f>
        <v>2253036.0099999998</v>
      </c>
      <c r="J33" s="436">
        <f>I33+'Sch. H'!H33-'Sch. F 2022 p2'!H33</f>
        <v>2280776.0099999998</v>
      </c>
      <c r="K33" s="436">
        <f>J33+'Sch. H'!I33-'Sch. F 2022 p2'!I33</f>
        <v>2290676.0099999998</v>
      </c>
      <c r="L33" s="436">
        <f>K33+'Sch. H'!J33-'Sch. F 2022 p2'!J33</f>
        <v>2300576.0099999998</v>
      </c>
      <c r="M33" s="436">
        <f>L33+'Sch. H'!K33-'Sch. F 2022 p2'!K33</f>
        <v>2310476.0099999998</v>
      </c>
      <c r="N33" s="436">
        <f>M33+'Sch. H'!L33-'Sch. F 2022 p2'!L33</f>
        <v>2319276.0099999998</v>
      </c>
      <c r="O33" s="436"/>
      <c r="P33" s="436">
        <f>N33+'Sch. H'!M33-'Sch. F 2022 p2'!M33</f>
        <v>2294440.9199999999</v>
      </c>
      <c r="Q33" s="674">
        <f t="shared" si="0"/>
        <v>440214.91999999993</v>
      </c>
      <c r="S33" s="371">
        <f>'Sch. G 2022'!H33-P33</f>
        <v>0.080000000074505806</v>
      </c>
    </row>
    <row r="34" spans="1:19" ht="15">
      <c r="A34" s="218">
        <v>3912</v>
      </c>
      <c r="B34" s="436">
        <f>'Sch. G 2021'!H34</f>
        <v>309093</v>
      </c>
      <c r="C34" s="436">
        <f>B34+'Sch. H'!B34-'Sch. F 2022 p2'!B34</f>
        <v>309093</v>
      </c>
      <c r="D34" s="436">
        <f>C34+'Sch. H'!C34-'Sch. F 2022 p2'!C34</f>
        <v>309093</v>
      </c>
      <c r="E34" s="436">
        <f>'Sch. G 2022'!F34</f>
        <v>70950.5</v>
      </c>
      <c r="F34" s="436">
        <f>D34+'Sch. H'!D34-'Sch. F 2022 p2'!D34+E34</f>
        <v>380043.5</v>
      </c>
      <c r="G34" s="436">
        <f>F34+'Sch. H'!E34-'Sch. F 2022 p2'!E34</f>
        <v>380043.5</v>
      </c>
      <c r="H34" s="436">
        <f>G34+'Sch. H'!F34-'Sch. F 2022 p2'!F34</f>
        <v>380043.5</v>
      </c>
      <c r="I34" s="436">
        <f>H34+'Sch. H'!G34-'Sch. F 2022 p2'!G34</f>
        <v>380043.5</v>
      </c>
      <c r="J34" s="436">
        <f>I34+'Sch. H'!H34-'Sch. F 2022 p2'!H34</f>
        <v>380043.5</v>
      </c>
      <c r="K34" s="436">
        <f>J34+'Sch. H'!I34-'Sch. F 2022 p2'!I34</f>
        <v>380043.5</v>
      </c>
      <c r="L34" s="436">
        <f>K34+'Sch. H'!J34-'Sch. F 2022 p2'!J34</f>
        <v>380043.5</v>
      </c>
      <c r="M34" s="436">
        <f>L34+'Sch. H'!K34-'Sch. F 2022 p2'!K34</f>
        <v>380043.5</v>
      </c>
      <c r="N34" s="436">
        <f>M34+'Sch. H'!L34-'Sch. F 2022 p2'!L34</f>
        <v>380043.5</v>
      </c>
      <c r="O34" s="436"/>
      <c r="P34" s="436">
        <f>N34+'Sch. H'!M34-'Sch. F 2022 p2'!M34</f>
        <v>374792.03000000003</v>
      </c>
      <c r="Q34" s="674">
        <f t="shared" si="0"/>
        <v>65699.030000000028</v>
      </c>
      <c r="S34" s="371">
        <f>'Sch. G 2022'!H34-P34</f>
        <v>-0.030000000027939677</v>
      </c>
    </row>
    <row r="35" spans="1:19" ht="15">
      <c r="A35" s="218">
        <v>3913</v>
      </c>
      <c r="B35" s="436">
        <f>'Sch. G 2021'!H35</f>
        <v>619668</v>
      </c>
      <c r="C35" s="436">
        <f>B35+'Sch. H'!B35-'Sch. F 2022 p2'!B35</f>
        <v>624168</v>
      </c>
      <c r="D35" s="436">
        <f>C35+'Sch. H'!C35-'Sch. F 2022 p2'!C35</f>
        <v>307869.70000000001</v>
      </c>
      <c r="E35" s="436">
        <f>'Sch. G 2022'!F35</f>
        <v>368105.56</v>
      </c>
      <c r="F35" s="436">
        <f>D35+'Sch. H'!D35-'Sch. F 2022 p2'!D35+E35</f>
        <v>674332.41999999993</v>
      </c>
      <c r="G35" s="436">
        <f>F35+'Sch. H'!E35-'Sch. F 2022 p2'!E35</f>
        <v>686332.41999999993</v>
      </c>
      <c r="H35" s="436">
        <f>G35+'Sch. H'!F35-'Sch. F 2022 p2'!F35</f>
        <v>698332.41999999993</v>
      </c>
      <c r="I35" s="436">
        <f>H35+'Sch. H'!G35-'Sch. F 2022 p2'!G35</f>
        <v>710332.41999999993</v>
      </c>
      <c r="J35" s="436">
        <f>I35+'Sch. H'!H35-'Sch. F 2022 p2'!H35</f>
        <v>723832.41999999993</v>
      </c>
      <c r="K35" s="436">
        <f>J35+'Sch. H'!I35-'Sch. F 2022 p2'!I35</f>
        <v>737332.41999999993</v>
      </c>
      <c r="L35" s="436">
        <f>K35+'Sch. H'!J35-'Sch. F 2022 p2'!J35</f>
        <v>750832.41999999993</v>
      </c>
      <c r="M35" s="436">
        <f>L35+'Sch. H'!K35-'Sch. F 2022 p2'!K35</f>
        <v>764332.41999999993</v>
      </c>
      <c r="N35" s="436">
        <f>M35+'Sch. H'!L35-'Sch. F 2022 p2'!L35</f>
        <v>776332.41999999993</v>
      </c>
      <c r="O35" s="436"/>
      <c r="P35" s="436">
        <f>N35+'Sch. H'!M35-'Sch. F 2022 p2'!M35</f>
        <v>758651.10999999987</v>
      </c>
      <c r="Q35" s="674">
        <f t="shared" si="0"/>
        <v>138983.10999999987</v>
      </c>
      <c r="S35" s="371">
        <f>'Sch. G 2022'!H35-P35</f>
        <v>-0.10999999986961484</v>
      </c>
    </row>
    <row r="36" spans="1:19" ht="15">
      <c r="A36" s="218">
        <v>3914</v>
      </c>
      <c r="B36" s="436">
        <f>'Sch. G 2021'!H36</f>
        <v>7197450</v>
      </c>
      <c r="C36" s="436">
        <f>B36+'Sch. H'!B36-'Sch. F 2022 p2'!B36</f>
        <v>7200045</v>
      </c>
      <c r="D36" s="436">
        <f>C36+'Sch. H'!C36-'Sch. F 2022 p2'!C36</f>
        <v>7203505</v>
      </c>
      <c r="E36" s="436">
        <f>'Sch. G 2022'!F36</f>
        <v>0</v>
      </c>
      <c r="F36" s="436">
        <f>D36+'Sch. H'!D36-'Sch. F 2022 p2'!D36+E36</f>
        <v>7207830</v>
      </c>
      <c r="G36" s="436">
        <f>F36+'Sch. H'!E36-'Sch. F 2022 p2'!E36</f>
        <v>7214750</v>
      </c>
      <c r="H36" s="436">
        <f>G36+'Sch. H'!F36-'Sch. F 2022 p2'!F36</f>
        <v>7221670</v>
      </c>
      <c r="I36" s="436">
        <f>H36+'Sch. H'!G36-'Sch. F 2022 p2'!G36</f>
        <v>7228590</v>
      </c>
      <c r="J36" s="436">
        <f>I36+'Sch. H'!H36-'Sch. F 2022 p2'!H36</f>
        <v>7236375</v>
      </c>
      <c r="K36" s="436">
        <f>J36+'Sch. H'!I36-'Sch. F 2022 p2'!I36</f>
        <v>7244160</v>
      </c>
      <c r="L36" s="436">
        <f>K36+'Sch. H'!J36-'Sch. F 2022 p2'!J36</f>
        <v>7251945</v>
      </c>
      <c r="M36" s="436">
        <f>L36+'Sch. H'!K36-'Sch. F 2022 p2'!K36</f>
        <v>7259730</v>
      </c>
      <c r="N36" s="436">
        <f>M36+'Sch. H'!L36-'Sch. F 2022 p2'!L36</f>
        <v>7266650</v>
      </c>
      <c r="O36" s="436"/>
      <c r="P36" s="436">
        <f>N36+'Sch. H'!M36-'Sch. F 2022 p2'!M36</f>
        <v>7283950</v>
      </c>
      <c r="Q36" s="674">
        <f t="shared" si="0"/>
        <v>86500</v>
      </c>
      <c r="S36" s="371">
        <f>'Sch. G 2022'!H36-P36</f>
        <v>0</v>
      </c>
    </row>
    <row r="37" spans="1:19" ht="15">
      <c r="A37" s="218">
        <v>3921</v>
      </c>
      <c r="B37" s="436">
        <f>'Sch. G 2021'!H37</f>
        <v>367130</v>
      </c>
      <c r="C37" s="436">
        <f>B37+'Sch. H'!B37-'Sch. F 2022 p2'!B37</f>
        <v>367130</v>
      </c>
      <c r="D37" s="436">
        <f>C37+'Sch. H'!C37-'Sch. F 2022 p2'!C37</f>
        <v>367130</v>
      </c>
      <c r="E37" s="436">
        <f>'Sch. G 2022'!F37</f>
        <v>-224614</v>
      </c>
      <c r="F37" s="436">
        <f>D37+'Sch. H'!D37-'Sch. F 2022 p2'!D37+E37</f>
        <v>142516</v>
      </c>
      <c r="G37" s="436">
        <f>F37+'Sch. H'!E37-'Sch. F 2022 p2'!E37</f>
        <v>142516</v>
      </c>
      <c r="H37" s="436">
        <f>G37+'Sch. H'!F37-'Sch. F 2022 p2'!F37</f>
        <v>142516</v>
      </c>
      <c r="I37" s="436">
        <f>H37+'Sch. H'!G37-'Sch. F 2022 p2'!G37</f>
        <v>142516</v>
      </c>
      <c r="J37" s="436">
        <f>I37+'Sch. H'!H37-'Sch. F 2022 p2'!H37</f>
        <v>142516</v>
      </c>
      <c r="K37" s="436">
        <f>J37+'Sch. H'!I37-'Sch. F 2022 p2'!I37</f>
        <v>142516</v>
      </c>
      <c r="L37" s="436">
        <f>K37+'Sch. H'!J37-'Sch. F 2022 p2'!J37</f>
        <v>142516</v>
      </c>
      <c r="M37" s="436">
        <f>L37+'Sch. H'!K37-'Sch. F 2022 p2'!K37</f>
        <v>298593.65000000002</v>
      </c>
      <c r="N37" s="436">
        <f>M37+'Sch. H'!L37-'Sch. F 2022 p2'!L37</f>
        <v>298593.65000000002</v>
      </c>
      <c r="O37" s="436"/>
      <c r="P37" s="436">
        <f>N37+'Sch. H'!M37-'Sch. F 2022 p2'!M37</f>
        <v>298593.65000000002</v>
      </c>
      <c r="Q37" s="674">
        <f t="shared" si="0"/>
        <v>-68536.349999999977</v>
      </c>
      <c r="S37" s="371">
        <f>'Sch. G 2022'!H37-P37</f>
        <v>0.34999999997671694</v>
      </c>
    </row>
    <row r="38" spans="1:19" ht="15">
      <c r="A38" s="218">
        <v>3922</v>
      </c>
      <c r="B38" s="436">
        <f>'Sch. G 2021'!H38</f>
        <v>5946652</v>
      </c>
      <c r="C38" s="436">
        <f>B38+'Sch. H'!B38-'Sch. F 2022 p2'!B38</f>
        <v>5946652</v>
      </c>
      <c r="D38" s="436">
        <f>C38+'Sch. H'!C38-'Sch. F 2022 p2'!C38</f>
        <v>5946652</v>
      </c>
      <c r="E38" s="436">
        <f>'Sch. G 2022'!F38</f>
        <v>259003.01999999999</v>
      </c>
      <c r="F38" s="436">
        <f>D38+'Sch. H'!D38-'Sch. F 2022 p2'!D38+E38</f>
        <v>6243911.6999999993</v>
      </c>
      <c r="G38" s="436">
        <f>F38+'Sch. H'!E38-'Sch. F 2022 p2'!E38</f>
        <v>6243911.6999999993</v>
      </c>
      <c r="H38" s="436">
        <f>G38+'Sch. H'!F38-'Sch. F 2022 p2'!F38</f>
        <v>6243911.6999999993</v>
      </c>
      <c r="I38" s="436">
        <f>H38+'Sch. H'!G38-'Sch. F 2022 p2'!G38</f>
        <v>6271433.5899999989</v>
      </c>
      <c r="J38" s="436">
        <f>I38+'Sch. H'!H38-'Sch. F 2022 p2'!H38</f>
        <v>6271433.5899999989</v>
      </c>
      <c r="K38" s="436">
        <f>J38+'Sch. H'!I38-'Sch. F 2022 p2'!I38</f>
        <v>6271433.5899999989</v>
      </c>
      <c r="L38" s="436">
        <f>K38+'Sch. H'!J38-'Sch. F 2022 p2'!J38</f>
        <v>6271433.5899999989</v>
      </c>
      <c r="M38" s="436">
        <f>L38+'Sch. H'!K38-'Sch. F 2022 p2'!K38</f>
        <v>6692223.5899999989</v>
      </c>
      <c r="N38" s="436">
        <f>M38+'Sch. H'!L38-'Sch. F 2022 p2'!L38</f>
        <v>6692223.5899999989</v>
      </c>
      <c r="O38" s="436"/>
      <c r="P38" s="436">
        <f>N38+'Sch. H'!M38-'Sch. F 2022 p2'!M38</f>
        <v>6692223.5899999989</v>
      </c>
      <c r="Q38" s="674">
        <f t="shared" si="0"/>
        <v>745571.58999999892</v>
      </c>
      <c r="S38" s="371">
        <f>'Sch. G 2022'!H38-P38</f>
        <v>0.41000000108033419</v>
      </c>
    </row>
    <row r="39" spans="1:19" ht="15">
      <c r="A39" s="218">
        <v>3923</v>
      </c>
      <c r="B39" s="436">
        <f>'Sch. G 2021'!H39</f>
        <v>0</v>
      </c>
      <c r="C39" s="436">
        <f>B39+'Sch. H'!B39-'Sch. F 2022 p2'!B39</f>
        <v>0</v>
      </c>
      <c r="D39" s="436">
        <f>C39+'Sch. H'!C39-'Sch. F 2022 p2'!C39</f>
        <v>0</v>
      </c>
      <c r="E39" s="436">
        <f>'Sch. G 2022'!F39</f>
        <v>0</v>
      </c>
      <c r="F39" s="436">
        <f>D39+'Sch. H'!D39-'Sch. F 2022 p2'!D39+E39</f>
        <v>0</v>
      </c>
      <c r="G39" s="436">
        <f>F39+'Sch. H'!E39-'Sch. F 2022 p2'!E39</f>
        <v>0</v>
      </c>
      <c r="H39" s="436">
        <f>G39+'Sch. H'!F39-'Sch. F 2022 p2'!F39</f>
        <v>0</v>
      </c>
      <c r="I39" s="436">
        <f>H39+'Sch. H'!G39-'Sch. F 2022 p2'!G39</f>
        <v>0</v>
      </c>
      <c r="J39" s="436">
        <f>I39+'Sch. H'!H39-'Sch. F 2022 p2'!H39</f>
        <v>0</v>
      </c>
      <c r="K39" s="436">
        <f>J39+'Sch. H'!I39-'Sch. F 2022 p2'!I39</f>
        <v>0</v>
      </c>
      <c r="L39" s="436">
        <f>K39+'Sch. H'!J39-'Sch. F 2022 p2'!J39</f>
        <v>0</v>
      </c>
      <c r="M39" s="436">
        <f>L39+'Sch. H'!K39-'Sch. F 2022 p2'!K39</f>
        <v>0</v>
      </c>
      <c r="N39" s="436">
        <f>M39+'Sch. H'!L39-'Sch. F 2022 p2'!L39</f>
        <v>0</v>
      </c>
      <c r="O39" s="436"/>
      <c r="P39" s="436">
        <f>N39+'Sch. H'!M39-'Sch. F 2022 p2'!M39</f>
        <v>0</v>
      </c>
      <c r="Q39" s="674">
        <f t="shared" si="0"/>
        <v>0</v>
      </c>
      <c r="S39" s="371">
        <f>'Sch. G 2022'!H39-P39</f>
        <v>0</v>
      </c>
    </row>
    <row r="40" spans="1:19" ht="15">
      <c r="A40" s="218">
        <v>3924</v>
      </c>
      <c r="B40" s="436">
        <f>'Sch. G 2021'!H40</f>
        <v>79064</v>
      </c>
      <c r="C40" s="436">
        <f>B40+'Sch. H'!B40-'Sch. F 2022 p2'!B40</f>
        <v>79064</v>
      </c>
      <c r="D40" s="436">
        <f>C40+'Sch. H'!C40-'Sch. F 2022 p2'!C40</f>
        <v>79064</v>
      </c>
      <c r="E40" s="436">
        <f>'Sch. G 2022'!F40</f>
        <v>-15599.02</v>
      </c>
      <c r="F40" s="436">
        <f>D40+'Sch. H'!D40-'Sch. F 2022 p2'!D40+E40</f>
        <v>63464.979999999996</v>
      </c>
      <c r="G40" s="436">
        <f>F40+'Sch. H'!E40-'Sch. F 2022 p2'!E40</f>
        <v>63464.979999999996</v>
      </c>
      <c r="H40" s="436">
        <f>G40+'Sch. H'!F40-'Sch. F 2022 p2'!F40</f>
        <v>63464.979999999996</v>
      </c>
      <c r="I40" s="436">
        <f>H40+'Sch. H'!G40-'Sch. F 2022 p2'!G40</f>
        <v>63464.979999999996</v>
      </c>
      <c r="J40" s="436">
        <f>I40+'Sch. H'!H40-'Sch. F 2022 p2'!H40</f>
        <v>63464.979999999996</v>
      </c>
      <c r="K40" s="436">
        <f>J40+'Sch. H'!I40-'Sch. F 2022 p2'!I40</f>
        <v>63464.979999999996</v>
      </c>
      <c r="L40" s="436">
        <f>K40+'Sch. H'!J40-'Sch. F 2022 p2'!J40</f>
        <v>63464.979999999996</v>
      </c>
      <c r="M40" s="436">
        <f>L40+'Sch. H'!K40-'Sch. F 2022 p2'!K40</f>
        <v>63464.979999999996</v>
      </c>
      <c r="N40" s="436">
        <f>M40+'Sch. H'!L40-'Sch. F 2022 p2'!L40</f>
        <v>63464.979999999996</v>
      </c>
      <c r="O40" s="436"/>
      <c r="P40" s="436">
        <f>N40+'Sch. H'!M40-'Sch. F 2022 p2'!M40</f>
        <v>63464.979999999996</v>
      </c>
      <c r="Q40" s="674">
        <f t="shared" si="0"/>
        <v>-15599.020000000004</v>
      </c>
      <c r="S40" s="371">
        <f>'Sch. G 2022'!H40-P40</f>
        <v>0.020000000004074536</v>
      </c>
    </row>
    <row r="41" spans="1:19" ht="15">
      <c r="A41" s="218" t="s">
        <v>209</v>
      </c>
      <c r="B41" s="436">
        <f>'Sch. G 2021'!H41</f>
        <v>29982</v>
      </c>
      <c r="C41" s="436">
        <f>B41+'Sch. H'!B41-'Sch. F 2022 p2'!B41</f>
        <v>29982</v>
      </c>
      <c r="D41" s="436">
        <f>C41+'Sch. H'!C41-'Sch. F 2022 p2'!C41</f>
        <v>29982</v>
      </c>
      <c r="E41" s="436">
        <f>'Sch. G 2022'!F41</f>
        <v>0</v>
      </c>
      <c r="F41" s="436">
        <f>D41+'Sch. H'!D41-'Sch. F 2022 p2'!D41+E41</f>
        <v>29982</v>
      </c>
      <c r="G41" s="436">
        <f>F41+'Sch. H'!E41-'Sch. F 2022 p2'!E41</f>
        <v>29982</v>
      </c>
      <c r="H41" s="436">
        <f>G41+'Sch. H'!F41-'Sch. F 2022 p2'!F41</f>
        <v>29982</v>
      </c>
      <c r="I41" s="436">
        <f>H41+'Sch. H'!G41-'Sch. F 2022 p2'!G41</f>
        <v>29982</v>
      </c>
      <c r="J41" s="436">
        <f>I41+'Sch. H'!H41-'Sch. F 2022 p2'!H41</f>
        <v>29982</v>
      </c>
      <c r="K41" s="436">
        <f>J41+'Sch. H'!I41-'Sch. F 2022 p2'!I41</f>
        <v>29982</v>
      </c>
      <c r="L41" s="436">
        <f>K41+'Sch. H'!J41-'Sch. F 2022 p2'!J41</f>
        <v>29982</v>
      </c>
      <c r="M41" s="436">
        <f>L41+'Sch. H'!K41-'Sch. F 2022 p2'!K41</f>
        <v>29982</v>
      </c>
      <c r="N41" s="436">
        <f>M41+'Sch. H'!L41-'Sch. F 2022 p2'!L41</f>
        <v>29982</v>
      </c>
      <c r="O41" s="436"/>
      <c r="P41" s="436">
        <f>N41+'Sch. H'!M41-'Sch. F 2022 p2'!M41</f>
        <v>29457.610000000001</v>
      </c>
      <c r="Q41" s="674">
        <f t="shared" si="0"/>
        <v>-524.38999999999942</v>
      </c>
      <c r="S41" s="371">
        <f>'Sch. G 2022'!H41-P41</f>
        <v>0.38999999999941792</v>
      </c>
    </row>
    <row r="42" spans="1:19" ht="15">
      <c r="A42" s="218" t="s">
        <v>210</v>
      </c>
      <c r="B42" s="436">
        <f>'Sch. G 2021'!H42</f>
        <v>1115043</v>
      </c>
      <c r="C42" s="436">
        <f>B42+'Sch. H'!B42-'Sch. F 2022 p2'!B42</f>
        <v>1122705</v>
      </c>
      <c r="D42" s="436">
        <f>C42+'Sch. H'!C42-'Sch. F 2022 p2'!C42</f>
        <v>1132921</v>
      </c>
      <c r="E42" s="436">
        <f>'Sch. G 2022'!F42</f>
        <v>9737</v>
      </c>
      <c r="F42" s="436">
        <f>D42+'Sch. H'!D42-'Sch. F 2022 p2'!D42+E42</f>
        <v>1163480</v>
      </c>
      <c r="G42" s="436">
        <f>F42+'Sch. H'!E42-'Sch. F 2022 p2'!E42</f>
        <v>1183912</v>
      </c>
      <c r="H42" s="436">
        <f>G42+'Sch. H'!F42-'Sch. F 2022 p2'!F42</f>
        <v>1204344</v>
      </c>
      <c r="I42" s="436">
        <f>H42+'Sch. H'!G42-'Sch. F 2022 p2'!G42</f>
        <v>1232827.6699999999</v>
      </c>
      <c r="J42" s="436">
        <f>I42+'Sch. H'!H42-'Sch. F 2022 p2'!H42</f>
        <v>1255813.6699999999</v>
      </c>
      <c r="K42" s="436">
        <f>J42+'Sch. H'!I42-'Sch. F 2022 p2'!I42</f>
        <v>1278799.6699999999</v>
      </c>
      <c r="L42" s="436">
        <f>K42+'Sch. H'!J42-'Sch. F 2022 p2'!J42</f>
        <v>1301785.6699999999</v>
      </c>
      <c r="M42" s="436">
        <f>L42+'Sch. H'!K42-'Sch. F 2022 p2'!K42</f>
        <v>1324771.6699999999</v>
      </c>
      <c r="N42" s="436">
        <f>M42+'Sch. H'!L42-'Sch. F 2022 p2'!L42</f>
        <v>1345203.6699999999</v>
      </c>
      <c r="O42" s="436"/>
      <c r="P42" s="436">
        <f>N42+'Sch. H'!M42-'Sch. F 2022 p2'!M42</f>
        <v>1366808.5799999998</v>
      </c>
      <c r="Q42" s="674">
        <f t="shared" si="0"/>
        <v>251765.57999999984</v>
      </c>
      <c r="S42" s="371">
        <f>'Sch. G 2022'!H42-P42</f>
        <v>0.42000000015832484</v>
      </c>
    </row>
    <row r="43" spans="1:19" ht="15">
      <c r="A43" s="218" t="s">
        <v>211</v>
      </c>
      <c r="B43" s="436">
        <f>'Sch. G 2021'!H43</f>
        <v>0</v>
      </c>
      <c r="C43" s="436">
        <f>B43+'Sch. H'!B43-'Sch. F 2022 p2'!B43</f>
        <v>0</v>
      </c>
      <c r="D43" s="436">
        <f>C43+'Sch. H'!C43-'Sch. F 2022 p2'!C43</f>
        <v>0</v>
      </c>
      <c r="E43" s="436">
        <f>'Sch. G 2022'!F43</f>
        <v>0</v>
      </c>
      <c r="F43" s="436">
        <f>D43+'Sch. H'!D43-'Sch. F 2022 p2'!D43+E43</f>
        <v>0</v>
      </c>
      <c r="G43" s="436">
        <f>F43+'Sch. H'!E43-'Sch. F 2022 p2'!E43</f>
        <v>0</v>
      </c>
      <c r="H43" s="436">
        <f>G43+'Sch. H'!F43-'Sch. F 2022 p2'!F43</f>
        <v>0</v>
      </c>
      <c r="I43" s="436">
        <f>H43+'Sch. H'!G43-'Sch. F 2022 p2'!G43</f>
        <v>0</v>
      </c>
      <c r="J43" s="436">
        <f>I43+'Sch. H'!H43-'Sch. F 2022 p2'!H43</f>
        <v>0</v>
      </c>
      <c r="K43" s="436">
        <f>J43+'Sch. H'!I43-'Sch. F 2022 p2'!I43</f>
        <v>0</v>
      </c>
      <c r="L43" s="436">
        <f>K43+'Sch. H'!J43-'Sch. F 2022 p2'!J43</f>
        <v>0</v>
      </c>
      <c r="M43" s="436">
        <f>L43+'Sch. H'!K43-'Sch. F 2022 p2'!K43</f>
        <v>0</v>
      </c>
      <c r="N43" s="436">
        <f>M43+'Sch. H'!L43-'Sch. F 2022 p2'!L43</f>
        <v>0</v>
      </c>
      <c r="O43" s="436"/>
      <c r="P43" s="436">
        <f>N43+'Sch. H'!M43-'Sch. F 2022 p2'!M43</f>
        <v>0</v>
      </c>
      <c r="Q43" s="674">
        <f t="shared" si="0"/>
        <v>0</v>
      </c>
      <c r="S43" s="371">
        <f>'Sch. G 2022'!H43-P43</f>
        <v>0</v>
      </c>
    </row>
    <row r="44" spans="1:19" ht="15">
      <c r="A44" s="218" t="s">
        <v>212</v>
      </c>
      <c r="B44" s="436">
        <f>'Sch. G 2021'!H44</f>
        <v>1412159</v>
      </c>
      <c r="C44" s="436">
        <f>B44+'Sch. H'!B44-'Sch. F 2022 p2'!B44</f>
        <v>1415309</v>
      </c>
      <c r="D44" s="436">
        <f>C44+'Sch. H'!C44-'Sch. F 2022 p2'!C44</f>
        <v>1419509</v>
      </c>
      <c r="E44" s="436">
        <f>'Sch. G 2022'!F44</f>
        <v>18988</v>
      </c>
      <c r="F44" s="436">
        <f>D44+'Sch. H'!D44-'Sch. F 2022 p2'!D44+E44</f>
        <v>1570194</v>
      </c>
      <c r="G44" s="436">
        <f>F44+'Sch. H'!E44-'Sch. F 2022 p2'!E44</f>
        <v>1578594</v>
      </c>
      <c r="H44" s="436">
        <f>G44+'Sch. H'!F44-'Sch. F 2022 p2'!F44</f>
        <v>1586994</v>
      </c>
      <c r="I44" s="436">
        <f>H44+'Sch. H'!G44-'Sch. F 2022 p2'!G44</f>
        <v>1721842</v>
      </c>
      <c r="J44" s="436">
        <f>I44+'Sch. H'!H44-'Sch. F 2022 p2'!H44</f>
        <v>1731292</v>
      </c>
      <c r="K44" s="436">
        <f>J44+'Sch. H'!I44-'Sch. F 2022 p2'!I44</f>
        <v>1740742</v>
      </c>
      <c r="L44" s="436">
        <f>K44+'Sch. H'!J44-'Sch. F 2022 p2'!J44</f>
        <v>1750192</v>
      </c>
      <c r="M44" s="436">
        <f>L44+'Sch. H'!K44-'Sch. F 2022 p2'!K44</f>
        <v>1759642</v>
      </c>
      <c r="N44" s="436">
        <f>M44+'Sch. H'!L44-'Sch. F 2022 p2'!L44</f>
        <v>1768042</v>
      </c>
      <c r="O44" s="436"/>
      <c r="P44" s="436">
        <f>N44+'Sch. H'!M44-'Sch. F 2022 p2'!M44</f>
        <v>1789042</v>
      </c>
      <c r="Q44" s="674">
        <f t="shared" si="0"/>
        <v>376883</v>
      </c>
      <c r="S44" s="371">
        <f>'Sch. G 2022'!H44-P44</f>
        <v>0</v>
      </c>
    </row>
    <row r="45" spans="1:19" ht="15">
      <c r="A45" s="218" t="s">
        <v>213</v>
      </c>
      <c r="B45" s="436">
        <f>'Sch. G 2021'!H45</f>
        <v>2628479</v>
      </c>
      <c r="C45" s="436">
        <f>B45+'Sch. H'!B45-'Sch. F 2022 p2'!B45</f>
        <v>2628479</v>
      </c>
      <c r="D45" s="436">
        <f>C45+'Sch. H'!C45-'Sch. F 2022 p2'!C45</f>
        <v>2628479</v>
      </c>
      <c r="E45" s="436">
        <f>'Sch. G 2022'!F45</f>
        <v>7783.6999999999998</v>
      </c>
      <c r="F45" s="436">
        <f>D45+'Sch. H'!D45-'Sch. F 2022 p2'!D45+E45</f>
        <v>2641762.71</v>
      </c>
      <c r="G45" s="436">
        <f>F45+'Sch. H'!E45-'Sch. F 2022 p2'!E45</f>
        <v>2641762.71</v>
      </c>
      <c r="H45" s="436">
        <f>G45+'Sch. H'!F45-'Sch. F 2022 p2'!F45</f>
        <v>2641762.71</v>
      </c>
      <c r="I45" s="436">
        <f>H45+'Sch. H'!G45-'Sch. F 2022 p2'!G45</f>
        <v>2647262.7000000002</v>
      </c>
      <c r="J45" s="436">
        <f>I45+'Sch. H'!H45-'Sch. F 2022 p2'!H45</f>
        <v>2647262.7000000002</v>
      </c>
      <c r="K45" s="436">
        <f>J45+'Sch. H'!I45-'Sch. F 2022 p2'!I45</f>
        <v>2647262.7000000002</v>
      </c>
      <c r="L45" s="436">
        <f>K45+'Sch. H'!J45-'Sch. F 2022 p2'!J45</f>
        <v>2647262.7000000002</v>
      </c>
      <c r="M45" s="436">
        <f>L45+'Sch. H'!K45-'Sch. F 2022 p2'!K45</f>
        <v>2647262.7000000002</v>
      </c>
      <c r="N45" s="436">
        <f>M45+'Sch. H'!L45-'Sch. F 2022 p2'!L45</f>
        <v>2647262.7000000002</v>
      </c>
      <c r="O45" s="436"/>
      <c r="P45" s="436">
        <f>N45+'Sch. H'!M45-'Sch. F 2022 p2'!M45</f>
        <v>2351046.8000000003</v>
      </c>
      <c r="Q45" s="674">
        <f t="shared" si="0"/>
        <v>-277432.19999999972</v>
      </c>
      <c r="S45" s="371">
        <f>'Sch. G 2022'!H45-P45</f>
        <v>0.19999999972060323</v>
      </c>
    </row>
    <row r="46" spans="1:19" ht="15">
      <c r="A46" s="218" t="s">
        <v>214</v>
      </c>
      <c r="B46" s="436">
        <f>'Sch. G 2021'!H46</f>
        <v>372105</v>
      </c>
      <c r="C46" s="436">
        <f>B46+'Sch. H'!B46-'Sch. F 2022 p2'!B46</f>
        <v>372120</v>
      </c>
      <c r="D46" s="436">
        <f>C46+'Sch. H'!C46-'Sch. F 2022 p2'!C46</f>
        <v>372140</v>
      </c>
      <c r="E46" s="436">
        <f>'Sch. G 2022'!F46</f>
        <v>16476.720000000001</v>
      </c>
      <c r="F46" s="436">
        <f>D46+'Sch. H'!D46-'Sch. F 2022 p2'!D46+E46</f>
        <v>388641.71999999997</v>
      </c>
      <c r="G46" s="436">
        <f>F46+'Sch. H'!E46-'Sch. F 2022 p2'!E46</f>
        <v>388681.71999999997</v>
      </c>
      <c r="H46" s="436">
        <f>G46+'Sch. H'!F46-'Sch. F 2022 p2'!F46</f>
        <v>388721.71999999997</v>
      </c>
      <c r="I46" s="436">
        <f>H46+'Sch. H'!G46-'Sch. F 2022 p2'!G46</f>
        <v>388761.71999999997</v>
      </c>
      <c r="J46" s="436">
        <f>I46+'Sch. H'!H46-'Sch. F 2022 p2'!H46</f>
        <v>388806.71999999997</v>
      </c>
      <c r="K46" s="436">
        <f>J46+'Sch. H'!I46-'Sch. F 2022 p2'!I46</f>
        <v>388851.71999999997</v>
      </c>
      <c r="L46" s="436">
        <f>K46+'Sch. H'!J46-'Sch. F 2022 p2'!J46</f>
        <v>388896.71999999997</v>
      </c>
      <c r="M46" s="436">
        <f>L46+'Sch. H'!K46-'Sch. F 2022 p2'!K46</f>
        <v>388941.71999999997</v>
      </c>
      <c r="N46" s="436">
        <f>M46+'Sch. H'!L46-'Sch. F 2022 p2'!L46</f>
        <v>388981.71999999997</v>
      </c>
      <c r="O46" s="436"/>
      <c r="P46" s="436">
        <f>N46+'Sch. H'!M46-'Sch. F 2022 p2'!M46</f>
        <v>368904.00999999995</v>
      </c>
      <c r="Q46" s="674">
        <f t="shared" si="0"/>
        <v>-3200.9900000000489</v>
      </c>
      <c r="S46" s="371">
        <f>'Sch. G 2022'!H46-P46</f>
        <v>-0.0099999999511055648</v>
      </c>
    </row>
    <row r="47" spans="1:19" ht="15">
      <c r="A47" s="218" t="s">
        <v>215</v>
      </c>
      <c r="B47" s="436">
        <f>'Sch. G 2021'!H47</f>
        <v>0</v>
      </c>
      <c r="C47" s="436">
        <f>B47+'Sch. H'!B47-'Sch. F 2022 p2'!B47</f>
        <v>0</v>
      </c>
      <c r="D47" s="436">
        <f>C47+'Sch. H'!C47-'Sch. F 2022 p2'!C47</f>
        <v>0</v>
      </c>
      <c r="E47" s="436">
        <f>'Sch. G 2022'!F47</f>
        <v>0</v>
      </c>
      <c r="F47" s="436">
        <f>D47+'Sch. H'!D47-'Sch. F 2022 p2'!D47+E47</f>
        <v>0</v>
      </c>
      <c r="G47" s="436">
        <f>F47+'Sch. H'!E47-'Sch. F 2022 p2'!E47</f>
        <v>0</v>
      </c>
      <c r="H47" s="436">
        <f>G47+'Sch. H'!F47-'Sch. F 2022 p2'!F47</f>
        <v>0</v>
      </c>
      <c r="I47" s="436">
        <f>H47+'Sch. H'!G47-'Sch. F 2022 p2'!G47</f>
        <v>0</v>
      </c>
      <c r="J47" s="436">
        <f>I47+'Sch. H'!H47-'Sch. F 2022 p2'!H47</f>
        <v>0</v>
      </c>
      <c r="K47" s="436">
        <f>J47+'Sch. H'!I47-'Sch. F 2022 p2'!I47</f>
        <v>0</v>
      </c>
      <c r="L47" s="436">
        <f>K47+'Sch. H'!J47-'Sch. F 2022 p2'!J47</f>
        <v>0</v>
      </c>
      <c r="M47" s="436">
        <f>L47+'Sch. H'!K47-'Sch. F 2022 p2'!K47</f>
        <v>0</v>
      </c>
      <c r="N47" s="436">
        <f>M47+'Sch. H'!L47-'Sch. F 2022 p2'!L47</f>
        <v>0</v>
      </c>
      <c r="O47" s="436"/>
      <c r="P47" s="436">
        <f>N47+'Sch. H'!M47-'Sch. F 2022 p2'!M47</f>
        <v>0</v>
      </c>
      <c r="Q47" s="674">
        <f t="shared" si="0"/>
        <v>0</v>
      </c>
      <c r="S47" s="371">
        <f>'Sch. G 2022'!H47-P47</f>
        <v>0</v>
      </c>
    </row>
    <row r="48" spans="1:19" ht="15.75" thickBot="1">
      <c r="A48" s="191"/>
      <c r="B48" s="735">
        <f t="shared" si="1" ref="B48:Q48">ROUND(SUM(B9:B47),0)</f>
        <v>543280748</v>
      </c>
      <c r="C48" s="735">
        <f t="shared" si="1"/>
        <v>544676482</v>
      </c>
      <c r="D48" s="735">
        <f t="shared" si="1"/>
        <v>545744548</v>
      </c>
      <c r="E48" s="735">
        <f t="shared" si="1"/>
        <v>-98379</v>
      </c>
      <c r="F48" s="735">
        <f t="shared" si="1"/>
        <v>551409889</v>
      </c>
      <c r="G48" s="735">
        <f t="shared" si="1"/>
        <v>553580643</v>
      </c>
      <c r="H48" s="735">
        <f t="shared" si="1"/>
        <v>556571487</v>
      </c>
      <c r="I48" s="735">
        <f t="shared" si="1"/>
        <v>560159933</v>
      </c>
      <c r="J48" s="735">
        <f t="shared" si="1"/>
        <v>561885359</v>
      </c>
      <c r="K48" s="735">
        <f t="shared" si="1"/>
        <v>563279032</v>
      </c>
      <c r="L48" s="735">
        <f t="shared" si="1"/>
        <v>564937767</v>
      </c>
      <c r="M48" s="735">
        <f t="shared" si="1"/>
        <v>566729983</v>
      </c>
      <c r="N48" s="735">
        <f t="shared" si="1"/>
        <v>567742680</v>
      </c>
      <c r="O48" s="735">
        <f t="shared" si="1"/>
        <v>4080686</v>
      </c>
      <c r="P48" s="735">
        <f t="shared" si="1"/>
        <v>578975188</v>
      </c>
      <c r="Q48" s="736">
        <f t="shared" si="1"/>
        <v>35694440</v>
      </c>
      <c r="S48" s="371">
        <f>SUM(S9:S47)</f>
        <v>2.5514681532804389</v>
      </c>
    </row>
    <row r="50" spans="16:17" ht="15">
      <c r="P50" t="s">
        <v>694</v>
      </c>
      <c r="Q50" s="371">
        <f>SUM('Sch. G 2022'!C48:G48)</f>
        <v>35694440</v>
      </c>
    </row>
    <row r="51" spans="16:17" ht="15">
      <c r="P51" t="s">
        <v>682</v>
      </c>
      <c r="Q51" s="371">
        <f>Q48-Q50</f>
        <v>0</v>
      </c>
    </row>
    <row r="53" spans="16:16" ht="15">
      <c r="P53" t="s">
        <v>678</v>
      </c>
    </row>
    <row r="54" spans="16:17" ht="15">
      <c r="P54" t="s">
        <v>693</v>
      </c>
      <c r="Q54" s="371">
        <f>'Sch. G 2022'!F48</f>
        <v>3982306</v>
      </c>
    </row>
    <row r="55" spans="16:17" ht="15" thickBot="1">
      <c r="P55" t="s">
        <v>682</v>
      </c>
      <c r="Q55" s="371">
        <f>E48-Q54+O48</f>
        <v>1</v>
      </c>
    </row>
  </sheetData>
  <mergeCells count="5">
    <mergeCell ref="A1:Q1"/>
    <mergeCell ref="A2:Q2"/>
    <mergeCell ref="A3:Q3"/>
    <mergeCell ref="A4:Q4"/>
    <mergeCell ref="A6:Q6"/>
  </mergeCells>
  <printOptions horizontalCentered="1"/>
  <pageMargins left="0.5" right="0.5" top="1.01" bottom="0.5" header="0.5" footer="0.2"/>
  <pageSetup orientation="landscape" scale="59" r:id="rId1"/>
  <headerFooter>
    <oddHeader>&amp;L&amp;"Arial,Bold"&amp;12Florida Public Utilities Natural Gas Division
2023 Consolidated Depreciation Study Workbook
Docket No. 20220067&amp;R&amp;"Arial,Bold"&amp;12Revised Exhibit PSL-2
Page &amp;P of 93
Schedule I</oddHeader>
    <oddFooter>&amp;C&amp;A</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51"/>
  <sheetViews>
    <sheetView workbookViewId="0" topLeftCell="H39">
      <selection pane="topLeft" activeCell="O55" sqref="O55"/>
    </sheetView>
  </sheetViews>
  <sheetFormatPr defaultRowHeight="15"/>
  <cols>
    <col min="1" max="1" width="7.85714285714286" bestFit="1" customWidth="1"/>
    <col min="2" max="2" width="5.85714285714286" style="222" bestFit="1" customWidth="1"/>
    <col min="3" max="14" width="11.5714285714286" bestFit="1" customWidth="1"/>
    <col min="15" max="15" width="17.4285714285714" bestFit="1" customWidth="1"/>
    <col min="16" max="16" width="12.5714285714286" bestFit="1" customWidth="1"/>
  </cols>
  <sheetData>
    <row r="1" spans="1:16" s="645" customFormat="1" ht="19.5" thickTop="1">
      <c r="A1" s="956" t="s">
        <v>56</v>
      </c>
      <c r="B1" s="957"/>
      <c r="C1" s="957"/>
      <c r="D1" s="957"/>
      <c r="E1" s="957"/>
      <c r="F1" s="957"/>
      <c r="G1" s="957"/>
      <c r="H1" s="957"/>
      <c r="I1" s="957"/>
      <c r="J1" s="957"/>
      <c r="K1" s="957"/>
      <c r="L1" s="957"/>
      <c r="M1" s="957"/>
      <c r="N1" s="957"/>
      <c r="O1" s="957"/>
      <c r="P1" s="958"/>
    </row>
    <row r="2" spans="1:16" s="543" customFormat="1" ht="15">
      <c r="A2" s="959" t="str">
        <f>Input!B3</f>
        <v>FPUC, FPUC - Common, FPUC - Indiantown, Florida Division of Chesapeake Utilities Corporation, FPUC - Ft Meade</v>
      </c>
      <c r="B2" s="921"/>
      <c r="C2" s="921"/>
      <c r="D2" s="921"/>
      <c r="E2" s="921"/>
      <c r="F2" s="921"/>
      <c r="G2" s="921"/>
      <c r="H2" s="921"/>
      <c r="I2" s="921"/>
      <c r="J2" s="921"/>
      <c r="K2" s="921"/>
      <c r="L2" s="921"/>
      <c r="M2" s="921"/>
      <c r="N2" s="921"/>
      <c r="O2" s="921"/>
      <c r="P2" s="961"/>
    </row>
    <row r="3" spans="1:16" s="544" customFormat="1" ht="15.75">
      <c r="A3" s="962" t="s">
        <v>44</v>
      </c>
      <c r="B3" s="922"/>
      <c r="C3" s="922"/>
      <c r="D3" s="922"/>
      <c r="E3" s="922"/>
      <c r="F3" s="922"/>
      <c r="G3" s="922"/>
      <c r="H3" s="922"/>
      <c r="I3" s="922"/>
      <c r="J3" s="922"/>
      <c r="K3" s="922"/>
      <c r="L3" s="922"/>
      <c r="M3" s="922"/>
      <c r="N3" s="922"/>
      <c r="O3" s="922"/>
      <c r="P3" s="964"/>
    </row>
    <row r="4" spans="1:16" s="544" customFormat="1" ht="15.75">
      <c r="A4" s="965">
        <v>2022</v>
      </c>
      <c r="B4" s="923"/>
      <c r="C4" s="923"/>
      <c r="D4" s="923"/>
      <c r="E4" s="923"/>
      <c r="F4" s="923"/>
      <c r="G4" s="923"/>
      <c r="H4" s="923"/>
      <c r="I4" s="923"/>
      <c r="J4" s="923"/>
      <c r="K4" s="923"/>
      <c r="L4" s="923"/>
      <c r="M4" s="923"/>
      <c r="N4" s="923"/>
      <c r="O4" s="923"/>
      <c r="P4" s="967"/>
    </row>
    <row r="5" spans="1:16" s="543" customFormat="1" ht="15.75" thickBot="1">
      <c r="A5" s="642"/>
      <c r="B5" s="643"/>
      <c r="P5" s="644"/>
    </row>
    <row r="6" spans="1:16" ht="15.75" thickTop="1">
      <c r="A6" s="917" t="s">
        <v>163</v>
      </c>
      <c r="B6" s="918"/>
      <c r="C6" s="918"/>
      <c r="D6" s="918"/>
      <c r="E6" s="918"/>
      <c r="F6" s="918"/>
      <c r="G6" s="918"/>
      <c r="H6" s="918"/>
      <c r="I6" s="918"/>
      <c r="J6" s="918"/>
      <c r="K6" s="918"/>
      <c r="L6" s="918"/>
      <c r="M6" s="918"/>
      <c r="N6" s="918"/>
      <c r="O6" s="918"/>
      <c r="P6" s="919"/>
    </row>
    <row r="7" spans="1:16" s="219" customFormat="1" ht="15">
      <c r="A7" s="208" t="s">
        <v>178</v>
      </c>
      <c r="B7" s="327"/>
      <c r="C7" s="205" t="s">
        <v>180</v>
      </c>
      <c r="D7" s="205" t="s">
        <v>180</v>
      </c>
      <c r="E7" s="205" t="s">
        <v>180</v>
      </c>
      <c r="F7" s="205" t="s">
        <v>180</v>
      </c>
      <c r="G7" s="205" t="s">
        <v>180</v>
      </c>
      <c r="H7" s="205" t="s">
        <v>180</v>
      </c>
      <c r="I7" s="205" t="s">
        <v>180</v>
      </c>
      <c r="J7" s="205" t="s">
        <v>180</v>
      </c>
      <c r="K7" s="205" t="s">
        <v>180</v>
      </c>
      <c r="L7" s="205" t="s">
        <v>180</v>
      </c>
      <c r="M7" s="205" t="s">
        <v>180</v>
      </c>
      <c r="N7" s="205" t="s">
        <v>180</v>
      </c>
      <c r="O7" s="205" t="s">
        <v>701</v>
      </c>
      <c r="P7" s="203" t="s">
        <v>180</v>
      </c>
    </row>
    <row r="8" spans="1:16" ht="15">
      <c r="A8" s="202" t="s">
        <v>181</v>
      </c>
      <c r="B8" s="328" t="s">
        <v>332</v>
      </c>
      <c r="C8" s="199" t="s">
        <v>182</v>
      </c>
      <c r="D8" s="199" t="s">
        <v>183</v>
      </c>
      <c r="E8" s="199" t="s">
        <v>184</v>
      </c>
      <c r="F8" s="199" t="s">
        <v>185</v>
      </c>
      <c r="G8" s="199" t="s">
        <v>186</v>
      </c>
      <c r="H8" s="199" t="s">
        <v>187</v>
      </c>
      <c r="I8" s="199" t="s">
        <v>188</v>
      </c>
      <c r="J8" s="199" t="s">
        <v>189</v>
      </c>
      <c r="K8" s="199" t="s">
        <v>190</v>
      </c>
      <c r="L8" s="199" t="s">
        <v>191</v>
      </c>
      <c r="M8" s="199" t="s">
        <v>192</v>
      </c>
      <c r="N8" s="199" t="s">
        <v>193</v>
      </c>
      <c r="O8" s="199" t="s">
        <v>702</v>
      </c>
      <c r="P8" s="198" t="s">
        <v>175</v>
      </c>
    </row>
    <row r="9" spans="1:16" ht="15">
      <c r="A9" s="218">
        <v>3010</v>
      </c>
      <c r="B9" s="378">
        <v>0</v>
      </c>
      <c r="C9" s="193">
        <f>ROUND('Sch. I'!B9*$B9/12,0)</f>
        <v>0</v>
      </c>
      <c r="D9" s="193">
        <f>ROUND('Sch. I'!C9*$B9/12,0)</f>
        <v>0</v>
      </c>
      <c r="E9" s="193">
        <f>ROUND('Sch. I'!D9*$B9/12,0)</f>
        <v>0</v>
      </c>
      <c r="F9" s="193">
        <f>ROUND('Sch. I'!F9*$B9/12,0)</f>
        <v>0</v>
      </c>
      <c r="G9" s="193">
        <f>ROUND('Sch. I'!G9*$B9/12,0)</f>
        <v>0</v>
      </c>
      <c r="H9" s="193">
        <f>ROUND('Sch. I'!H9*$B9/12,0)</f>
        <v>0</v>
      </c>
      <c r="I9" s="193">
        <f>ROUND('Sch. I'!I9*$B9/12,0)</f>
        <v>0</v>
      </c>
      <c r="J9" s="193">
        <f>ROUND('Sch. I'!J9*$B9/12,0)</f>
        <v>0</v>
      </c>
      <c r="K9" s="193">
        <f>ROUND('Sch. I'!K9*$B9/12,0)</f>
        <v>0</v>
      </c>
      <c r="L9" s="193">
        <f>ROUND('Sch. I'!L9*$B9/12,0)</f>
        <v>0</v>
      </c>
      <c r="M9" s="193">
        <f>ROUND('Sch. I'!M9*$B9/12,0)</f>
        <v>0</v>
      </c>
      <c r="N9" s="193">
        <f>ROUND('Sch. I'!N9*$B9/12,0)</f>
        <v>0</v>
      </c>
      <c r="O9" s="193"/>
      <c r="P9" s="197">
        <f>ROUND(SUM(C9:O9),0)</f>
        <v>0</v>
      </c>
    </row>
    <row r="10" spans="1:16" ht="15">
      <c r="A10" s="218" t="s">
        <v>195</v>
      </c>
      <c r="B10" s="378">
        <v>0</v>
      </c>
      <c r="C10" s="193">
        <f>ROUND('Sch. I'!B10*$B10/12,0)</f>
        <v>0</v>
      </c>
      <c r="D10" s="193">
        <f>ROUND('Sch. I'!C10*$B10/12,0)</f>
        <v>0</v>
      </c>
      <c r="E10" s="193">
        <f>ROUND('Sch. I'!D10*$B10/12,0)</f>
        <v>0</v>
      </c>
      <c r="F10" s="193">
        <f>ROUND('Sch. I'!F10*$B10/12,0)</f>
        <v>0</v>
      </c>
      <c r="G10" s="193">
        <f>ROUND('Sch. I'!G10*$B10/12,0)</f>
        <v>0</v>
      </c>
      <c r="H10" s="193">
        <f>ROUND('Sch. I'!H10*$B10/12,0)</f>
        <v>0</v>
      </c>
      <c r="I10" s="193">
        <f>ROUND('Sch. I'!I10*$B10/12,0)</f>
        <v>0</v>
      </c>
      <c r="J10" s="193">
        <f>ROUND('Sch. I'!J10*$B10/12,0)</f>
        <v>0</v>
      </c>
      <c r="K10" s="193">
        <f>ROUND('Sch. I'!K10*$B10/12,0)</f>
        <v>0</v>
      </c>
      <c r="L10" s="193">
        <f>ROUND('Sch. I'!L10*$B10/12,0)</f>
        <v>0</v>
      </c>
      <c r="M10" s="193">
        <f>ROUND('Sch. I'!M10*$B10/12,0)</f>
        <v>0</v>
      </c>
      <c r="N10" s="193">
        <f>ROUND('Sch. I'!N10*$B10/12,0)</f>
        <v>0</v>
      </c>
      <c r="O10" s="193"/>
      <c r="P10" s="197">
        <f t="shared" si="0" ref="P10:P47">ROUND(SUM(C10:O10),0)</f>
        <v>0</v>
      </c>
    </row>
    <row r="11" spans="1:16" ht="15">
      <c r="A11" s="218" t="s">
        <v>196</v>
      </c>
      <c r="B11" s="378">
        <v>0</v>
      </c>
      <c r="C11" s="193">
        <f>ROUND('Sch. I'!B11*$B11/12,0)</f>
        <v>0</v>
      </c>
      <c r="D11" s="193">
        <f>ROUND('Sch. I'!C11*$B11/12,0)</f>
        <v>0</v>
      </c>
      <c r="E11" s="436">
        <f>ROUND('Sch. I'!D11*$B11/12,0)</f>
        <v>0</v>
      </c>
      <c r="F11" s="436">
        <f>ROUND('Sch. I'!F11*$B11/12,0)</f>
        <v>0</v>
      </c>
      <c r="G11" s="436">
        <f>ROUND('Sch. I'!G11*$B11/12,0)</f>
        <v>0</v>
      </c>
      <c r="H11" s="436">
        <f>ROUND('Sch. I'!H11*$B11/12,0)</f>
        <v>0</v>
      </c>
      <c r="I11" s="436">
        <f>ROUND('Sch. I'!I11*$B11/12,0)</f>
        <v>0</v>
      </c>
      <c r="J11" s="436">
        <f>ROUND('Sch. I'!J11*$B11/12,0)</f>
        <v>0</v>
      </c>
      <c r="K11" s="436">
        <f>ROUND('Sch. I'!K11*$B11/12,0)</f>
        <v>0</v>
      </c>
      <c r="L11" s="436">
        <f>ROUND('Sch. I'!L11*$B11/12,0)</f>
        <v>0</v>
      </c>
      <c r="M11" s="436">
        <f>ROUND('Sch. I'!M11*$B11/12,0)</f>
        <v>0</v>
      </c>
      <c r="N11" s="436">
        <f>ROUND('Sch. I'!N11*$B11/12,0)</f>
        <v>0</v>
      </c>
      <c r="O11" s="436"/>
      <c r="P11" s="674">
        <f t="shared" si="0"/>
        <v>0</v>
      </c>
    </row>
    <row r="12" spans="1:16" ht="15">
      <c r="A12" s="218" t="s">
        <v>197</v>
      </c>
      <c r="B12" s="378">
        <v>0</v>
      </c>
      <c r="C12" s="193">
        <f>ROUND('Sch. I'!B12*$B12/12,0)</f>
        <v>0</v>
      </c>
      <c r="D12" s="193">
        <f>ROUND('Sch. I'!C12*$B12/12,0)</f>
        <v>0</v>
      </c>
      <c r="E12" s="436">
        <f>ROUND('Sch. I'!D12*$B12/12,0)</f>
        <v>0</v>
      </c>
      <c r="F12" s="436">
        <f>ROUND('Sch. I'!F12*$B12/12,0)</f>
        <v>0</v>
      </c>
      <c r="G12" s="436">
        <f>ROUND('Sch. I'!G12*$B12/12,0)</f>
        <v>0</v>
      </c>
      <c r="H12" s="436">
        <f>ROUND('Sch. I'!H12*$B12/12,0)</f>
        <v>0</v>
      </c>
      <c r="I12" s="436">
        <f>ROUND('Sch. I'!I12*$B12/12,0)</f>
        <v>0</v>
      </c>
      <c r="J12" s="436">
        <f>ROUND('Sch. I'!J12*$B12/12,0)</f>
        <v>0</v>
      </c>
      <c r="K12" s="436">
        <f>ROUND('Sch. I'!K12*$B12/12,0)</f>
        <v>0</v>
      </c>
      <c r="L12" s="436">
        <f>ROUND('Sch. I'!L12*$B12/12,0)</f>
        <v>0</v>
      </c>
      <c r="M12" s="436">
        <f>ROUND('Sch. I'!M12*$B12/12,0)</f>
        <v>0</v>
      </c>
      <c r="N12" s="436">
        <f>ROUND('Sch. I'!N12*$B12/12,0)</f>
        <v>0</v>
      </c>
      <c r="O12" s="436"/>
      <c r="P12" s="674">
        <f t="shared" si="0"/>
        <v>0</v>
      </c>
    </row>
    <row r="13" spans="1:16" ht="15">
      <c r="A13" s="218">
        <v>3741</v>
      </c>
      <c r="B13" s="378">
        <v>0.055</v>
      </c>
      <c r="C13" s="193">
        <f>ROUND('Sch. I'!B13*$B13/12,0)</f>
        <v>153</v>
      </c>
      <c r="D13" s="193">
        <f>ROUND('Sch. I'!C13*$B13/12,0)</f>
        <v>153</v>
      </c>
      <c r="E13" s="436">
        <f>ROUND('Sch. I'!D13*$B13/12,0)</f>
        <v>153</v>
      </c>
      <c r="F13" s="436">
        <f>ROUND('Sch. I'!F13*$B13/12,0)</f>
        <v>153</v>
      </c>
      <c r="G13" s="436">
        <f>ROUND('Sch. I'!G13*$B13/12,0)</f>
        <v>153</v>
      </c>
      <c r="H13" s="436">
        <f>ROUND('Sch. I'!H13*$B13/12,0)</f>
        <v>153</v>
      </c>
      <c r="I13" s="436">
        <f>ROUND('Sch. I'!I13*$B13/12,0)</f>
        <v>153</v>
      </c>
      <c r="J13" s="436">
        <f>ROUND('Sch. I'!J13*$B13/12,0)</f>
        <v>153</v>
      </c>
      <c r="K13" s="436">
        <f>ROUND('Sch. I'!K13*$B13/12,0)</f>
        <v>153</v>
      </c>
      <c r="L13" s="436">
        <f>ROUND('Sch. I'!L13*$B13/12,0)</f>
        <v>153</v>
      </c>
      <c r="M13" s="436">
        <f>ROUND('Sch. I'!M13*$B13/12,0)</f>
        <v>153</v>
      </c>
      <c r="N13" s="436">
        <f>ROUND('Sch. I'!N13*$B13/12,0)</f>
        <v>153</v>
      </c>
      <c r="O13" s="436"/>
      <c r="P13" s="674">
        <f t="shared" si="0"/>
        <v>1836</v>
      </c>
    </row>
    <row r="14" spans="1:16" ht="15">
      <c r="A14" s="218" t="s">
        <v>198</v>
      </c>
      <c r="B14" s="378">
        <v>0.025000000000000001</v>
      </c>
      <c r="C14" s="193">
        <f>ROUND('Sch. I'!B14*$B14/12,0)</f>
        <v>3210</v>
      </c>
      <c r="D14" s="193">
        <f>ROUND('Sch. I'!C14*$B14/12,0)</f>
        <v>3210</v>
      </c>
      <c r="E14" s="436">
        <f>ROUND('Sch. I'!D14*$B14/12,0)</f>
        <v>3210</v>
      </c>
      <c r="F14" s="436">
        <f>ROUND('Sch. I'!F14*$B14/12,0)</f>
        <v>3231</v>
      </c>
      <c r="G14" s="436">
        <f>ROUND('Sch. I'!G14*$B14/12,0)</f>
        <v>3231</v>
      </c>
      <c r="H14" s="436">
        <f>ROUND('Sch. I'!H14*$B14/12,0)</f>
        <v>3231</v>
      </c>
      <c r="I14" s="436">
        <f>ROUND('Sch. I'!I14*$B14/12,0)</f>
        <v>3276</v>
      </c>
      <c r="J14" s="436">
        <f>ROUND('Sch. I'!J14*$B14/12,0)</f>
        <v>3276</v>
      </c>
      <c r="K14" s="436">
        <f>ROUND('Sch. I'!K14*$B14/12,0)</f>
        <v>3276</v>
      </c>
      <c r="L14" s="436">
        <f>ROUND('Sch. I'!L14*$B14/12,0)</f>
        <v>3276</v>
      </c>
      <c r="M14" s="436">
        <f>ROUND('Sch. I'!M14*$B14/12,0)</f>
        <v>3276</v>
      </c>
      <c r="N14" s="436">
        <f>ROUND('Sch. I'!N14*$B14/12,0)</f>
        <v>3276</v>
      </c>
      <c r="O14" s="436"/>
      <c r="P14" s="674">
        <f t="shared" si="0"/>
        <v>38979</v>
      </c>
    </row>
    <row r="15" spans="1:16" ht="15">
      <c r="A15" s="218">
        <v>3761</v>
      </c>
      <c r="B15" s="378">
        <v>0.021000000000000001</v>
      </c>
      <c r="C15" s="193">
        <f>ROUND('Sch. I'!B15*$B15/12,0)</f>
        <v>201883</v>
      </c>
      <c r="D15" s="193">
        <f>ROUND('Sch. I'!C15*$B15/12,0)</f>
        <v>202224</v>
      </c>
      <c r="E15" s="436">
        <f>ROUND('Sch. I'!D15*$B15/12,0)</f>
        <v>202652</v>
      </c>
      <c r="F15" s="436">
        <f>ROUND('Sch. I'!F15*$B15/12,0)</f>
        <v>206785</v>
      </c>
      <c r="G15" s="436">
        <f>ROUND('Sch. I'!G15*$B15/12,0)</f>
        <v>207558</v>
      </c>
      <c r="H15" s="436">
        <f>ROUND('Sch. I'!H15*$B15/12,0)</f>
        <v>208331</v>
      </c>
      <c r="I15" s="436">
        <f>ROUND('Sch. I'!I15*$B15/12,0)</f>
        <v>211811</v>
      </c>
      <c r="J15" s="436">
        <f>ROUND('Sch. I'!J15*$B15/12,0)</f>
        <v>212671</v>
      </c>
      <c r="K15" s="436">
        <f>ROUND('Sch. I'!K15*$B15/12,0)</f>
        <v>213530</v>
      </c>
      <c r="L15" s="436">
        <f>ROUND('Sch. I'!L15*$B15/12,0)</f>
        <v>214854</v>
      </c>
      <c r="M15" s="436">
        <f>ROUND('Sch. I'!M15*$B15/12,0)</f>
        <v>215714</v>
      </c>
      <c r="N15" s="436">
        <f>ROUND('Sch. I'!N15*$B15/12,0)</f>
        <v>216487</v>
      </c>
      <c r="O15" s="436"/>
      <c r="P15" s="674">
        <f t="shared" si="0"/>
        <v>2514500</v>
      </c>
    </row>
    <row r="16" spans="1:16" ht="15">
      <c r="A16" s="218">
        <v>3762</v>
      </c>
      <c r="B16" s="378">
        <v>0.022000000000000002</v>
      </c>
      <c r="C16" s="193">
        <f>ROUND('Sch. I'!B16*$B16/12,0)</f>
        <v>113959</v>
      </c>
      <c r="D16" s="193">
        <f>ROUND('Sch. I'!C16*$B16/12,0)</f>
        <v>113796</v>
      </c>
      <c r="E16" s="436">
        <f>ROUND('Sch. I'!D16*$B16/12,0)</f>
        <v>113617</v>
      </c>
      <c r="F16" s="436">
        <f>ROUND('Sch. I'!F16*$B16/12,0)</f>
        <v>113608</v>
      </c>
      <c r="G16" s="436">
        <f>ROUND('Sch. I'!G16*$B16/12,0)</f>
        <v>113468</v>
      </c>
      <c r="H16" s="436">
        <f>ROUND('Sch. I'!H16*$B16/12,0)</f>
        <v>113368</v>
      </c>
      <c r="I16" s="436">
        <f>ROUND('Sch. I'!I16*$B16/12,0)</f>
        <v>113366</v>
      </c>
      <c r="J16" s="436">
        <f>ROUND('Sch. I'!J16*$B16/12,0)</f>
        <v>113320</v>
      </c>
      <c r="K16" s="436">
        <f>ROUND('Sch. I'!K16*$B16/12,0)</f>
        <v>113320</v>
      </c>
      <c r="L16" s="436">
        <f>ROUND('Sch. I'!L16*$B16/12,0)</f>
        <v>113320</v>
      </c>
      <c r="M16" s="436">
        <f>ROUND('Sch. I'!M16*$B16/12,0)</f>
        <v>113320</v>
      </c>
      <c r="N16" s="436">
        <f>ROUND('Sch. I'!N16*$B16/12,0)</f>
        <v>113320</v>
      </c>
      <c r="O16" s="436"/>
      <c r="P16" s="674">
        <f t="shared" si="0"/>
        <v>1361782</v>
      </c>
    </row>
    <row r="17" spans="1:16" ht="15">
      <c r="A17" s="218" t="s">
        <v>87</v>
      </c>
      <c r="B17" s="378">
        <v>0.021000000000000001</v>
      </c>
      <c r="C17" s="193">
        <f>ROUND('Sch. I'!B17*$B17/12,0)</f>
        <v>247658</v>
      </c>
      <c r="D17" s="193">
        <f>ROUND('Sch. I'!C17*$B17/12,0)</f>
        <v>249196</v>
      </c>
      <c r="E17" s="436">
        <f>ROUND('Sch. I'!D17*$B17/12,0)</f>
        <v>250887</v>
      </c>
      <c r="F17" s="436">
        <f>ROUND('Sch. I'!F17*$B17/12,0)</f>
        <v>253918</v>
      </c>
      <c r="G17" s="436">
        <f>ROUND('Sch. I'!G17*$B17/12,0)</f>
        <v>255239</v>
      </c>
      <c r="H17" s="436">
        <f>ROUND('Sch. I'!H17*$B17/12,0)</f>
        <v>256184</v>
      </c>
      <c r="I17" s="436">
        <f>ROUND('Sch. I'!I17*$B17/12,0)</f>
        <v>256648</v>
      </c>
      <c r="J17" s="436">
        <f>ROUND('Sch. I'!J17*$B17/12,0)</f>
        <v>257086</v>
      </c>
      <c r="K17" s="436">
        <f>ROUND('Sch. I'!K17*$B17/12,0)</f>
        <v>257086</v>
      </c>
      <c r="L17" s="436">
        <f>ROUND('Sch. I'!L17*$B17/12,0)</f>
        <v>257086</v>
      </c>
      <c r="M17" s="436">
        <f>ROUND('Sch. I'!M17*$B17/12,0)</f>
        <v>257086</v>
      </c>
      <c r="N17" s="436">
        <f>ROUND('Sch. I'!N17*$B17/12,0)</f>
        <v>257086</v>
      </c>
      <c r="O17" s="436"/>
      <c r="P17" s="674">
        <f t="shared" si="0"/>
        <v>3055160</v>
      </c>
    </row>
    <row r="18" spans="1:16" ht="15">
      <c r="A18" s="218" t="s">
        <v>199</v>
      </c>
      <c r="B18" s="378">
        <v>0.035000000000000003</v>
      </c>
      <c r="C18" s="193">
        <f>ROUND('Sch. I'!B18*$B18/12,0)</f>
        <v>14126</v>
      </c>
      <c r="D18" s="193">
        <f>ROUND('Sch. I'!C18*$B18/12,0)</f>
        <v>14211</v>
      </c>
      <c r="E18" s="436">
        <f>ROUND('Sch. I'!D18*$B18/12,0)</f>
        <v>14324</v>
      </c>
      <c r="F18" s="436">
        <f>ROUND('Sch. I'!F18*$B18/12,0)</f>
        <v>14365</v>
      </c>
      <c r="G18" s="436">
        <f>ROUND('Sch. I'!G18*$B18/12,0)</f>
        <v>14591</v>
      </c>
      <c r="H18" s="436">
        <f>ROUND('Sch. I'!H18*$B18/12,0)</f>
        <v>14817</v>
      </c>
      <c r="I18" s="436">
        <f>ROUND('Sch. I'!I18*$B18/12,0)</f>
        <v>15043</v>
      </c>
      <c r="J18" s="436">
        <f>ROUND('Sch. I'!J18*$B18/12,0)</f>
        <v>15297</v>
      </c>
      <c r="K18" s="436">
        <f>ROUND('Sch. I'!K18*$B18/12,0)</f>
        <v>15551</v>
      </c>
      <c r="L18" s="436">
        <f>ROUND('Sch. I'!L18*$B18/12,0)</f>
        <v>15805</v>
      </c>
      <c r="M18" s="436">
        <f>ROUND('Sch. I'!M18*$B18/12,0)</f>
        <v>16059</v>
      </c>
      <c r="N18" s="436">
        <f>ROUND('Sch. I'!N18*$B18/12,0)</f>
        <v>16285</v>
      </c>
      <c r="O18" s="436"/>
      <c r="P18" s="674">
        <f t="shared" si="0"/>
        <v>180474</v>
      </c>
    </row>
    <row r="19" spans="1:16" ht="15">
      <c r="A19" s="218" t="s">
        <v>200</v>
      </c>
      <c r="B19" s="378">
        <v>0.031</v>
      </c>
      <c r="C19" s="193">
        <f>ROUND('Sch. I'!B19*$B19/12,0)</f>
        <v>36251</v>
      </c>
      <c r="D19" s="193">
        <f>ROUND('Sch. I'!C19*$B19/12,0)</f>
        <v>36251</v>
      </c>
      <c r="E19" s="436">
        <f>ROUND('Sch. I'!D19*$B19/12,0)</f>
        <v>36251</v>
      </c>
      <c r="F19" s="436">
        <f>ROUND('Sch. I'!F19*$B19/12,0)</f>
        <v>36051</v>
      </c>
      <c r="G19" s="436">
        <f>ROUND('Sch. I'!G19*$B19/12,0)</f>
        <v>36051</v>
      </c>
      <c r="H19" s="436">
        <f>ROUND('Sch. I'!H19*$B19/12,0)</f>
        <v>36051</v>
      </c>
      <c r="I19" s="436">
        <f>ROUND('Sch. I'!I19*$B19/12,0)</f>
        <v>36095</v>
      </c>
      <c r="J19" s="436">
        <f>ROUND('Sch. I'!J19*$B19/12,0)</f>
        <v>36095</v>
      </c>
      <c r="K19" s="436">
        <f>ROUND('Sch. I'!K19*$B19/12,0)</f>
        <v>36095</v>
      </c>
      <c r="L19" s="436">
        <f>ROUND('Sch. I'!L19*$B19/12,0)</f>
        <v>36095</v>
      </c>
      <c r="M19" s="436">
        <f>ROUND('Sch. I'!M19*$B19/12,0)</f>
        <v>36095</v>
      </c>
      <c r="N19" s="436">
        <f>ROUND('Sch. I'!N19*$B19/12,0)</f>
        <v>36095</v>
      </c>
      <c r="O19" s="436"/>
      <c r="P19" s="674">
        <f t="shared" si="0"/>
        <v>433476</v>
      </c>
    </row>
    <row r="20" spans="1:16" ht="15">
      <c r="A20" s="218">
        <v>3801</v>
      </c>
      <c r="B20" s="378">
        <v>0.022000000000000002</v>
      </c>
      <c r="C20" s="193">
        <f>ROUND('Sch. I'!B20*$B20/12,0)</f>
        <v>122197</v>
      </c>
      <c r="D20" s="193">
        <f>ROUND('Sch. I'!C20*$B20/12,0)</f>
        <v>122372</v>
      </c>
      <c r="E20" s="436">
        <f>ROUND('Sch. I'!D20*$B20/12,0)</f>
        <v>122604</v>
      </c>
      <c r="F20" s="436">
        <f>ROUND('Sch. I'!F20*$B20/12,0)</f>
        <v>122881</v>
      </c>
      <c r="G20" s="436">
        <f>ROUND('Sch. I'!G20*$B20/12,0)</f>
        <v>123342</v>
      </c>
      <c r="H20" s="436">
        <f>ROUND('Sch. I'!H20*$B20/12,0)</f>
        <v>123803</v>
      </c>
      <c r="I20" s="436">
        <f>ROUND('Sch. I'!I20*$B20/12,0)</f>
        <v>124261</v>
      </c>
      <c r="J20" s="436">
        <f>ROUND('Sch. I'!J20*$B20/12,0)</f>
        <v>124779</v>
      </c>
      <c r="K20" s="436">
        <f>ROUND('Sch. I'!K20*$B20/12,0)</f>
        <v>125297</v>
      </c>
      <c r="L20" s="436">
        <f>ROUND('Sch. I'!L20*$B20/12,0)</f>
        <v>125815</v>
      </c>
      <c r="M20" s="436">
        <f>ROUND('Sch. I'!M20*$B20/12,0)</f>
        <v>126334</v>
      </c>
      <c r="N20" s="436">
        <f>ROUND('Sch. I'!N20*$B20/12,0)</f>
        <v>126795</v>
      </c>
      <c r="O20" s="436"/>
      <c r="P20" s="674">
        <f t="shared" si="0"/>
        <v>1490480</v>
      </c>
    </row>
    <row r="21" spans="1:16" ht="15">
      <c r="A21" s="218">
        <v>3802</v>
      </c>
      <c r="B21" s="378">
        <v>0.091999999999999998</v>
      </c>
      <c r="C21" s="193">
        <f>ROUND('Sch. I'!B21*$B21/12,0)</f>
        <v>13327</v>
      </c>
      <c r="D21" s="193">
        <f>ROUND('Sch. I'!C21*$B21/12,0)</f>
        <v>13168</v>
      </c>
      <c r="E21" s="436">
        <f>ROUND('Sch. I'!D21*$B21/12,0)</f>
        <v>12986</v>
      </c>
      <c r="F21" s="436">
        <f>ROUND('Sch. I'!F21*$B21/12,0)</f>
        <v>12246</v>
      </c>
      <c r="G21" s="436">
        <f>ROUND('Sch. I'!G21*$B21/12,0)</f>
        <v>11789</v>
      </c>
      <c r="H21" s="436">
        <f>ROUND('Sch. I'!H21*$B21/12,0)</f>
        <v>11332</v>
      </c>
      <c r="I21" s="436">
        <f>ROUND('Sch. I'!I21*$B21/12,0)</f>
        <v>11091</v>
      </c>
      <c r="J21" s="436">
        <f>ROUND('Sch. I'!J21*$B21/12,0)</f>
        <v>10759</v>
      </c>
      <c r="K21" s="436">
        <f>ROUND('Sch. I'!K21*$B21/12,0)</f>
        <v>10510</v>
      </c>
      <c r="L21" s="436">
        <f>ROUND('Sch. I'!L21*$B21/12,0)</f>
        <v>10260</v>
      </c>
      <c r="M21" s="436">
        <f>ROUND('Sch. I'!M21*$B21/12,0)</f>
        <v>10177</v>
      </c>
      <c r="N21" s="436">
        <f>ROUND('Sch. I'!N21*$B21/12,0)</f>
        <v>10177</v>
      </c>
      <c r="O21" s="436"/>
      <c r="P21" s="674">
        <f t="shared" si="0"/>
        <v>137822</v>
      </c>
    </row>
    <row r="22" spans="1:16" ht="15">
      <c r="A22" s="218" t="s">
        <v>95</v>
      </c>
      <c r="B22" s="378">
        <v>0.022000000000000002</v>
      </c>
      <c r="C22" s="193">
        <f>ROUND('Sch. I'!B22*$B22/12,0)</f>
        <v>82286</v>
      </c>
      <c r="D22" s="193">
        <f>ROUND('Sch. I'!C22*$B22/12,0)</f>
        <v>82638</v>
      </c>
      <c r="E22" s="436">
        <f>ROUND('Sch. I'!D22*$B22/12,0)</f>
        <v>83039</v>
      </c>
      <c r="F22" s="436">
        <f>ROUND('Sch. I'!F22*$B22/12,0)</f>
        <v>84964</v>
      </c>
      <c r="G22" s="436">
        <f>ROUND('Sch. I'!G22*$B22/12,0)</f>
        <v>85972</v>
      </c>
      <c r="H22" s="436">
        <f>ROUND('Sch. I'!H22*$B22/12,0)</f>
        <v>86980</v>
      </c>
      <c r="I22" s="436">
        <f>ROUND('Sch. I'!I22*$B22/12,0)</f>
        <v>87805</v>
      </c>
      <c r="J22" s="436">
        <f>ROUND('Sch. I'!J22*$B22/12,0)</f>
        <v>88539</v>
      </c>
      <c r="K22" s="436">
        <f>ROUND('Sch. I'!K22*$B22/12,0)</f>
        <v>89089</v>
      </c>
      <c r="L22" s="436">
        <f>ROUND('Sch. I'!L22*$B22/12,0)</f>
        <v>89639</v>
      </c>
      <c r="M22" s="436">
        <f>ROUND('Sch. I'!M22*$B22/12,0)</f>
        <v>89822</v>
      </c>
      <c r="N22" s="436">
        <f>ROUND('Sch. I'!N22*$B22/12,0)</f>
        <v>89822</v>
      </c>
      <c r="O22" s="436"/>
      <c r="P22" s="674">
        <f t="shared" si="0"/>
        <v>1040595</v>
      </c>
    </row>
    <row r="23" spans="1:16" ht="15">
      <c r="A23" s="218" t="s">
        <v>201</v>
      </c>
      <c r="B23" s="378">
        <v>0.036000000000000004</v>
      </c>
      <c r="C23" s="193">
        <f>ROUND('Sch. I'!B23*$B23/12,0)</f>
        <v>67160</v>
      </c>
      <c r="D23" s="193">
        <f>ROUND('Sch. I'!C23*$B23/12,0)</f>
        <v>67240</v>
      </c>
      <c r="E23" s="436">
        <f>ROUND('Sch. I'!D23*$B23/12,0)</f>
        <v>67346</v>
      </c>
      <c r="F23" s="436">
        <f>ROUND('Sch. I'!F23*$B23/12,0)</f>
        <v>67478</v>
      </c>
      <c r="G23" s="436">
        <f>ROUND('Sch. I'!G23*$B23/12,0)</f>
        <v>67690</v>
      </c>
      <c r="H23" s="436">
        <f>ROUND('Sch. I'!H23*$B23/12,0)</f>
        <v>67901</v>
      </c>
      <c r="I23" s="436">
        <f>ROUND('Sch. I'!I23*$B23/12,0)</f>
        <v>68113</v>
      </c>
      <c r="J23" s="436">
        <f>ROUND('Sch. I'!J23*$B23/12,0)</f>
        <v>68351</v>
      </c>
      <c r="K23" s="436">
        <f>ROUND('Sch. I'!K23*$B23/12,0)</f>
        <v>68589</v>
      </c>
      <c r="L23" s="436">
        <f>ROUND('Sch. I'!L23*$B23/12,0)</f>
        <v>68827</v>
      </c>
      <c r="M23" s="436">
        <f>ROUND('Sch. I'!M23*$B23/12,0)</f>
        <v>69065</v>
      </c>
      <c r="N23" s="436">
        <f>ROUND('Sch. I'!N23*$B23/12,0)</f>
        <v>69276</v>
      </c>
      <c r="O23" s="436"/>
      <c r="P23" s="674">
        <f t="shared" si="0"/>
        <v>817036</v>
      </c>
    </row>
    <row r="24" spans="1:16" ht="15">
      <c r="A24" s="218">
        <v>3811</v>
      </c>
      <c r="B24" s="378">
        <v>0.042999999999999997</v>
      </c>
      <c r="C24" s="193">
        <f>ROUND('Sch. I'!B24*$B24/12,0)</f>
        <v>8014</v>
      </c>
      <c r="D24" s="193">
        <f>ROUND('Sch. I'!C24*$B24/12,0)</f>
        <v>8014</v>
      </c>
      <c r="E24" s="436">
        <f>ROUND('Sch. I'!D24*$B24/12,0)</f>
        <v>8014</v>
      </c>
      <c r="F24" s="436">
        <f>ROUND('Sch. I'!F24*$B24/12,0)</f>
        <v>8014</v>
      </c>
      <c r="G24" s="436">
        <f>ROUND('Sch. I'!G24*$B24/12,0)</f>
        <v>8014</v>
      </c>
      <c r="H24" s="436">
        <f>ROUND('Sch. I'!H24*$B24/12,0)</f>
        <v>8014</v>
      </c>
      <c r="I24" s="436">
        <f>ROUND('Sch. I'!I24*$B24/12,0)</f>
        <v>8014</v>
      </c>
      <c r="J24" s="436">
        <f>ROUND('Sch. I'!J24*$B24/12,0)</f>
        <v>8054</v>
      </c>
      <c r="K24" s="436">
        <f>ROUND('Sch. I'!K24*$B24/12,0)</f>
        <v>8094</v>
      </c>
      <c r="L24" s="436">
        <f>ROUND('Sch. I'!L24*$B24/12,0)</f>
        <v>8133</v>
      </c>
      <c r="M24" s="436">
        <f>ROUND('Sch. I'!M24*$B24/12,0)</f>
        <v>8173</v>
      </c>
      <c r="N24" s="436">
        <f>ROUND('Sch. I'!N24*$B24/12,0)</f>
        <v>8213</v>
      </c>
      <c r="O24" s="436"/>
      <c r="P24" s="674">
        <f t="shared" si="0"/>
        <v>96765</v>
      </c>
    </row>
    <row r="25" spans="1:16" ht="15">
      <c r="A25" s="218" t="s">
        <v>202</v>
      </c>
      <c r="B25" s="378">
        <v>0.032000000000000001</v>
      </c>
      <c r="C25" s="193">
        <f>ROUND('Sch. I'!B25*$B25/12,0)</f>
        <v>47976</v>
      </c>
      <c r="D25" s="193">
        <f>ROUND('Sch. I'!C25*$B25/12,0)</f>
        <v>48003</v>
      </c>
      <c r="E25" s="436">
        <f>ROUND('Sch. I'!D25*$B25/12,0)</f>
        <v>48035</v>
      </c>
      <c r="F25" s="436">
        <f>ROUND('Sch. I'!F25*$B25/12,0)</f>
        <v>48073</v>
      </c>
      <c r="G25" s="436">
        <f>ROUND('Sch. I'!G25*$B25/12,0)</f>
        <v>48126</v>
      </c>
      <c r="H25" s="436">
        <f>ROUND('Sch. I'!H25*$B25/12,0)</f>
        <v>48180</v>
      </c>
      <c r="I25" s="436">
        <f>ROUND('Sch. I'!I25*$B25/12,0)</f>
        <v>48233</v>
      </c>
      <c r="J25" s="436">
        <f>ROUND('Sch. I'!J25*$B25/12,0)</f>
        <v>48292</v>
      </c>
      <c r="K25" s="436">
        <f>ROUND('Sch. I'!K25*$B25/12,0)</f>
        <v>48351</v>
      </c>
      <c r="L25" s="436">
        <f>ROUND('Sch. I'!L25*$B25/12,0)</f>
        <v>48410</v>
      </c>
      <c r="M25" s="436">
        <f>ROUND('Sch. I'!M25*$B25/12,0)</f>
        <v>48469</v>
      </c>
      <c r="N25" s="436">
        <f>ROUND('Sch. I'!N25*$B25/12,0)</f>
        <v>48522</v>
      </c>
      <c r="O25" s="436"/>
      <c r="P25" s="674">
        <f t="shared" si="0"/>
        <v>578670</v>
      </c>
    </row>
    <row r="26" spans="1:16" ht="15">
      <c r="A26" s="218">
        <v>3821</v>
      </c>
      <c r="B26" s="378">
        <v>0.026000000000000002</v>
      </c>
      <c r="C26" s="193">
        <f>ROUND('Sch. I'!B26*$B26/12,0)</f>
        <v>1285</v>
      </c>
      <c r="D26" s="193">
        <f>ROUND('Sch. I'!C26*$B26/12,0)</f>
        <v>1285</v>
      </c>
      <c r="E26" s="436">
        <f>ROUND('Sch. I'!D26*$B26/12,0)</f>
        <v>1285</v>
      </c>
      <c r="F26" s="436">
        <f>ROUND('Sch. I'!F26*$B26/12,0)</f>
        <v>1285</v>
      </c>
      <c r="G26" s="436">
        <f>ROUND('Sch. I'!G26*$B26/12,0)</f>
        <v>1285</v>
      </c>
      <c r="H26" s="436">
        <f>ROUND('Sch. I'!H26*$B26/12,0)</f>
        <v>1285</v>
      </c>
      <c r="I26" s="436">
        <f>ROUND('Sch. I'!I26*$B26/12,0)</f>
        <v>1285</v>
      </c>
      <c r="J26" s="436">
        <f>ROUND('Sch. I'!J26*$B26/12,0)</f>
        <v>1285</v>
      </c>
      <c r="K26" s="436">
        <f>ROUND('Sch. I'!K26*$B26/12,0)</f>
        <v>1285</v>
      </c>
      <c r="L26" s="436">
        <f>ROUND('Sch. I'!L26*$B26/12,0)</f>
        <v>1285</v>
      </c>
      <c r="M26" s="436">
        <f>ROUND('Sch. I'!M26*$B26/12,0)</f>
        <v>1285</v>
      </c>
      <c r="N26" s="436">
        <f>ROUND('Sch. I'!N26*$B26/12,0)</f>
        <v>1285</v>
      </c>
      <c r="O26" s="436"/>
      <c r="P26" s="674">
        <f t="shared" si="0"/>
        <v>15420</v>
      </c>
    </row>
    <row r="27" spans="1:16" ht="15">
      <c r="A27" s="218" t="s">
        <v>203</v>
      </c>
      <c r="B27" s="378">
        <v>0.033000000000000002</v>
      </c>
      <c r="C27" s="193">
        <f>ROUND('Sch. I'!B27*$B27/12,0)</f>
        <v>18413</v>
      </c>
      <c r="D27" s="193">
        <f>ROUND('Sch. I'!C27*$B27/12,0)</f>
        <v>18431</v>
      </c>
      <c r="E27" s="436">
        <f>ROUND('Sch. I'!D27*$B27/12,0)</f>
        <v>18453</v>
      </c>
      <c r="F27" s="436">
        <f>ROUND('Sch. I'!F27*$B27/12,0)</f>
        <v>18478</v>
      </c>
      <c r="G27" s="436">
        <f>ROUND('Sch. I'!G27*$B27/12,0)</f>
        <v>18514</v>
      </c>
      <c r="H27" s="436">
        <f>ROUND('Sch. I'!H27*$B27/12,0)</f>
        <v>18550</v>
      </c>
      <c r="I27" s="436">
        <f>ROUND('Sch. I'!I27*$B27/12,0)</f>
        <v>18587</v>
      </c>
      <c r="J27" s="436">
        <f>ROUND('Sch. I'!J27*$B27/12,0)</f>
        <v>18626</v>
      </c>
      <c r="K27" s="436">
        <f>ROUND('Sch. I'!K27*$B27/12,0)</f>
        <v>18666</v>
      </c>
      <c r="L27" s="436">
        <f>ROUND('Sch. I'!L27*$B27/12,0)</f>
        <v>18706</v>
      </c>
      <c r="M27" s="436">
        <f>ROUND('Sch. I'!M27*$B27/12,0)</f>
        <v>18746</v>
      </c>
      <c r="N27" s="436">
        <f>ROUND('Sch. I'!N27*$B27/12,0)</f>
        <v>18782</v>
      </c>
      <c r="O27" s="436"/>
      <c r="P27" s="674">
        <f t="shared" si="0"/>
        <v>222952</v>
      </c>
    </row>
    <row r="28" spans="1:16" ht="15">
      <c r="A28" s="218" t="s">
        <v>204</v>
      </c>
      <c r="B28" s="378">
        <v>0.027000000000000003</v>
      </c>
      <c r="C28" s="193">
        <f>ROUND('Sch. I'!B28*$B28/12,0)</f>
        <v>2371</v>
      </c>
      <c r="D28" s="193">
        <f>ROUND('Sch. I'!C28*$B28/12,0)</f>
        <v>2373</v>
      </c>
      <c r="E28" s="436">
        <f>ROUND('Sch. I'!D28*$B28/12,0)</f>
        <v>2376</v>
      </c>
      <c r="F28" s="436">
        <f>ROUND('Sch. I'!F28*$B28/12,0)</f>
        <v>2380</v>
      </c>
      <c r="G28" s="436">
        <f>ROUND('Sch. I'!G28*$B28/12,0)</f>
        <v>2385</v>
      </c>
      <c r="H28" s="436">
        <f>ROUND('Sch. I'!H28*$B28/12,0)</f>
        <v>2390</v>
      </c>
      <c r="I28" s="436">
        <f>ROUND('Sch. I'!I28*$B28/12,0)</f>
        <v>2395</v>
      </c>
      <c r="J28" s="436">
        <f>ROUND('Sch. I'!J28*$B28/12,0)</f>
        <v>2401</v>
      </c>
      <c r="K28" s="436">
        <f>ROUND('Sch. I'!K28*$B28/12,0)</f>
        <v>2406</v>
      </c>
      <c r="L28" s="436">
        <f>ROUND('Sch. I'!L28*$B28/12,0)</f>
        <v>2412</v>
      </c>
      <c r="M28" s="436">
        <f>ROUND('Sch. I'!M28*$B28/12,0)</f>
        <v>2417</v>
      </c>
      <c r="N28" s="436">
        <f>ROUND('Sch. I'!N28*$B28/12,0)</f>
        <v>2422</v>
      </c>
      <c r="O28" s="436"/>
      <c r="P28" s="674">
        <f t="shared" si="0"/>
        <v>28728</v>
      </c>
    </row>
    <row r="29" spans="1:16" ht="15">
      <c r="A29" s="218" t="s">
        <v>205</v>
      </c>
      <c r="B29" s="378">
        <v>0.023</v>
      </c>
      <c r="C29" s="193">
        <f>ROUND('Sch. I'!B29*$B29/12,0)</f>
        <v>3624</v>
      </c>
      <c r="D29" s="193">
        <f>ROUND('Sch. I'!C29*$B29/12,0)</f>
        <v>3621</v>
      </c>
      <c r="E29" s="436">
        <f>ROUND('Sch. I'!D29*$B29/12,0)</f>
        <v>3618</v>
      </c>
      <c r="F29" s="436">
        <f>ROUND('Sch. I'!F29*$B29/12,0)</f>
        <v>3613</v>
      </c>
      <c r="G29" s="436">
        <f>ROUND('Sch. I'!G29*$B29/12,0)</f>
        <v>3606</v>
      </c>
      <c r="H29" s="436">
        <f>ROUND('Sch. I'!H29*$B29/12,0)</f>
        <v>3599</v>
      </c>
      <c r="I29" s="436">
        <f>ROUND('Sch. I'!I29*$B29/12,0)</f>
        <v>3592</v>
      </c>
      <c r="J29" s="436">
        <f>ROUND('Sch. I'!J29*$B29/12,0)</f>
        <v>3584</v>
      </c>
      <c r="K29" s="436">
        <f>ROUND('Sch. I'!K29*$B29/12,0)</f>
        <v>3576</v>
      </c>
      <c r="L29" s="436">
        <f>ROUND('Sch. I'!L29*$B29/12,0)</f>
        <v>3569</v>
      </c>
      <c r="M29" s="436">
        <f>ROUND('Sch. I'!M29*$B29/12,0)</f>
        <v>3561</v>
      </c>
      <c r="N29" s="436">
        <f>ROUND('Sch. I'!N29*$B29/12,0)</f>
        <v>3554</v>
      </c>
      <c r="O29" s="436"/>
      <c r="P29" s="674">
        <f t="shared" si="0"/>
        <v>43117</v>
      </c>
    </row>
    <row r="30" spans="1:16" ht="15">
      <c r="A30" s="218" t="s">
        <v>206</v>
      </c>
      <c r="B30" s="378">
        <v>0.040000000000000001</v>
      </c>
      <c r="C30" s="193">
        <f>ROUND('Sch. I'!B30*$B30/12,0)</f>
        <v>10348</v>
      </c>
      <c r="D30" s="193">
        <f>ROUND('Sch. I'!C30*$B30/12,0)</f>
        <v>10383</v>
      </c>
      <c r="E30" s="436">
        <f>ROUND('Sch. I'!D30*$B30/12,0)</f>
        <v>10430</v>
      </c>
      <c r="F30" s="436">
        <f>ROUND('Sch. I'!F30*$B30/12,0)</f>
        <v>10489</v>
      </c>
      <c r="G30" s="436">
        <f>ROUND('Sch. I'!G30*$B30/12,0)</f>
        <v>10584</v>
      </c>
      <c r="H30" s="436">
        <f>ROUND('Sch. I'!H30*$B30/12,0)</f>
        <v>10678</v>
      </c>
      <c r="I30" s="436">
        <f>ROUND('Sch. I'!I30*$B30/12,0)</f>
        <v>10773</v>
      </c>
      <c r="J30" s="436">
        <f>ROUND('Sch. I'!J30*$B30/12,0)</f>
        <v>10879</v>
      </c>
      <c r="K30" s="436">
        <f>ROUND('Sch. I'!K30*$B30/12,0)</f>
        <v>10986</v>
      </c>
      <c r="L30" s="436">
        <f>ROUND('Sch. I'!L30*$B30/12,0)</f>
        <v>11092</v>
      </c>
      <c r="M30" s="436">
        <f>ROUND('Sch. I'!M30*$B30/12,0)</f>
        <v>11198</v>
      </c>
      <c r="N30" s="436">
        <f>ROUND('Sch. I'!N30*$B30/12,0)</f>
        <v>11293</v>
      </c>
      <c r="O30" s="436"/>
      <c r="P30" s="674">
        <f t="shared" si="0"/>
        <v>129133</v>
      </c>
    </row>
    <row r="31" spans="1:16" ht="15">
      <c r="A31" s="218" t="s">
        <v>207</v>
      </c>
      <c r="B31" s="378">
        <v>0</v>
      </c>
      <c r="C31" s="193">
        <f>ROUND('Sch. I'!B31*$B31/12,0)</f>
        <v>0</v>
      </c>
      <c r="D31" s="193">
        <f>ROUND('Sch. I'!C31*$B31/12,0)</f>
        <v>0</v>
      </c>
      <c r="E31" s="436">
        <f>ROUND('Sch. I'!D31*$B31/12,0)</f>
        <v>0</v>
      </c>
      <c r="F31" s="436">
        <f>ROUND('Sch. I'!F31*$B31/12,0)</f>
        <v>0</v>
      </c>
      <c r="G31" s="436">
        <f>ROUND('Sch. I'!G31*$B31/12,0)</f>
        <v>0</v>
      </c>
      <c r="H31" s="436">
        <f>ROUND('Sch. I'!H31*$B31/12,0)</f>
        <v>0</v>
      </c>
      <c r="I31" s="436">
        <f>ROUND('Sch. I'!I31*$B31/12,0)</f>
        <v>0</v>
      </c>
      <c r="J31" s="436">
        <f>ROUND('Sch. I'!J31*$B31/12,0)</f>
        <v>0</v>
      </c>
      <c r="K31" s="436">
        <f>ROUND('Sch. I'!K31*$B31/12,0)</f>
        <v>0</v>
      </c>
      <c r="L31" s="436">
        <f>ROUND('Sch. I'!L31*$B31/12,0)</f>
        <v>0</v>
      </c>
      <c r="M31" s="436">
        <f>ROUND('Sch. I'!M31*$B31/12,0)</f>
        <v>0</v>
      </c>
      <c r="N31" s="436">
        <f>ROUND('Sch. I'!N31*$B31/12,0)</f>
        <v>0</v>
      </c>
      <c r="O31" s="436"/>
      <c r="P31" s="674">
        <f t="shared" si="0"/>
        <v>0</v>
      </c>
    </row>
    <row r="32" spans="1:16" ht="15">
      <c r="A32" s="218" t="s">
        <v>208</v>
      </c>
      <c r="B32" s="378">
        <v>0.023</v>
      </c>
      <c r="C32" s="193">
        <f>ROUND('Sch. I'!B32*$B32/12,0)</f>
        <v>20406</v>
      </c>
      <c r="D32" s="193">
        <f>ROUND('Sch. I'!C32*$B32/12,0)</f>
        <v>20406</v>
      </c>
      <c r="E32" s="436">
        <f>ROUND('Sch. I'!D32*$B32/12,0)</f>
        <v>20337</v>
      </c>
      <c r="F32" s="436">
        <f>ROUND('Sch. I'!F32*$B32/12,0)</f>
        <v>20631</v>
      </c>
      <c r="G32" s="436">
        <f>ROUND('Sch. I'!G32*$B32/12,0)</f>
        <v>20631</v>
      </c>
      <c r="H32" s="436">
        <f>ROUND('Sch. I'!H32*$B32/12,0)</f>
        <v>20631</v>
      </c>
      <c r="I32" s="436">
        <f>ROUND('Sch. I'!I32*$B32/12,0)</f>
        <v>20925</v>
      </c>
      <c r="J32" s="436">
        <f>ROUND('Sch. I'!J32*$B32/12,0)</f>
        <v>20925</v>
      </c>
      <c r="K32" s="436">
        <f>ROUND('Sch. I'!K32*$B32/12,0)</f>
        <v>20925</v>
      </c>
      <c r="L32" s="436">
        <f>ROUND('Sch. I'!L32*$B32/12,0)</f>
        <v>20925</v>
      </c>
      <c r="M32" s="436">
        <f>ROUND('Sch. I'!M32*$B32/12,0)</f>
        <v>20925</v>
      </c>
      <c r="N32" s="436">
        <f>ROUND('Sch. I'!N32*$B32/12,0)</f>
        <v>20925</v>
      </c>
      <c r="O32" s="436"/>
      <c r="P32" s="674">
        <f t="shared" si="0"/>
        <v>248592</v>
      </c>
    </row>
    <row r="33" spans="1:16" ht="15">
      <c r="A33" s="218">
        <v>3910</v>
      </c>
      <c r="B33" s="378">
        <v>0.071428571428571438</v>
      </c>
      <c r="C33" s="193">
        <f>ROUND('Sch. I'!B33*$B33/12,0)</f>
        <v>11037</v>
      </c>
      <c r="D33" s="193">
        <f>ROUND('Sch. I'!C33*$B33/12,0)</f>
        <v>11057</v>
      </c>
      <c r="E33" s="436">
        <f>ROUND('Sch. I'!D33*$B33/12,0)</f>
        <v>9982</v>
      </c>
      <c r="F33" s="436">
        <f>ROUND('Sch. I'!F33*$B33/12,0)</f>
        <v>7222</v>
      </c>
      <c r="G33" s="436">
        <f>ROUND('Sch. I'!G33*$B33/12,0)</f>
        <v>7274</v>
      </c>
      <c r="H33" s="436">
        <f>ROUND('Sch. I'!H33*$B33/12,0)</f>
        <v>13359</v>
      </c>
      <c r="I33" s="436">
        <f>ROUND('Sch. I'!I33*$B33/12,0)</f>
        <v>13411</v>
      </c>
      <c r="J33" s="436">
        <f>ROUND('Sch. I'!J33*$B33/12,0)</f>
        <v>13576</v>
      </c>
      <c r="K33" s="436">
        <f>ROUND('Sch. I'!K33*$B33/12,0)</f>
        <v>13635</v>
      </c>
      <c r="L33" s="436">
        <f>ROUND('Sch. I'!L33*$B33/12,0)</f>
        <v>13694</v>
      </c>
      <c r="M33" s="436">
        <f>ROUND('Sch. I'!M33*$B33/12,0)</f>
        <v>13753</v>
      </c>
      <c r="N33" s="436">
        <f>ROUND('Sch. I'!N33*$B33/12,0)</f>
        <v>13805</v>
      </c>
      <c r="O33" s="436">
        <v>3901.0799999999158</v>
      </c>
      <c r="P33" s="674">
        <f t="shared" si="0"/>
        <v>145706</v>
      </c>
    </row>
    <row r="34" spans="1:16" ht="15">
      <c r="A34" s="218">
        <v>3912</v>
      </c>
      <c r="B34" s="378">
        <v>0.10000000000000001</v>
      </c>
      <c r="C34" s="193">
        <f>ROUND('Sch. I'!B34*$B34/12,0)</f>
        <v>2576</v>
      </c>
      <c r="D34" s="193">
        <f>ROUND('Sch. I'!C34*$B34/12,0)</f>
        <v>2576</v>
      </c>
      <c r="E34" s="436">
        <f>ROUND('Sch. I'!D34*$B34/12,0)</f>
        <v>2576</v>
      </c>
      <c r="F34" s="436">
        <f>ROUND('Sch. I'!F34*$B34/12,0)</f>
        <v>3167</v>
      </c>
      <c r="G34" s="436">
        <f>ROUND('Sch. I'!G34*$B34/12,0)</f>
        <v>3167</v>
      </c>
      <c r="H34" s="436">
        <f>ROUND('Sch. I'!H34*$B34/12,0)</f>
        <v>3167</v>
      </c>
      <c r="I34" s="436">
        <f>ROUND('Sch. I'!I34*$B34/12,0)</f>
        <v>3167</v>
      </c>
      <c r="J34" s="436">
        <f>ROUND('Sch. I'!J34*$B34/12,0)</f>
        <v>3167</v>
      </c>
      <c r="K34" s="436">
        <f>ROUND('Sch. I'!K34*$B34/12,0)</f>
        <v>3167</v>
      </c>
      <c r="L34" s="436">
        <f>ROUND('Sch. I'!L34*$B34/12,0)</f>
        <v>3167</v>
      </c>
      <c r="M34" s="436">
        <f>ROUND('Sch. I'!M34*$B34/12,0)</f>
        <v>3167</v>
      </c>
      <c r="N34" s="436">
        <f>ROUND('Sch. I'!N34*$B34/12,0)</f>
        <v>3167</v>
      </c>
      <c r="O34" s="436">
        <v>212423.03999999998</v>
      </c>
      <c r="P34" s="674">
        <f t="shared" si="0"/>
        <v>248654</v>
      </c>
    </row>
    <row r="35" spans="1:16" ht="15">
      <c r="A35" s="218">
        <v>3913</v>
      </c>
      <c r="B35" s="378">
        <v>0.050000000000000003</v>
      </c>
      <c r="C35" s="193">
        <f>ROUND('Sch. I'!B35*$B35/12,0)</f>
        <v>2582</v>
      </c>
      <c r="D35" s="193">
        <f>ROUND('Sch. I'!C35*$B35/12,0)</f>
        <v>2601</v>
      </c>
      <c r="E35" s="436">
        <f>ROUND('Sch. I'!D35*$B35/12,0)</f>
        <v>1283</v>
      </c>
      <c r="F35" s="436">
        <f>ROUND('Sch. I'!F35*$B35/12,0)</f>
        <v>2810</v>
      </c>
      <c r="G35" s="436">
        <f>ROUND('Sch. I'!G35*$B35/12,0)</f>
        <v>2860</v>
      </c>
      <c r="H35" s="436">
        <f>ROUND('Sch. I'!H35*$B35/12,0)</f>
        <v>2910</v>
      </c>
      <c r="I35" s="436">
        <f>ROUND('Sch. I'!I35*$B35/12,0)</f>
        <v>2960</v>
      </c>
      <c r="J35" s="436">
        <f>ROUND('Sch. I'!J35*$B35/12,0)</f>
        <v>3016</v>
      </c>
      <c r="K35" s="436">
        <f>ROUND('Sch. I'!K35*$B35/12,0)</f>
        <v>3072</v>
      </c>
      <c r="L35" s="436">
        <f>ROUND('Sch. I'!L35*$B35/12,0)</f>
        <v>3128</v>
      </c>
      <c r="M35" s="436">
        <f>ROUND('Sch. I'!M35*$B35/12,0)</f>
        <v>3185</v>
      </c>
      <c r="N35" s="436">
        <f>ROUND('Sch. I'!N35*$B35/12,0)</f>
        <v>3235</v>
      </c>
      <c r="O35" s="436">
        <v>18291.839999999989</v>
      </c>
      <c r="P35" s="674">
        <f t="shared" si="0"/>
        <v>51934</v>
      </c>
    </row>
    <row r="36" spans="1:16" ht="15">
      <c r="A36" s="218">
        <v>3914</v>
      </c>
      <c r="B36" s="378">
        <v>0.10000000000000001</v>
      </c>
      <c r="C36" s="193">
        <f>ROUND('Sch. I'!B36*$B36/12,0)</f>
        <v>59979</v>
      </c>
      <c r="D36" s="193">
        <f>ROUND('Sch. I'!C36*$B36/12,0)</f>
        <v>60000</v>
      </c>
      <c r="E36" s="436">
        <f>ROUND('Sch. I'!D36*$B36/12,0)</f>
        <v>60029</v>
      </c>
      <c r="F36" s="436">
        <f>ROUND('Sch. I'!F36*$B36/12,0)</f>
        <v>60065</v>
      </c>
      <c r="G36" s="436">
        <f>ROUND('Sch. I'!G36*$B36/12,0)</f>
        <v>60123</v>
      </c>
      <c r="H36" s="436">
        <f>ROUND('Sch. I'!H36*$B36/12,0)</f>
        <v>60181</v>
      </c>
      <c r="I36" s="436">
        <f>ROUND('Sch. I'!I36*$B36/12,0)</f>
        <v>60238</v>
      </c>
      <c r="J36" s="436">
        <f>ROUND('Sch. I'!J36*$B36/12,0)</f>
        <v>60303</v>
      </c>
      <c r="K36" s="436">
        <f>ROUND('Sch. I'!K36*$B36/12,0)</f>
        <v>60368</v>
      </c>
      <c r="L36" s="436">
        <f>ROUND('Sch. I'!L36*$B36/12,0)</f>
        <v>60433</v>
      </c>
      <c r="M36" s="436">
        <f>ROUND('Sch. I'!M36*$B36/12,0)</f>
        <v>60498</v>
      </c>
      <c r="N36" s="436">
        <f>ROUND('Sch. I'!N36*$B36/12,0)</f>
        <v>60555</v>
      </c>
      <c r="O36" s="436">
        <v>17305.079999999936</v>
      </c>
      <c r="P36" s="674">
        <f t="shared" si="0"/>
        <v>740077</v>
      </c>
    </row>
    <row r="37" spans="1:16" ht="15">
      <c r="A37" s="218">
        <v>3921</v>
      </c>
      <c r="B37" s="378">
        <v>0.17399999999999999</v>
      </c>
      <c r="C37" s="193">
        <f>ROUND('Sch. I'!B37*$B37/12,0)</f>
        <v>5323</v>
      </c>
      <c r="D37" s="193">
        <f>ROUND('Sch. I'!C37*$B37/12,0)</f>
        <v>5323</v>
      </c>
      <c r="E37" s="436">
        <f>ROUND('Sch. I'!D37*$B37/12,0)</f>
        <v>5323</v>
      </c>
      <c r="F37" s="436">
        <f>ROUND('Sch. I'!F37*$B37/12,0)</f>
        <v>2066</v>
      </c>
      <c r="G37" s="436">
        <f>ROUND('Sch. I'!G37*$B37/12,0)</f>
        <v>2066</v>
      </c>
      <c r="H37" s="436">
        <f>ROUND('Sch. I'!H37*$B37/12,0)</f>
        <v>2066</v>
      </c>
      <c r="I37" s="436">
        <f>ROUND('Sch. I'!I37*$B37/12,0)</f>
        <v>2066</v>
      </c>
      <c r="J37" s="436">
        <f>ROUND('Sch. I'!J37*$B37/12,0)</f>
        <v>2066</v>
      </c>
      <c r="K37" s="436">
        <f>ROUND('Sch. I'!K37*$B37/12,0)</f>
        <v>2066</v>
      </c>
      <c r="L37" s="436">
        <f>ROUND('Sch. I'!L37*$B37/12,0)</f>
        <v>2066</v>
      </c>
      <c r="M37" s="436">
        <f>ROUND('Sch. I'!M37*$B37/12,0)</f>
        <v>4330</v>
      </c>
      <c r="N37" s="436">
        <f>ROUND('Sch. I'!N37*$B37/12,0)</f>
        <v>4330</v>
      </c>
      <c r="O37" s="436"/>
      <c r="P37" s="674">
        <f t="shared" si="0"/>
        <v>39091</v>
      </c>
    </row>
    <row r="38" spans="1:16" ht="15">
      <c r="A38" s="218">
        <v>3922</v>
      </c>
      <c r="B38" s="378">
        <v>0.084000000000000005</v>
      </c>
      <c r="C38" s="193">
        <f>ROUND('Sch. I'!B38*$B38/12,0)</f>
        <v>41627</v>
      </c>
      <c r="D38" s="193">
        <f>ROUND('Sch. I'!C38*$B38/12,0)</f>
        <v>41627</v>
      </c>
      <c r="E38" s="436">
        <f>ROUND('Sch. I'!D38*$B38/12,0)</f>
        <v>41627</v>
      </c>
      <c r="F38" s="436">
        <f>ROUND('Sch. I'!F38*$B38/12,0)</f>
        <v>43707</v>
      </c>
      <c r="G38" s="436">
        <f>ROUND('Sch. I'!G38*$B38/12,0)</f>
        <v>43707</v>
      </c>
      <c r="H38" s="436">
        <f>ROUND('Sch. I'!H38*$B38/12,0)</f>
        <v>43707</v>
      </c>
      <c r="I38" s="436">
        <f>ROUND('Sch. I'!I38*$B38/12,0)</f>
        <v>43900</v>
      </c>
      <c r="J38" s="436">
        <f>ROUND('Sch. I'!J38*$B38/12,0)</f>
        <v>43900</v>
      </c>
      <c r="K38" s="436">
        <f>ROUND('Sch. I'!K38*$B38/12,0)</f>
        <v>43900</v>
      </c>
      <c r="L38" s="436">
        <f>ROUND('Sch. I'!L38*$B38/12,0)</f>
        <v>43900</v>
      </c>
      <c r="M38" s="436">
        <f>ROUND('Sch. I'!M38*$B38/12,0)</f>
        <v>46846</v>
      </c>
      <c r="N38" s="436">
        <f>ROUND('Sch. I'!N38*$B38/12,0)</f>
        <v>46846</v>
      </c>
      <c r="O38" s="436"/>
      <c r="P38" s="674">
        <f t="shared" si="0"/>
        <v>525294</v>
      </c>
    </row>
    <row r="39" spans="1:16" ht="15">
      <c r="A39" s="218">
        <v>3923</v>
      </c>
      <c r="B39" s="378">
        <v>0.082000000000000017</v>
      </c>
      <c r="C39" s="193">
        <f>ROUND('Sch. I'!B39*$B39/12,0)</f>
        <v>0</v>
      </c>
      <c r="D39" s="193">
        <f>ROUND('Sch. I'!C39*$B39/12,0)</f>
        <v>0</v>
      </c>
      <c r="E39" s="436">
        <f>ROUND('Sch. I'!D39*$B39/12,0)</f>
        <v>0</v>
      </c>
      <c r="F39" s="436">
        <f>ROUND('Sch. I'!F39*$B39/12,0)</f>
        <v>0</v>
      </c>
      <c r="G39" s="436">
        <f>ROUND('Sch. I'!G39*$B39/12,0)</f>
        <v>0</v>
      </c>
      <c r="H39" s="436">
        <f>ROUND('Sch. I'!H39*$B39/12,0)</f>
        <v>0</v>
      </c>
      <c r="I39" s="436">
        <f>ROUND('Sch. I'!I39*$B39/12,0)</f>
        <v>0</v>
      </c>
      <c r="J39" s="436">
        <f>ROUND('Sch. I'!J39*$B39/12,0)</f>
        <v>0</v>
      </c>
      <c r="K39" s="436">
        <f>ROUND('Sch. I'!K39*$B39/12,0)</f>
        <v>0</v>
      </c>
      <c r="L39" s="436">
        <f>ROUND('Sch. I'!L39*$B39/12,0)</f>
        <v>0</v>
      </c>
      <c r="M39" s="436">
        <f>ROUND('Sch. I'!M39*$B39/12,0)</f>
        <v>0</v>
      </c>
      <c r="N39" s="436">
        <f>ROUND('Sch. I'!N39*$B39/12,0)</f>
        <v>0</v>
      </c>
      <c r="O39" s="436"/>
      <c r="P39" s="674">
        <f t="shared" si="0"/>
        <v>0</v>
      </c>
    </row>
    <row r="40" spans="1:16" ht="15">
      <c r="A40" s="218">
        <v>3924</v>
      </c>
      <c r="B40" s="378">
        <v>0.057999999999999996</v>
      </c>
      <c r="C40" s="193">
        <f>ROUND('Sch. I'!B40*$B40/12,0)</f>
        <v>382</v>
      </c>
      <c r="D40" s="193">
        <f>ROUND('Sch. I'!C40*$B40/12,0)</f>
        <v>382</v>
      </c>
      <c r="E40" s="436">
        <f>ROUND('Sch. I'!D40*$B40/12,0)</f>
        <v>382</v>
      </c>
      <c r="F40" s="436">
        <f>ROUND('Sch. I'!F40*$B40/12,0)</f>
        <v>307</v>
      </c>
      <c r="G40" s="436">
        <f>ROUND('Sch. I'!G40*$B40/12,0)</f>
        <v>307</v>
      </c>
      <c r="H40" s="436">
        <f>ROUND('Sch. I'!H40*$B40/12,0)</f>
        <v>307</v>
      </c>
      <c r="I40" s="436">
        <f>ROUND('Sch. I'!I40*$B40/12,0)</f>
        <v>307</v>
      </c>
      <c r="J40" s="436">
        <f>ROUND('Sch. I'!J40*$B40/12,0)</f>
        <v>307</v>
      </c>
      <c r="K40" s="436">
        <f>ROUND('Sch. I'!K40*$B40/12,0)</f>
        <v>307</v>
      </c>
      <c r="L40" s="436">
        <f>ROUND('Sch. I'!L40*$B40/12,0)</f>
        <v>307</v>
      </c>
      <c r="M40" s="436">
        <f>ROUND('Sch. I'!M40*$B40/12,0)</f>
        <v>307</v>
      </c>
      <c r="N40" s="436">
        <f>ROUND('Sch. I'!N40*$B40/12,0)</f>
        <v>307</v>
      </c>
      <c r="O40" s="436"/>
      <c r="P40" s="674">
        <f t="shared" si="0"/>
        <v>3909</v>
      </c>
    </row>
    <row r="41" spans="1:16" s="732" customFormat="1" ht="15">
      <c r="A41" s="730" t="s">
        <v>209</v>
      </c>
      <c r="B41" s="731">
        <v>0.038461538461538464</v>
      </c>
      <c r="C41" s="436">
        <f>ROUND('Sch. I'!B41*$B41/12,0)</f>
        <v>96</v>
      </c>
      <c r="D41" s="436">
        <f>ROUND('Sch. I'!C41*$B41/12,0)</f>
        <v>96</v>
      </c>
      <c r="E41" s="436">
        <f>ROUND('Sch. I'!D41*$B41/12,0)</f>
        <v>96</v>
      </c>
      <c r="F41" s="436">
        <f>ROUND('Sch. I'!F41*$B41/12,0)</f>
        <v>96</v>
      </c>
      <c r="G41" s="436">
        <f>ROUND('Sch. I'!G41*$B41/12,0)</f>
        <v>96</v>
      </c>
      <c r="H41" s="436">
        <f>ROUND('Sch. I'!H41*$B41/12,0)</f>
        <v>96</v>
      </c>
      <c r="I41" s="436">
        <f>ROUND('Sch. I'!I41*$B41/12,0)</f>
        <v>96</v>
      </c>
      <c r="J41" s="436">
        <f>ROUND('Sch. I'!J41*$B41/12,0)</f>
        <v>96</v>
      </c>
      <c r="K41" s="436">
        <f>ROUND('Sch. I'!K41*$B41/12,0)</f>
        <v>96</v>
      </c>
      <c r="L41" s="436">
        <f>ROUND('Sch. I'!L41*$B41/12,0)</f>
        <v>96</v>
      </c>
      <c r="M41" s="436">
        <f>ROUND('Sch. I'!M41*$B41/12,0)</f>
        <v>96</v>
      </c>
      <c r="N41" s="436">
        <f>ROUND('Sch. I'!N41*$B41/12,0)</f>
        <v>96</v>
      </c>
      <c r="O41" s="436">
        <v>-183</v>
      </c>
      <c r="P41" s="674">
        <f t="shared" si="0"/>
        <v>969</v>
      </c>
    </row>
    <row r="42" spans="1:16" s="732" customFormat="1" ht="15">
      <c r="A42" s="730" t="s">
        <v>210</v>
      </c>
      <c r="B42" s="731">
        <v>0.066666666666666666</v>
      </c>
      <c r="C42" s="436">
        <f>ROUND('Sch. I'!B42*$B42/12,0)</f>
        <v>6195</v>
      </c>
      <c r="D42" s="436">
        <f>ROUND('Sch. I'!C42*$B42/12,0)</f>
        <v>6237</v>
      </c>
      <c r="E42" s="436">
        <f>ROUND('Sch. I'!D42*$B42/12,0)</f>
        <v>6294</v>
      </c>
      <c r="F42" s="436">
        <f>ROUND('Sch. I'!F42*$B42/12,0)</f>
        <v>6464</v>
      </c>
      <c r="G42" s="436">
        <f>ROUND('Sch. I'!G42*$B42/12,0)</f>
        <v>6577</v>
      </c>
      <c r="H42" s="436">
        <f>ROUND('Sch. I'!H42*$B42/12,0)</f>
        <v>6691</v>
      </c>
      <c r="I42" s="436">
        <f>ROUND('Sch. I'!I42*$B42/12,0)</f>
        <v>6849</v>
      </c>
      <c r="J42" s="436">
        <f>ROUND('Sch. I'!J42*$B42/12,0)</f>
        <v>6977</v>
      </c>
      <c r="K42" s="436">
        <f>ROUND('Sch. I'!K42*$B42/12,0)</f>
        <v>7104</v>
      </c>
      <c r="L42" s="436">
        <f>ROUND('Sch. I'!L42*$B42/12,0)</f>
        <v>7232</v>
      </c>
      <c r="M42" s="436">
        <f>ROUND('Sch. I'!M42*$B42/12,0)</f>
        <v>7360</v>
      </c>
      <c r="N42" s="436">
        <f>ROUND('Sch. I'!N42*$B42/12,0)</f>
        <v>7473</v>
      </c>
      <c r="O42" s="436">
        <v>13595.040000000001</v>
      </c>
      <c r="P42" s="674">
        <f t="shared" si="0"/>
        <v>95048</v>
      </c>
    </row>
    <row r="43" spans="1:16" s="732" customFormat="1" ht="15">
      <c r="A43" s="730" t="s">
        <v>211</v>
      </c>
      <c r="B43" s="731">
        <v>0.050000000000000003</v>
      </c>
      <c r="C43" s="436">
        <f>ROUND('Sch. I'!B43*$B43/12,0)</f>
        <v>0</v>
      </c>
      <c r="D43" s="436">
        <f>ROUND('Sch. I'!C43*$B43/12,0)</f>
        <v>0</v>
      </c>
      <c r="E43" s="436">
        <f>ROUND('Sch. I'!D43*$B43/12,0)</f>
        <v>0</v>
      </c>
      <c r="F43" s="436">
        <f>ROUND('Sch. I'!F43*$B43/12,0)</f>
        <v>0</v>
      </c>
      <c r="G43" s="436">
        <f>ROUND('Sch. I'!G43*$B43/12,0)</f>
        <v>0</v>
      </c>
      <c r="H43" s="436">
        <f>ROUND('Sch. I'!H43*$B43/12,0)</f>
        <v>0</v>
      </c>
      <c r="I43" s="436">
        <f>ROUND('Sch. I'!I43*$B43/12,0)</f>
        <v>0</v>
      </c>
      <c r="J43" s="436">
        <f>ROUND('Sch. I'!J43*$B43/12,0)</f>
        <v>0</v>
      </c>
      <c r="K43" s="436">
        <f>ROUND('Sch. I'!K43*$B43/12,0)</f>
        <v>0</v>
      </c>
      <c r="L43" s="436">
        <f>ROUND('Sch. I'!L43*$B43/12,0)</f>
        <v>0</v>
      </c>
      <c r="M43" s="436">
        <f>ROUND('Sch. I'!M43*$B43/12,0)</f>
        <v>0</v>
      </c>
      <c r="N43" s="436">
        <f>ROUND('Sch. I'!N43*$B43/12,0)</f>
        <v>0</v>
      </c>
      <c r="O43" s="436"/>
      <c r="P43" s="674">
        <f t="shared" si="0"/>
        <v>0</v>
      </c>
    </row>
    <row r="44" spans="1:16" s="732" customFormat="1" ht="15">
      <c r="A44" s="730" t="s">
        <v>212</v>
      </c>
      <c r="B44" s="731">
        <v>0.050999999999999997</v>
      </c>
      <c r="C44" s="436">
        <f>ROUND('Sch. I'!B44*$B44/12,0)</f>
        <v>6002</v>
      </c>
      <c r="D44" s="436">
        <f>ROUND('Sch. I'!C44*$B44/12,0)</f>
        <v>6015</v>
      </c>
      <c r="E44" s="436">
        <f>ROUND('Sch. I'!D44*$B44/12,0)</f>
        <v>6033</v>
      </c>
      <c r="F44" s="436">
        <f>ROUND('Sch. I'!F44*$B44/12,0)</f>
        <v>6673</v>
      </c>
      <c r="G44" s="436">
        <f>ROUND('Sch. I'!G44*$B44/12,0)</f>
        <v>6709</v>
      </c>
      <c r="H44" s="436">
        <f>ROUND('Sch. I'!H44*$B44/12,0)</f>
        <v>6745</v>
      </c>
      <c r="I44" s="436">
        <f>ROUND('Sch. I'!I44*$B44/12,0)</f>
        <v>7318</v>
      </c>
      <c r="J44" s="436">
        <f>ROUND('Sch. I'!J44*$B44/12,0)</f>
        <v>7358</v>
      </c>
      <c r="K44" s="436">
        <f>ROUND('Sch. I'!K44*$B44/12,0)</f>
        <v>7398</v>
      </c>
      <c r="L44" s="436">
        <f>ROUND('Sch. I'!L44*$B44/12,0)</f>
        <v>7438</v>
      </c>
      <c r="M44" s="436">
        <f>ROUND('Sch. I'!M44*$B44/12,0)</f>
        <v>7478</v>
      </c>
      <c r="N44" s="436">
        <f>ROUND('Sch. I'!N44*$B44/12,0)</f>
        <v>7514</v>
      </c>
      <c r="O44" s="436"/>
      <c r="P44" s="674">
        <f t="shared" si="0"/>
        <v>82681</v>
      </c>
    </row>
    <row r="45" spans="1:16" s="732" customFormat="1" ht="15">
      <c r="A45" s="730" t="s">
        <v>213</v>
      </c>
      <c r="B45" s="731">
        <v>0.076923076923076927</v>
      </c>
      <c r="C45" s="436">
        <f>ROUND('Sch. I'!B45*$B45/12,0)</f>
        <v>16849</v>
      </c>
      <c r="D45" s="436">
        <f>ROUND('Sch. I'!C45*$B45/12,0)</f>
        <v>16849</v>
      </c>
      <c r="E45" s="436">
        <f>ROUND('Sch. I'!D45*$B45/12,0)</f>
        <v>16849</v>
      </c>
      <c r="F45" s="436">
        <f>ROUND('Sch. I'!F45*$B45/12,0)</f>
        <v>16934</v>
      </c>
      <c r="G45" s="436">
        <f>ROUND('Sch. I'!G45*$B45/12,0)</f>
        <v>16934</v>
      </c>
      <c r="H45" s="436">
        <f>ROUND('Sch. I'!H45*$B45/12,0)</f>
        <v>16934</v>
      </c>
      <c r="I45" s="436">
        <f>ROUND('Sch. I'!I45*$B45/12,0)</f>
        <v>16970</v>
      </c>
      <c r="J45" s="436">
        <f>ROUND('Sch. I'!J45*$B45/12,0)</f>
        <v>16970</v>
      </c>
      <c r="K45" s="436">
        <f>ROUND('Sch. I'!K45*$B45/12,0)</f>
        <v>16970</v>
      </c>
      <c r="L45" s="436">
        <f>ROUND('Sch. I'!L45*$B45/12,0)</f>
        <v>16970</v>
      </c>
      <c r="M45" s="436">
        <f>ROUND('Sch. I'!M45*$B45/12,0)</f>
        <v>16970</v>
      </c>
      <c r="N45" s="436">
        <f>ROUND('Sch. I'!N45*$B45/12,0)</f>
        <v>16970</v>
      </c>
      <c r="O45" s="436">
        <v>-3531.1200000000354</v>
      </c>
      <c r="P45" s="674">
        <f t="shared" si="0"/>
        <v>199638</v>
      </c>
    </row>
    <row r="46" spans="1:16" s="732" customFormat="1" ht="15">
      <c r="A46" s="730" t="s">
        <v>214</v>
      </c>
      <c r="B46" s="731">
        <v>0.058823529411764712</v>
      </c>
      <c r="C46" s="436">
        <f>ROUND('Sch. I'!B46*$B46/12,0)</f>
        <v>1824</v>
      </c>
      <c r="D46" s="436">
        <f>ROUND('Sch. I'!C46*$B46/12,0)</f>
        <v>1824</v>
      </c>
      <c r="E46" s="436">
        <f>ROUND('Sch. I'!D46*$B46/12,0)</f>
        <v>1824</v>
      </c>
      <c r="F46" s="436">
        <f>ROUND('Sch. I'!F46*$B46/12,0)</f>
        <v>1905</v>
      </c>
      <c r="G46" s="436">
        <f>ROUND('Sch. I'!G46*$B46/12,0)</f>
        <v>1905</v>
      </c>
      <c r="H46" s="436">
        <f>ROUND('Sch. I'!H46*$B46/12,0)</f>
        <v>1905</v>
      </c>
      <c r="I46" s="436">
        <f>ROUND('Sch. I'!I46*$B46/12,0)</f>
        <v>1906</v>
      </c>
      <c r="J46" s="436">
        <f>ROUND('Sch. I'!J46*$B46/12,0)</f>
        <v>1906</v>
      </c>
      <c r="K46" s="436">
        <f>ROUND('Sch. I'!K46*$B46/12,0)</f>
        <v>1906</v>
      </c>
      <c r="L46" s="436">
        <f>ROUND('Sch. I'!L46*$B46/12,0)</f>
        <v>1906</v>
      </c>
      <c r="M46" s="436">
        <f>ROUND('Sch. I'!M46*$B46/12,0)</f>
        <v>1907</v>
      </c>
      <c r="N46" s="436">
        <f>ROUND('Sch. I'!N46*$B46/12,0)</f>
        <v>1907</v>
      </c>
      <c r="O46" s="436">
        <v>8393.8800000000047</v>
      </c>
      <c r="P46" s="674">
        <f t="shared" si="0"/>
        <v>31019</v>
      </c>
    </row>
    <row r="47" spans="1:16" s="732" customFormat="1" ht="15">
      <c r="A47" s="730" t="s">
        <v>215</v>
      </c>
      <c r="B47" s="731">
        <v>0.20000000000000001</v>
      </c>
      <c r="C47" s="436">
        <f>ROUND('Sch. I'!B47*$B47/12,0)</f>
        <v>0</v>
      </c>
      <c r="D47" s="436">
        <f>ROUND('Sch. I'!C47*$B47/12,0)</f>
        <v>0</v>
      </c>
      <c r="E47" s="436">
        <f>ROUND('Sch. I'!D47*$B47/12,0)</f>
        <v>0</v>
      </c>
      <c r="F47" s="436">
        <f>ROUND('Sch. I'!F47*$B47/12,0)</f>
        <v>0</v>
      </c>
      <c r="G47" s="436">
        <f>ROUND('Sch. I'!G47*$B47/12,0)</f>
        <v>0</v>
      </c>
      <c r="H47" s="436">
        <f>ROUND('Sch. I'!H47*$B47/12,0)</f>
        <v>0</v>
      </c>
      <c r="I47" s="436">
        <f>ROUND('Sch. I'!I47*$B47/12,0)</f>
        <v>0</v>
      </c>
      <c r="J47" s="436">
        <f>ROUND('Sch. I'!J47*$B47/12,0)</f>
        <v>0</v>
      </c>
      <c r="K47" s="436">
        <f>ROUND('Sch. I'!K47*$B47/12,0)</f>
        <v>0</v>
      </c>
      <c r="L47" s="436">
        <f>ROUND('Sch. I'!L47*$B47/12,0)</f>
        <v>0</v>
      </c>
      <c r="M47" s="436">
        <f>ROUND('Sch. I'!M47*$B47/12,0)</f>
        <v>0</v>
      </c>
      <c r="N47" s="436">
        <f>ROUND('Sch. I'!N47*$B47/12,0)</f>
        <v>0</v>
      </c>
      <c r="O47" s="436"/>
      <c r="P47" s="674">
        <f t="shared" si="0"/>
        <v>0</v>
      </c>
    </row>
    <row r="48" spans="1:16" s="732" customFormat="1" ht="15.75" thickBot="1">
      <c r="A48" s="733"/>
      <c r="B48" s="734"/>
      <c r="C48" s="735">
        <f t="shared" si="1" ref="C48:P48">ROUND(SUM(C9:C47),0)</f>
        <v>1169119</v>
      </c>
      <c r="D48" s="735">
        <f t="shared" si="1"/>
        <v>1171562</v>
      </c>
      <c r="E48" s="735">
        <f t="shared" si="1"/>
        <v>1171915</v>
      </c>
      <c r="F48" s="735">
        <f t="shared" si="1"/>
        <v>1180059</v>
      </c>
      <c r="G48" s="735">
        <f t="shared" si="1"/>
        <v>1183954</v>
      </c>
      <c r="H48" s="735">
        <f t="shared" si="1"/>
        <v>1193546</v>
      </c>
      <c r="I48" s="735">
        <f t="shared" si="1"/>
        <v>1200654</v>
      </c>
      <c r="J48" s="735">
        <f t="shared" si="1"/>
        <v>1204014</v>
      </c>
      <c r="K48" s="735">
        <f t="shared" si="1"/>
        <v>1206774</v>
      </c>
      <c r="L48" s="735">
        <f t="shared" si="1"/>
        <v>1209999</v>
      </c>
      <c r="M48" s="735">
        <f t="shared" si="1"/>
        <v>1217772</v>
      </c>
      <c r="N48" s="735">
        <f t="shared" si="1"/>
        <v>1219973</v>
      </c>
      <c r="O48" s="735">
        <f t="shared" si="1"/>
        <v>270196</v>
      </c>
      <c r="P48" s="736">
        <f t="shared" si="1"/>
        <v>14599537</v>
      </c>
    </row>
    <row r="49" spans="2:2" s="732" customFormat="1" ht="15" thickTop="1">
      <c r="B49" s="737"/>
    </row>
    <row r="50" spans="14:16" ht="15">
      <c r="N50" t="s">
        <v>328</v>
      </c>
      <c r="P50" s="371">
        <f>SUM(C9:O47)</f>
        <v>14599536.84</v>
      </c>
    </row>
    <row r="51" spans="16:16" ht="15" thickBot="1">
      <c r="P51" s="371">
        <f>P48-P50</f>
        <v>0.16000000014901161</v>
      </c>
    </row>
  </sheetData>
  <mergeCells count="5">
    <mergeCell ref="A1:P1"/>
    <mergeCell ref="A2:P2"/>
    <mergeCell ref="A3:P3"/>
    <mergeCell ref="A4:P4"/>
    <mergeCell ref="A6:P6"/>
  </mergeCells>
  <printOptions horizontalCentered="1"/>
  <pageMargins left="0.5" right="0.5" top="1.04" bottom="0.5" header="0.5" footer="0.2"/>
  <pageSetup orientation="landscape" scale="70" r:id="rId1"/>
  <headerFooter>
    <oddHeader>&amp;L&amp;"Arial,Bold"&amp;12Florida Public Utilities Natural Gas Division
2023 Consolidated Depreciation Study Workbook
Docket No. 20220067&amp;R&amp;"Arial,Bold"&amp;12Revised Exhibit PSL-2
Page &amp;P of 93
Schedule J</oddHeader>
    <oddFooter>&amp;C&amp;A</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49"/>
  <sheetViews>
    <sheetView zoomScale="62" zoomScaleNormal="62" workbookViewId="0" topLeftCell="A5">
      <pane xSplit="2" ySplit="5" topLeftCell="I32" activePane="bottomRight" state="frozen"/>
      <selection pane="topLeft" activeCell="A5" sqref="A5"/>
      <selection pane="bottomLeft" activeCell="A10" sqref="A10"/>
      <selection pane="topRight" activeCell="C5" sqref="C5"/>
      <selection pane="bottomRight" activeCell="X50" sqref="X50"/>
    </sheetView>
  </sheetViews>
  <sheetFormatPr defaultColWidth="10.5742857142857" defaultRowHeight="12.75"/>
  <cols>
    <col min="1" max="1" width="5.57142857142857" style="266" bestFit="1" customWidth="1"/>
    <col min="2" max="2" width="33" style="267" bestFit="1" customWidth="1"/>
    <col min="3" max="3" width="10.8571428571429" style="268" bestFit="1" customWidth="1"/>
    <col min="4" max="4" width="11.4285714285714" style="268" bestFit="1" customWidth="1"/>
    <col min="5" max="5" width="11.1428571428571" style="268" bestFit="1" customWidth="1"/>
    <col min="6" max="6" width="10.8571428571429" style="268" bestFit="1" customWidth="1"/>
    <col min="7" max="7" width="11.4285714285714" style="268" bestFit="1" customWidth="1"/>
    <col min="8" max="8" width="11.1428571428571" style="268" bestFit="1" customWidth="1"/>
    <col min="9" max="10" width="11.4285714285714" style="268" bestFit="1" customWidth="1"/>
    <col min="11" max="11" width="9.57142857142857" style="268" bestFit="1" customWidth="1"/>
    <col min="12" max="12" width="10.8571428571429" style="268" bestFit="1" customWidth="1"/>
    <col min="13" max="13" width="11.7142857142857" style="268" bestFit="1" customWidth="1"/>
    <col min="14" max="14" width="11.1428571428571" style="268" bestFit="1" customWidth="1"/>
    <col min="15" max="15" width="10.8571428571429" style="268" bestFit="1" customWidth="1"/>
    <col min="16" max="16" width="12.4285714285714" style="268" customWidth="1"/>
    <col min="17" max="17" width="11.1428571428571" style="268" bestFit="1" customWidth="1"/>
    <col min="18" max="18" width="12.1428571428571" style="268" customWidth="1"/>
    <col min="19" max="19" width="12.2857142857143" style="268" customWidth="1"/>
    <col min="20" max="20" width="11.7142857142857" style="268" customWidth="1"/>
    <col min="21" max="21" width="12.1428571428571" style="669" customWidth="1"/>
    <col min="22" max="22" width="12.2857142857143" style="669" customWidth="1"/>
    <col min="23" max="23" width="12.1428571428571" style="268" customWidth="1"/>
    <col min="24" max="24" width="12.2857142857143" style="268" customWidth="1"/>
    <col min="25" max="25" width="11.7142857142857" style="268" customWidth="1"/>
    <col min="26" max="252" width="10.5714285714286" style="248"/>
    <col min="253" max="253" width="6.85714285714286" style="248" customWidth="1"/>
    <col min="254" max="254" width="33.1428571428571" style="248" bestFit="1" customWidth="1"/>
    <col min="255" max="272" width="11.5714285714286" style="248" customWidth="1"/>
    <col min="273" max="273" width="12.7142857142857" style="248" customWidth="1"/>
    <col min="274" max="275" width="11.5714285714286" style="248" customWidth="1"/>
    <col min="276" max="508" width="10.5714285714286" style="248"/>
    <col min="509" max="509" width="6.85714285714286" style="248" customWidth="1"/>
    <col min="510" max="510" width="33.1428571428571" style="248" bestFit="1" customWidth="1"/>
    <col min="511" max="528" width="11.5714285714286" style="248" customWidth="1"/>
    <col min="529" max="529" width="12.7142857142857" style="248" customWidth="1"/>
    <col min="530" max="531" width="11.5714285714286" style="248" customWidth="1"/>
    <col min="532" max="764" width="10.5714285714286" style="248"/>
    <col min="765" max="765" width="6.85714285714286" style="248" customWidth="1"/>
    <col min="766" max="766" width="33.1428571428571" style="248" bestFit="1" customWidth="1"/>
    <col min="767" max="784" width="11.5714285714286" style="248" customWidth="1"/>
    <col min="785" max="785" width="12.7142857142857" style="248" customWidth="1"/>
    <col min="786" max="787" width="11.5714285714286" style="248" customWidth="1"/>
    <col min="788" max="1020" width="10.5714285714286" style="248"/>
    <col min="1021" max="1021" width="6.85714285714286" style="248" customWidth="1"/>
    <col min="1022" max="1022" width="33.1428571428571" style="248" bestFit="1" customWidth="1"/>
    <col min="1023" max="1040" width="11.5714285714286" style="248" customWidth="1"/>
    <col min="1041" max="1041" width="12.7142857142857" style="248" customWidth="1"/>
    <col min="1042" max="1043" width="11.5714285714286" style="248" customWidth="1"/>
    <col min="1044" max="1276" width="10.5714285714286" style="248"/>
    <col min="1277" max="1277" width="6.85714285714286" style="248" customWidth="1"/>
    <col min="1278" max="1278" width="33.1428571428571" style="248" bestFit="1" customWidth="1"/>
    <col min="1279" max="1296" width="11.5714285714286" style="248" customWidth="1"/>
    <col min="1297" max="1297" width="12.7142857142857" style="248" customWidth="1"/>
    <col min="1298" max="1299" width="11.5714285714286" style="248" customWidth="1"/>
    <col min="1300" max="1532" width="10.5714285714286" style="248"/>
    <col min="1533" max="1533" width="6.85714285714286" style="248" customWidth="1"/>
    <col min="1534" max="1534" width="33.1428571428571" style="248" bestFit="1" customWidth="1"/>
    <col min="1535" max="1552" width="11.5714285714286" style="248" customWidth="1"/>
    <col min="1553" max="1553" width="12.7142857142857" style="248" customWidth="1"/>
    <col min="1554" max="1555" width="11.5714285714286" style="248" customWidth="1"/>
    <col min="1556" max="1788" width="10.5714285714286" style="248"/>
    <col min="1789" max="1789" width="6.85714285714286" style="248" customWidth="1"/>
    <col min="1790" max="1790" width="33.1428571428571" style="248" bestFit="1" customWidth="1"/>
    <col min="1791" max="1808" width="11.5714285714286" style="248" customWidth="1"/>
    <col min="1809" max="1809" width="12.7142857142857" style="248" customWidth="1"/>
    <col min="1810" max="1811" width="11.5714285714286" style="248" customWidth="1"/>
    <col min="1812" max="2044" width="10.5714285714286" style="248"/>
    <col min="2045" max="2045" width="6.85714285714286" style="248" customWidth="1"/>
    <col min="2046" max="2046" width="33.1428571428571" style="248" bestFit="1" customWidth="1"/>
    <col min="2047" max="2064" width="11.5714285714286" style="248" customWidth="1"/>
    <col min="2065" max="2065" width="12.7142857142857" style="248" customWidth="1"/>
    <col min="2066" max="2067" width="11.5714285714286" style="248" customWidth="1"/>
    <col min="2068" max="2300" width="10.5714285714286" style="248"/>
    <col min="2301" max="2301" width="6.85714285714286" style="248" customWidth="1"/>
    <col min="2302" max="2302" width="33.1428571428571" style="248" bestFit="1" customWidth="1"/>
    <col min="2303" max="2320" width="11.5714285714286" style="248" customWidth="1"/>
    <col min="2321" max="2321" width="12.7142857142857" style="248" customWidth="1"/>
    <col min="2322" max="2323" width="11.5714285714286" style="248" customWidth="1"/>
    <col min="2324" max="2556" width="10.5714285714286" style="248"/>
    <col min="2557" max="2557" width="6.85714285714286" style="248" customWidth="1"/>
    <col min="2558" max="2558" width="33.1428571428571" style="248" bestFit="1" customWidth="1"/>
    <col min="2559" max="2576" width="11.5714285714286" style="248" customWidth="1"/>
    <col min="2577" max="2577" width="12.7142857142857" style="248" customWidth="1"/>
    <col min="2578" max="2579" width="11.5714285714286" style="248" customWidth="1"/>
    <col min="2580" max="2812" width="10.5714285714286" style="248"/>
    <col min="2813" max="2813" width="6.85714285714286" style="248" customWidth="1"/>
    <col min="2814" max="2814" width="33.1428571428571" style="248" bestFit="1" customWidth="1"/>
    <col min="2815" max="2832" width="11.5714285714286" style="248" customWidth="1"/>
    <col min="2833" max="2833" width="12.7142857142857" style="248" customWidth="1"/>
    <col min="2834" max="2835" width="11.5714285714286" style="248" customWidth="1"/>
    <col min="2836" max="3068" width="10.5714285714286" style="248"/>
    <col min="3069" max="3069" width="6.85714285714286" style="248" customWidth="1"/>
    <col min="3070" max="3070" width="33.1428571428571" style="248" bestFit="1" customWidth="1"/>
    <col min="3071" max="3088" width="11.5714285714286" style="248" customWidth="1"/>
    <col min="3089" max="3089" width="12.7142857142857" style="248" customWidth="1"/>
    <col min="3090" max="3091" width="11.5714285714286" style="248" customWidth="1"/>
    <col min="3092" max="3324" width="10.5714285714286" style="248"/>
    <col min="3325" max="3325" width="6.85714285714286" style="248" customWidth="1"/>
    <col min="3326" max="3326" width="33.1428571428571" style="248" bestFit="1" customWidth="1"/>
    <col min="3327" max="3344" width="11.5714285714286" style="248" customWidth="1"/>
    <col min="3345" max="3345" width="12.7142857142857" style="248" customWidth="1"/>
    <col min="3346" max="3347" width="11.5714285714286" style="248" customWidth="1"/>
    <col min="3348" max="3580" width="10.5714285714286" style="248"/>
    <col min="3581" max="3581" width="6.85714285714286" style="248" customWidth="1"/>
    <col min="3582" max="3582" width="33.1428571428571" style="248" bestFit="1" customWidth="1"/>
    <col min="3583" max="3600" width="11.5714285714286" style="248" customWidth="1"/>
    <col min="3601" max="3601" width="12.7142857142857" style="248" customWidth="1"/>
    <col min="3602" max="3603" width="11.5714285714286" style="248" customWidth="1"/>
    <col min="3604" max="3836" width="10.5714285714286" style="248"/>
    <col min="3837" max="3837" width="6.85714285714286" style="248" customWidth="1"/>
    <col min="3838" max="3838" width="33.1428571428571" style="248" bestFit="1" customWidth="1"/>
    <col min="3839" max="3856" width="11.5714285714286" style="248" customWidth="1"/>
    <col min="3857" max="3857" width="12.7142857142857" style="248" customWidth="1"/>
    <col min="3858" max="3859" width="11.5714285714286" style="248" customWidth="1"/>
    <col min="3860" max="4092" width="10.5714285714286" style="248"/>
    <col min="4093" max="4093" width="6.85714285714286" style="248" customWidth="1"/>
    <col min="4094" max="4094" width="33.1428571428571" style="248" bestFit="1" customWidth="1"/>
    <col min="4095" max="4112" width="11.5714285714286" style="248" customWidth="1"/>
    <col min="4113" max="4113" width="12.7142857142857" style="248" customWidth="1"/>
    <col min="4114" max="4115" width="11.5714285714286" style="248" customWidth="1"/>
    <col min="4116" max="4348" width="10.5714285714286" style="248"/>
    <col min="4349" max="4349" width="6.85714285714286" style="248" customWidth="1"/>
    <col min="4350" max="4350" width="33.1428571428571" style="248" bestFit="1" customWidth="1"/>
    <col min="4351" max="4368" width="11.5714285714286" style="248" customWidth="1"/>
    <col min="4369" max="4369" width="12.7142857142857" style="248" customWidth="1"/>
    <col min="4370" max="4371" width="11.5714285714286" style="248" customWidth="1"/>
    <col min="4372" max="4604" width="10.5714285714286" style="248"/>
    <col min="4605" max="4605" width="6.85714285714286" style="248" customWidth="1"/>
    <col min="4606" max="4606" width="33.1428571428571" style="248" bestFit="1" customWidth="1"/>
    <col min="4607" max="4624" width="11.5714285714286" style="248" customWidth="1"/>
    <col min="4625" max="4625" width="12.7142857142857" style="248" customWidth="1"/>
    <col min="4626" max="4627" width="11.5714285714286" style="248" customWidth="1"/>
    <col min="4628" max="4860" width="10.5714285714286" style="248"/>
    <col min="4861" max="4861" width="6.85714285714286" style="248" customWidth="1"/>
    <col min="4862" max="4862" width="33.1428571428571" style="248" bestFit="1" customWidth="1"/>
    <col min="4863" max="4880" width="11.5714285714286" style="248" customWidth="1"/>
    <col min="4881" max="4881" width="12.7142857142857" style="248" customWidth="1"/>
    <col min="4882" max="4883" width="11.5714285714286" style="248" customWidth="1"/>
    <col min="4884" max="5116" width="10.5714285714286" style="248"/>
    <col min="5117" max="5117" width="6.85714285714286" style="248" customWidth="1"/>
    <col min="5118" max="5118" width="33.1428571428571" style="248" bestFit="1" customWidth="1"/>
    <col min="5119" max="5136" width="11.5714285714286" style="248" customWidth="1"/>
    <col min="5137" max="5137" width="12.7142857142857" style="248" customWidth="1"/>
    <col min="5138" max="5139" width="11.5714285714286" style="248" customWidth="1"/>
    <col min="5140" max="5372" width="10.5714285714286" style="248"/>
    <col min="5373" max="5373" width="6.85714285714286" style="248" customWidth="1"/>
    <col min="5374" max="5374" width="33.1428571428571" style="248" bestFit="1" customWidth="1"/>
    <col min="5375" max="5392" width="11.5714285714286" style="248" customWidth="1"/>
    <col min="5393" max="5393" width="12.7142857142857" style="248" customWidth="1"/>
    <col min="5394" max="5395" width="11.5714285714286" style="248" customWidth="1"/>
    <col min="5396" max="5628" width="10.5714285714286" style="248"/>
    <col min="5629" max="5629" width="6.85714285714286" style="248" customWidth="1"/>
    <col min="5630" max="5630" width="33.1428571428571" style="248" bestFit="1" customWidth="1"/>
    <col min="5631" max="5648" width="11.5714285714286" style="248" customWidth="1"/>
    <col min="5649" max="5649" width="12.7142857142857" style="248" customWidth="1"/>
    <col min="5650" max="5651" width="11.5714285714286" style="248" customWidth="1"/>
    <col min="5652" max="5884" width="10.5714285714286" style="248"/>
    <col min="5885" max="5885" width="6.85714285714286" style="248" customWidth="1"/>
    <col min="5886" max="5886" width="33.1428571428571" style="248" bestFit="1" customWidth="1"/>
    <col min="5887" max="5904" width="11.5714285714286" style="248" customWidth="1"/>
    <col min="5905" max="5905" width="12.7142857142857" style="248" customWidth="1"/>
    <col min="5906" max="5907" width="11.5714285714286" style="248" customWidth="1"/>
    <col min="5908" max="6140" width="10.5714285714286" style="248"/>
    <col min="6141" max="6141" width="6.85714285714286" style="248" customWidth="1"/>
    <col min="6142" max="6142" width="33.1428571428571" style="248" bestFit="1" customWidth="1"/>
    <col min="6143" max="6160" width="11.5714285714286" style="248" customWidth="1"/>
    <col min="6161" max="6161" width="12.7142857142857" style="248" customWidth="1"/>
    <col min="6162" max="6163" width="11.5714285714286" style="248" customWidth="1"/>
    <col min="6164" max="6396" width="10.5714285714286" style="248"/>
    <col min="6397" max="6397" width="6.85714285714286" style="248" customWidth="1"/>
    <col min="6398" max="6398" width="33.1428571428571" style="248" bestFit="1" customWidth="1"/>
    <col min="6399" max="6416" width="11.5714285714286" style="248" customWidth="1"/>
    <col min="6417" max="6417" width="12.7142857142857" style="248" customWidth="1"/>
    <col min="6418" max="6419" width="11.5714285714286" style="248" customWidth="1"/>
    <col min="6420" max="6652" width="10.5714285714286" style="248"/>
    <col min="6653" max="6653" width="6.85714285714286" style="248" customWidth="1"/>
    <col min="6654" max="6654" width="33.1428571428571" style="248" bestFit="1" customWidth="1"/>
    <col min="6655" max="6672" width="11.5714285714286" style="248" customWidth="1"/>
    <col min="6673" max="6673" width="12.7142857142857" style="248" customWidth="1"/>
    <col min="6674" max="6675" width="11.5714285714286" style="248" customWidth="1"/>
    <col min="6676" max="6908" width="10.5714285714286" style="248"/>
    <col min="6909" max="6909" width="6.85714285714286" style="248" customWidth="1"/>
    <col min="6910" max="6910" width="33.1428571428571" style="248" bestFit="1" customWidth="1"/>
    <col min="6911" max="6928" width="11.5714285714286" style="248" customWidth="1"/>
    <col min="6929" max="6929" width="12.7142857142857" style="248" customWidth="1"/>
    <col min="6930" max="6931" width="11.5714285714286" style="248" customWidth="1"/>
    <col min="6932" max="7164" width="10.5714285714286" style="248"/>
    <col min="7165" max="7165" width="6.85714285714286" style="248" customWidth="1"/>
    <col min="7166" max="7166" width="33.1428571428571" style="248" bestFit="1" customWidth="1"/>
    <col min="7167" max="7184" width="11.5714285714286" style="248" customWidth="1"/>
    <col min="7185" max="7185" width="12.7142857142857" style="248" customWidth="1"/>
    <col min="7186" max="7187" width="11.5714285714286" style="248" customWidth="1"/>
    <col min="7188" max="7420" width="10.5714285714286" style="248"/>
    <col min="7421" max="7421" width="6.85714285714286" style="248" customWidth="1"/>
    <col min="7422" max="7422" width="33.1428571428571" style="248" bestFit="1" customWidth="1"/>
    <col min="7423" max="7440" width="11.5714285714286" style="248" customWidth="1"/>
    <col min="7441" max="7441" width="12.7142857142857" style="248" customWidth="1"/>
    <col min="7442" max="7443" width="11.5714285714286" style="248" customWidth="1"/>
    <col min="7444" max="7676" width="10.5714285714286" style="248"/>
    <col min="7677" max="7677" width="6.85714285714286" style="248" customWidth="1"/>
    <col min="7678" max="7678" width="33.1428571428571" style="248" bestFit="1" customWidth="1"/>
    <col min="7679" max="7696" width="11.5714285714286" style="248" customWidth="1"/>
    <col min="7697" max="7697" width="12.7142857142857" style="248" customWidth="1"/>
    <col min="7698" max="7699" width="11.5714285714286" style="248" customWidth="1"/>
    <col min="7700" max="7932" width="10.5714285714286" style="248"/>
    <col min="7933" max="7933" width="6.85714285714286" style="248" customWidth="1"/>
    <col min="7934" max="7934" width="33.1428571428571" style="248" bestFit="1" customWidth="1"/>
    <col min="7935" max="7952" width="11.5714285714286" style="248" customWidth="1"/>
    <col min="7953" max="7953" width="12.7142857142857" style="248" customWidth="1"/>
    <col min="7954" max="7955" width="11.5714285714286" style="248" customWidth="1"/>
    <col min="7956" max="8188" width="10.5714285714286" style="248"/>
    <col min="8189" max="8189" width="6.85714285714286" style="248" customWidth="1"/>
    <col min="8190" max="8190" width="33.1428571428571" style="248" bestFit="1" customWidth="1"/>
    <col min="8191" max="8208" width="11.5714285714286" style="248" customWidth="1"/>
    <col min="8209" max="8209" width="12.7142857142857" style="248" customWidth="1"/>
    <col min="8210" max="8211" width="11.5714285714286" style="248" customWidth="1"/>
    <col min="8212" max="8444" width="10.5714285714286" style="248"/>
    <col min="8445" max="8445" width="6.85714285714286" style="248" customWidth="1"/>
    <col min="8446" max="8446" width="33.1428571428571" style="248" bestFit="1" customWidth="1"/>
    <col min="8447" max="8464" width="11.5714285714286" style="248" customWidth="1"/>
    <col min="8465" max="8465" width="12.7142857142857" style="248" customWidth="1"/>
    <col min="8466" max="8467" width="11.5714285714286" style="248" customWidth="1"/>
    <col min="8468" max="8700" width="10.5714285714286" style="248"/>
    <col min="8701" max="8701" width="6.85714285714286" style="248" customWidth="1"/>
    <col min="8702" max="8702" width="33.1428571428571" style="248" bestFit="1" customWidth="1"/>
    <col min="8703" max="8720" width="11.5714285714286" style="248" customWidth="1"/>
    <col min="8721" max="8721" width="12.7142857142857" style="248" customWidth="1"/>
    <col min="8722" max="8723" width="11.5714285714286" style="248" customWidth="1"/>
    <col min="8724" max="8956" width="10.5714285714286" style="248"/>
    <col min="8957" max="8957" width="6.85714285714286" style="248" customWidth="1"/>
    <col min="8958" max="8958" width="33.1428571428571" style="248" bestFit="1" customWidth="1"/>
    <col min="8959" max="8976" width="11.5714285714286" style="248" customWidth="1"/>
    <col min="8977" max="8977" width="12.7142857142857" style="248" customWidth="1"/>
    <col min="8978" max="8979" width="11.5714285714286" style="248" customWidth="1"/>
    <col min="8980" max="9212" width="10.5714285714286" style="248"/>
    <col min="9213" max="9213" width="6.85714285714286" style="248" customWidth="1"/>
    <col min="9214" max="9214" width="33.1428571428571" style="248" bestFit="1" customWidth="1"/>
    <col min="9215" max="9232" width="11.5714285714286" style="248" customWidth="1"/>
    <col min="9233" max="9233" width="12.7142857142857" style="248" customWidth="1"/>
    <col min="9234" max="9235" width="11.5714285714286" style="248" customWidth="1"/>
    <col min="9236" max="9468" width="10.5714285714286" style="248"/>
    <col min="9469" max="9469" width="6.85714285714286" style="248" customWidth="1"/>
    <col min="9470" max="9470" width="33.1428571428571" style="248" bestFit="1" customWidth="1"/>
    <col min="9471" max="9488" width="11.5714285714286" style="248" customWidth="1"/>
    <col min="9489" max="9489" width="12.7142857142857" style="248" customWidth="1"/>
    <col min="9490" max="9491" width="11.5714285714286" style="248" customWidth="1"/>
    <col min="9492" max="9724" width="10.5714285714286" style="248"/>
    <col min="9725" max="9725" width="6.85714285714286" style="248" customWidth="1"/>
    <col min="9726" max="9726" width="33.1428571428571" style="248" bestFit="1" customWidth="1"/>
    <col min="9727" max="9744" width="11.5714285714286" style="248" customWidth="1"/>
    <col min="9745" max="9745" width="12.7142857142857" style="248" customWidth="1"/>
    <col min="9746" max="9747" width="11.5714285714286" style="248" customWidth="1"/>
    <col min="9748" max="9980" width="10.5714285714286" style="248"/>
    <col min="9981" max="9981" width="6.85714285714286" style="248" customWidth="1"/>
    <col min="9982" max="9982" width="33.1428571428571" style="248" bestFit="1" customWidth="1"/>
    <col min="9983" max="10000" width="11.5714285714286" style="248" customWidth="1"/>
    <col min="10001" max="10001" width="12.7142857142857" style="248" customWidth="1"/>
    <col min="10002" max="10003" width="11.5714285714286" style="248" customWidth="1"/>
    <col min="10004" max="10236" width="10.5714285714286" style="248"/>
    <col min="10237" max="10237" width="6.85714285714286" style="248" customWidth="1"/>
    <col min="10238" max="10238" width="33.1428571428571" style="248" bestFit="1" customWidth="1"/>
    <col min="10239" max="10256" width="11.5714285714286" style="248" customWidth="1"/>
    <col min="10257" max="10257" width="12.7142857142857" style="248" customWidth="1"/>
    <col min="10258" max="10259" width="11.5714285714286" style="248" customWidth="1"/>
    <col min="10260" max="10492" width="10.5714285714286" style="248"/>
    <col min="10493" max="10493" width="6.85714285714286" style="248" customWidth="1"/>
    <col min="10494" max="10494" width="33.1428571428571" style="248" bestFit="1" customWidth="1"/>
    <col min="10495" max="10512" width="11.5714285714286" style="248" customWidth="1"/>
    <col min="10513" max="10513" width="12.7142857142857" style="248" customWidth="1"/>
    <col min="10514" max="10515" width="11.5714285714286" style="248" customWidth="1"/>
    <col min="10516" max="10748" width="10.5714285714286" style="248"/>
    <col min="10749" max="10749" width="6.85714285714286" style="248" customWidth="1"/>
    <col min="10750" max="10750" width="33.1428571428571" style="248" bestFit="1" customWidth="1"/>
    <col min="10751" max="10768" width="11.5714285714286" style="248" customWidth="1"/>
    <col min="10769" max="10769" width="12.7142857142857" style="248" customWidth="1"/>
    <col min="10770" max="10771" width="11.5714285714286" style="248" customWidth="1"/>
    <col min="10772" max="11004" width="10.5714285714286" style="248"/>
    <col min="11005" max="11005" width="6.85714285714286" style="248" customWidth="1"/>
    <col min="11006" max="11006" width="33.1428571428571" style="248" bestFit="1" customWidth="1"/>
    <col min="11007" max="11024" width="11.5714285714286" style="248" customWidth="1"/>
    <col min="11025" max="11025" width="12.7142857142857" style="248" customWidth="1"/>
    <col min="11026" max="11027" width="11.5714285714286" style="248" customWidth="1"/>
    <col min="11028" max="11260" width="10.5714285714286" style="248"/>
    <col min="11261" max="11261" width="6.85714285714286" style="248" customWidth="1"/>
    <col min="11262" max="11262" width="33.1428571428571" style="248" bestFit="1" customWidth="1"/>
    <col min="11263" max="11280" width="11.5714285714286" style="248" customWidth="1"/>
    <col min="11281" max="11281" width="12.7142857142857" style="248" customWidth="1"/>
    <col min="11282" max="11283" width="11.5714285714286" style="248" customWidth="1"/>
    <col min="11284" max="11516" width="10.5714285714286" style="248"/>
    <col min="11517" max="11517" width="6.85714285714286" style="248" customWidth="1"/>
    <col min="11518" max="11518" width="33.1428571428571" style="248" bestFit="1" customWidth="1"/>
    <col min="11519" max="11536" width="11.5714285714286" style="248" customWidth="1"/>
    <col min="11537" max="11537" width="12.7142857142857" style="248" customWidth="1"/>
    <col min="11538" max="11539" width="11.5714285714286" style="248" customWidth="1"/>
    <col min="11540" max="11772" width="10.5714285714286" style="248"/>
    <col min="11773" max="11773" width="6.85714285714286" style="248" customWidth="1"/>
    <col min="11774" max="11774" width="33.1428571428571" style="248" bestFit="1" customWidth="1"/>
    <col min="11775" max="11792" width="11.5714285714286" style="248" customWidth="1"/>
    <col min="11793" max="11793" width="12.7142857142857" style="248" customWidth="1"/>
    <col min="11794" max="11795" width="11.5714285714286" style="248" customWidth="1"/>
    <col min="11796" max="12028" width="10.5714285714286" style="248"/>
    <col min="12029" max="12029" width="6.85714285714286" style="248" customWidth="1"/>
    <col min="12030" max="12030" width="33.1428571428571" style="248" bestFit="1" customWidth="1"/>
    <col min="12031" max="12048" width="11.5714285714286" style="248" customWidth="1"/>
    <col min="12049" max="12049" width="12.7142857142857" style="248" customWidth="1"/>
    <col min="12050" max="12051" width="11.5714285714286" style="248" customWidth="1"/>
    <col min="12052" max="12284" width="10.5714285714286" style="248"/>
    <col min="12285" max="12285" width="6.85714285714286" style="248" customWidth="1"/>
    <col min="12286" max="12286" width="33.1428571428571" style="248" bestFit="1" customWidth="1"/>
    <col min="12287" max="12304" width="11.5714285714286" style="248" customWidth="1"/>
    <col min="12305" max="12305" width="12.7142857142857" style="248" customWidth="1"/>
    <col min="12306" max="12307" width="11.5714285714286" style="248" customWidth="1"/>
    <col min="12308" max="12540" width="10.5714285714286" style="248"/>
    <col min="12541" max="12541" width="6.85714285714286" style="248" customWidth="1"/>
    <col min="12542" max="12542" width="33.1428571428571" style="248" bestFit="1" customWidth="1"/>
    <col min="12543" max="12560" width="11.5714285714286" style="248" customWidth="1"/>
    <col min="12561" max="12561" width="12.7142857142857" style="248" customWidth="1"/>
    <col min="12562" max="12563" width="11.5714285714286" style="248" customWidth="1"/>
    <col min="12564" max="12796" width="10.5714285714286" style="248"/>
    <col min="12797" max="12797" width="6.85714285714286" style="248" customWidth="1"/>
    <col min="12798" max="12798" width="33.1428571428571" style="248" bestFit="1" customWidth="1"/>
    <col min="12799" max="12816" width="11.5714285714286" style="248" customWidth="1"/>
    <col min="12817" max="12817" width="12.7142857142857" style="248" customWidth="1"/>
    <col min="12818" max="12819" width="11.5714285714286" style="248" customWidth="1"/>
    <col min="12820" max="13052" width="10.5714285714286" style="248"/>
    <col min="13053" max="13053" width="6.85714285714286" style="248" customWidth="1"/>
    <col min="13054" max="13054" width="33.1428571428571" style="248" bestFit="1" customWidth="1"/>
    <col min="13055" max="13072" width="11.5714285714286" style="248" customWidth="1"/>
    <col min="13073" max="13073" width="12.7142857142857" style="248" customWidth="1"/>
    <col min="13074" max="13075" width="11.5714285714286" style="248" customWidth="1"/>
    <col min="13076" max="13308" width="10.5714285714286" style="248"/>
    <col min="13309" max="13309" width="6.85714285714286" style="248" customWidth="1"/>
    <col min="13310" max="13310" width="33.1428571428571" style="248" bestFit="1" customWidth="1"/>
    <col min="13311" max="13328" width="11.5714285714286" style="248" customWidth="1"/>
    <col min="13329" max="13329" width="12.7142857142857" style="248" customWidth="1"/>
    <col min="13330" max="13331" width="11.5714285714286" style="248" customWidth="1"/>
    <col min="13332" max="13564" width="10.5714285714286" style="248"/>
    <col min="13565" max="13565" width="6.85714285714286" style="248" customWidth="1"/>
    <col min="13566" max="13566" width="33.1428571428571" style="248" bestFit="1" customWidth="1"/>
    <col min="13567" max="13584" width="11.5714285714286" style="248" customWidth="1"/>
    <col min="13585" max="13585" width="12.7142857142857" style="248" customWidth="1"/>
    <col min="13586" max="13587" width="11.5714285714286" style="248" customWidth="1"/>
    <col min="13588" max="13820" width="10.5714285714286" style="248"/>
    <col min="13821" max="13821" width="6.85714285714286" style="248" customWidth="1"/>
    <col min="13822" max="13822" width="33.1428571428571" style="248" bestFit="1" customWidth="1"/>
    <col min="13823" max="13840" width="11.5714285714286" style="248" customWidth="1"/>
    <col min="13841" max="13841" width="12.7142857142857" style="248" customWidth="1"/>
    <col min="13842" max="13843" width="11.5714285714286" style="248" customWidth="1"/>
    <col min="13844" max="14076" width="10.5714285714286" style="248"/>
    <col min="14077" max="14077" width="6.85714285714286" style="248" customWidth="1"/>
    <col min="14078" max="14078" width="33.1428571428571" style="248" bestFit="1" customWidth="1"/>
    <col min="14079" max="14096" width="11.5714285714286" style="248" customWidth="1"/>
    <col min="14097" max="14097" width="12.7142857142857" style="248" customWidth="1"/>
    <col min="14098" max="14099" width="11.5714285714286" style="248" customWidth="1"/>
    <col min="14100" max="14332" width="10.5714285714286" style="248"/>
    <col min="14333" max="14333" width="6.85714285714286" style="248" customWidth="1"/>
    <col min="14334" max="14334" width="33.1428571428571" style="248" bestFit="1" customWidth="1"/>
    <col min="14335" max="14352" width="11.5714285714286" style="248" customWidth="1"/>
    <col min="14353" max="14353" width="12.7142857142857" style="248" customWidth="1"/>
    <col min="14354" max="14355" width="11.5714285714286" style="248" customWidth="1"/>
    <col min="14356" max="14588" width="10.5714285714286" style="248"/>
    <col min="14589" max="14589" width="6.85714285714286" style="248" customWidth="1"/>
    <col min="14590" max="14590" width="33.1428571428571" style="248" bestFit="1" customWidth="1"/>
    <col min="14591" max="14608" width="11.5714285714286" style="248" customWidth="1"/>
    <col min="14609" max="14609" width="12.7142857142857" style="248" customWidth="1"/>
    <col min="14610" max="14611" width="11.5714285714286" style="248" customWidth="1"/>
    <col min="14612" max="14844" width="10.5714285714286" style="248"/>
    <col min="14845" max="14845" width="6.85714285714286" style="248" customWidth="1"/>
    <col min="14846" max="14846" width="33.1428571428571" style="248" bestFit="1" customWidth="1"/>
    <col min="14847" max="14864" width="11.5714285714286" style="248" customWidth="1"/>
    <col min="14865" max="14865" width="12.7142857142857" style="248" customWidth="1"/>
    <col min="14866" max="14867" width="11.5714285714286" style="248" customWidth="1"/>
    <col min="14868" max="15100" width="10.5714285714286" style="248"/>
    <col min="15101" max="15101" width="6.85714285714286" style="248" customWidth="1"/>
    <col min="15102" max="15102" width="33.1428571428571" style="248" bestFit="1" customWidth="1"/>
    <col min="15103" max="15120" width="11.5714285714286" style="248" customWidth="1"/>
    <col min="15121" max="15121" width="12.7142857142857" style="248" customWidth="1"/>
    <col min="15122" max="15123" width="11.5714285714286" style="248" customWidth="1"/>
    <col min="15124" max="15356" width="10.5714285714286" style="248"/>
    <col min="15357" max="15357" width="6.85714285714286" style="248" customWidth="1"/>
    <col min="15358" max="15358" width="33.1428571428571" style="248" bestFit="1" customWidth="1"/>
    <col min="15359" max="15376" width="11.5714285714286" style="248" customWidth="1"/>
    <col min="15377" max="15377" width="12.7142857142857" style="248" customWidth="1"/>
    <col min="15378" max="15379" width="11.5714285714286" style="248" customWidth="1"/>
    <col min="15380" max="15612" width="10.5714285714286" style="248"/>
    <col min="15613" max="15613" width="6.85714285714286" style="248" customWidth="1"/>
    <col min="15614" max="15614" width="33.1428571428571" style="248" bestFit="1" customWidth="1"/>
    <col min="15615" max="15632" width="11.5714285714286" style="248" customWidth="1"/>
    <col min="15633" max="15633" width="12.7142857142857" style="248" customWidth="1"/>
    <col min="15634" max="15635" width="11.5714285714286" style="248" customWidth="1"/>
    <col min="15636" max="15868" width="10.5714285714286" style="248"/>
    <col min="15869" max="15869" width="6.85714285714286" style="248" customWidth="1"/>
    <col min="15870" max="15870" width="33.1428571428571" style="248" bestFit="1" customWidth="1"/>
    <col min="15871" max="15888" width="11.5714285714286" style="248" customWidth="1"/>
    <col min="15889" max="15889" width="12.7142857142857" style="248" customWidth="1"/>
    <col min="15890" max="15891" width="11.5714285714286" style="248" customWidth="1"/>
    <col min="15892" max="16124" width="10.5714285714286" style="248"/>
    <col min="16125" max="16125" width="6.85714285714286" style="248" customWidth="1"/>
    <col min="16126" max="16126" width="33.1428571428571" style="248" bestFit="1" customWidth="1"/>
    <col min="16127" max="16144" width="11.5714285714286" style="248" customWidth="1"/>
    <col min="16145" max="16145" width="12.7142857142857" style="248" customWidth="1"/>
    <col min="16146" max="16147" width="11.5714285714286" style="248" customWidth="1"/>
    <col min="16148" max="16384" width="10.5714285714286" style="248"/>
  </cols>
  <sheetData>
    <row r="1" spans="1:25" s="608" customFormat="1" ht="18">
      <c r="A1" s="975" t="s">
        <v>56</v>
      </c>
      <c r="B1" s="975"/>
      <c r="C1" s="975"/>
      <c r="D1" s="975"/>
      <c r="E1" s="975"/>
      <c r="F1" s="975"/>
      <c r="G1" s="975"/>
      <c r="H1" s="975"/>
      <c r="I1" s="975"/>
      <c r="J1" s="975"/>
      <c r="K1" s="975"/>
      <c r="L1" s="975"/>
      <c r="M1" s="975"/>
      <c r="N1" s="975"/>
      <c r="O1" s="975" t="str">
        <f>A1</f>
        <v>FLORIDA PUBLIC UTILITIES - CONSOLIDATED NATURAL GAS</v>
      </c>
      <c r="P1" s="975"/>
      <c r="Q1" s="975"/>
      <c r="R1" s="975"/>
      <c r="S1" s="975"/>
      <c r="T1" s="975"/>
      <c r="U1" s="975"/>
      <c r="V1" s="975"/>
      <c r="W1" s="975"/>
      <c r="X1" s="975"/>
      <c r="Y1" s="975"/>
    </row>
    <row r="2" spans="1:25" s="609" customFormat="1" ht="12.75">
      <c r="A2" s="976" t="str">
        <f>Input!B3</f>
        <v>FPUC, FPUC - Common, FPUC - Indiantown, Florida Division of Chesapeake Utilities Corporation, FPUC - Ft Meade</v>
      </c>
      <c r="B2" s="976"/>
      <c r="C2" s="976"/>
      <c r="D2" s="976"/>
      <c r="E2" s="976"/>
      <c r="F2" s="976"/>
      <c r="G2" s="976"/>
      <c r="H2" s="976"/>
      <c r="I2" s="976"/>
      <c r="J2" s="976"/>
      <c r="K2" s="976"/>
      <c r="L2" s="976"/>
      <c r="M2" s="976"/>
      <c r="N2" s="976"/>
      <c r="O2" s="976" t="str">
        <f>A2</f>
        <v>FPUC, FPUC - Common, FPUC - Indiantown, Florida Division of Chesapeake Utilities Corporation, FPUC - Ft Meade</v>
      </c>
      <c r="P2" s="976"/>
      <c r="Q2" s="976"/>
      <c r="R2" s="976"/>
      <c r="S2" s="976"/>
      <c r="T2" s="976"/>
      <c r="U2" s="976"/>
      <c r="V2" s="976"/>
      <c r="W2" s="976"/>
      <c r="X2" s="976"/>
      <c r="Y2" s="976"/>
    </row>
    <row r="3" spans="1:25" s="609" customFormat="1" ht="15.75">
      <c r="A3" s="977" t="s">
        <v>353</v>
      </c>
      <c r="B3" s="977"/>
      <c r="C3" s="977"/>
      <c r="D3" s="977"/>
      <c r="E3" s="977"/>
      <c r="F3" s="977"/>
      <c r="G3" s="977"/>
      <c r="H3" s="977"/>
      <c r="I3" s="977"/>
      <c r="J3" s="977"/>
      <c r="K3" s="977"/>
      <c r="L3" s="977"/>
      <c r="M3" s="977"/>
      <c r="N3" s="977"/>
      <c r="O3" s="977" t="str">
        <f>A3</f>
        <v>Net Salvage Percentages</v>
      </c>
      <c r="P3" s="977"/>
      <c r="Q3" s="977"/>
      <c r="R3" s="977"/>
      <c r="S3" s="977"/>
      <c r="T3" s="977"/>
      <c r="U3" s="977"/>
      <c r="V3" s="977"/>
      <c r="W3" s="977"/>
      <c r="X3" s="977"/>
      <c r="Y3" s="977"/>
    </row>
    <row r="4" spans="1:25" s="609" customFormat="1" ht="12.75">
      <c r="A4" s="978" t="s">
        <v>354</v>
      </c>
      <c r="B4" s="978"/>
      <c r="C4" s="978"/>
      <c r="D4" s="978"/>
      <c r="E4" s="978"/>
      <c r="F4" s="978"/>
      <c r="G4" s="978"/>
      <c r="H4" s="978"/>
      <c r="I4" s="978"/>
      <c r="J4" s="978"/>
      <c r="K4" s="978"/>
      <c r="L4" s="978"/>
      <c r="M4" s="978"/>
      <c r="N4" s="978"/>
      <c r="O4" s="978" t="str">
        <f>A4</f>
        <v>(Negative Percentage Indicates Negative Salvage)</v>
      </c>
      <c r="P4" s="978"/>
      <c r="Q4" s="978"/>
      <c r="R4" s="978"/>
      <c r="S4" s="978"/>
      <c r="T4" s="978"/>
      <c r="U4" s="978"/>
      <c r="V4" s="978"/>
      <c r="W4" s="978"/>
      <c r="X4" s="978"/>
      <c r="Y4" s="978"/>
    </row>
    <row r="5" spans="1:24" s="614" customFormat="1" ht="13.5" thickBot="1">
      <c r="A5" s="610"/>
      <c r="B5" s="611"/>
      <c r="C5" s="612"/>
      <c r="D5" s="611"/>
      <c r="E5" s="613"/>
      <c r="F5" s="611"/>
      <c r="G5" s="611"/>
      <c r="H5" s="613"/>
      <c r="I5" s="611"/>
      <c r="J5" s="611"/>
      <c r="K5" s="613"/>
      <c r="L5" s="611"/>
      <c r="M5" s="611"/>
      <c r="N5" s="613"/>
      <c r="O5" s="611"/>
      <c r="P5" s="611"/>
      <c r="Q5" s="613"/>
      <c r="R5" s="611"/>
      <c r="S5" s="611"/>
      <c r="T5" s="613"/>
      <c r="U5" s="664"/>
      <c r="V5" s="664"/>
      <c r="W5" s="611"/>
      <c r="X5" s="611"/>
    </row>
    <row r="6" spans="1:25" s="249" customFormat="1" ht="12.75">
      <c r="A6" s="615"/>
      <c r="B6" s="616"/>
      <c r="C6" s="617"/>
      <c r="D6" s="618"/>
      <c r="E6" s="619"/>
      <c r="F6" s="617"/>
      <c r="G6" s="618"/>
      <c r="H6" s="619"/>
      <c r="I6" s="617"/>
      <c r="J6" s="618"/>
      <c r="K6" s="619"/>
      <c r="L6" s="617"/>
      <c r="M6" s="618"/>
      <c r="N6" s="619"/>
      <c r="O6" s="617"/>
      <c r="P6" s="618"/>
      <c r="Q6" s="619"/>
      <c r="R6" s="620" t="s">
        <v>355</v>
      </c>
      <c r="S6" s="618"/>
      <c r="T6" s="619"/>
      <c r="U6" s="971" t="s">
        <v>675</v>
      </c>
      <c r="V6" s="972"/>
      <c r="W6" s="620" t="s">
        <v>356</v>
      </c>
      <c r="X6" s="618"/>
      <c r="Y6" s="621"/>
    </row>
    <row r="7" spans="1:25" s="249" customFormat="1" ht="13.5">
      <c r="A7" s="622"/>
      <c r="B7" s="250"/>
      <c r="C7" s="185">
        <f>Input!C1</f>
        <v>2018</v>
      </c>
      <c r="D7" s="184">
        <f>+C7</f>
        <v>2018</v>
      </c>
      <c r="E7" s="183">
        <f>+D7</f>
        <v>2018</v>
      </c>
      <c r="F7" s="185">
        <f>+E7+1</f>
        <v>2019</v>
      </c>
      <c r="G7" s="184">
        <f>+F7</f>
        <v>2019</v>
      </c>
      <c r="H7" s="183">
        <f>+G7</f>
        <v>2019</v>
      </c>
      <c r="I7" s="185">
        <f>+H7+1</f>
        <v>2020</v>
      </c>
      <c r="J7" s="184">
        <f>+I7</f>
        <v>2020</v>
      </c>
      <c r="K7" s="183">
        <f>+J7</f>
        <v>2020</v>
      </c>
      <c r="L7" s="185">
        <f>+K7+1</f>
        <v>2021</v>
      </c>
      <c r="M7" s="184">
        <f>+L7</f>
        <v>2021</v>
      </c>
      <c r="N7" s="183">
        <f>+M7</f>
        <v>2021</v>
      </c>
      <c r="O7" s="185">
        <f>+N7+1</f>
        <v>2022</v>
      </c>
      <c r="P7" s="184">
        <f>+O7</f>
        <v>2022</v>
      </c>
      <c r="Q7" s="183">
        <f>+P7</f>
        <v>2022</v>
      </c>
      <c r="R7" s="251"/>
      <c r="S7" s="623"/>
      <c r="T7" s="252"/>
      <c r="U7" s="973"/>
      <c r="V7" s="974"/>
      <c r="W7" s="251"/>
      <c r="X7" s="623"/>
      <c r="Y7" s="624"/>
    </row>
    <row r="8" spans="1:25" s="249" customFormat="1" ht="12.75">
      <c r="A8" s="625"/>
      <c r="B8" s="253"/>
      <c r="C8" s="254" t="s">
        <v>171</v>
      </c>
      <c r="D8" s="626" t="s">
        <v>69</v>
      </c>
      <c r="E8" s="255" t="s">
        <v>357</v>
      </c>
      <c r="F8" s="254" t="s">
        <v>171</v>
      </c>
      <c r="G8" s="626" t="s">
        <v>69</v>
      </c>
      <c r="H8" s="255" t="s">
        <v>357</v>
      </c>
      <c r="I8" s="254" t="s">
        <v>171</v>
      </c>
      <c r="J8" s="626" t="s">
        <v>69</v>
      </c>
      <c r="K8" s="255" t="s">
        <v>357</v>
      </c>
      <c r="L8" s="254" t="s">
        <v>171</v>
      </c>
      <c r="M8" s="626" t="s">
        <v>69</v>
      </c>
      <c r="N8" s="255" t="s">
        <v>357</v>
      </c>
      <c r="O8" s="254" t="s">
        <v>171</v>
      </c>
      <c r="P8" s="626" t="s">
        <v>69</v>
      </c>
      <c r="Q8" s="255" t="s">
        <v>357</v>
      </c>
      <c r="R8" s="254" t="s">
        <v>171</v>
      </c>
      <c r="S8" s="626" t="s">
        <v>358</v>
      </c>
      <c r="T8" s="255" t="s">
        <v>171</v>
      </c>
      <c r="U8" s="665"/>
      <c r="V8" s="670" t="s">
        <v>69</v>
      </c>
      <c r="W8" s="254" t="s">
        <v>171</v>
      </c>
      <c r="X8" s="626" t="s">
        <v>358</v>
      </c>
      <c r="Y8" s="627" t="s">
        <v>171</v>
      </c>
    </row>
    <row r="9" spans="1:25" s="249" customFormat="1" ht="11.25">
      <c r="A9" s="628" t="s">
        <v>351</v>
      </c>
      <c r="B9" s="256" t="s">
        <v>334</v>
      </c>
      <c r="C9" s="257" t="s">
        <v>352</v>
      </c>
      <c r="D9" s="258" t="s">
        <v>359</v>
      </c>
      <c r="E9" s="259" t="s">
        <v>161</v>
      </c>
      <c r="F9" s="257" t="s">
        <v>352</v>
      </c>
      <c r="G9" s="258" t="s">
        <v>359</v>
      </c>
      <c r="H9" s="259" t="s">
        <v>161</v>
      </c>
      <c r="I9" s="257" t="s">
        <v>352</v>
      </c>
      <c r="J9" s="258" t="s">
        <v>359</v>
      </c>
      <c r="K9" s="259" t="s">
        <v>161</v>
      </c>
      <c r="L9" s="257" t="s">
        <v>352</v>
      </c>
      <c r="M9" s="258" t="s">
        <v>359</v>
      </c>
      <c r="N9" s="259" t="s">
        <v>161</v>
      </c>
      <c r="O9" s="257" t="s">
        <v>352</v>
      </c>
      <c r="P9" s="258" t="s">
        <v>359</v>
      </c>
      <c r="Q9" s="259" t="s">
        <v>161</v>
      </c>
      <c r="R9" s="257" t="s">
        <v>352</v>
      </c>
      <c r="S9" s="258" t="s">
        <v>359</v>
      </c>
      <c r="T9" s="259" t="s">
        <v>360</v>
      </c>
      <c r="U9" s="666" t="s">
        <v>352</v>
      </c>
      <c r="V9" s="671" t="s">
        <v>359</v>
      </c>
      <c r="W9" s="257" t="s">
        <v>352</v>
      </c>
      <c r="X9" s="258" t="s">
        <v>359</v>
      </c>
      <c r="Y9" s="629" t="s">
        <v>360</v>
      </c>
    </row>
    <row r="10" spans="1:25" ht="12.75">
      <c r="A10" s="630">
        <v>3010</v>
      </c>
      <c r="B10" s="260" t="s">
        <v>335</v>
      </c>
      <c r="C10" s="182">
        <f>-'Sch. G 2018'!$N9</f>
        <v>0</v>
      </c>
      <c r="D10" s="631">
        <f>'Sch. G 2018'!O9+'Sch. G 2018'!P9</f>
        <v>0</v>
      </c>
      <c r="E10" s="263" t="str">
        <f>IF(ISERROR(D10/C10),"",IF(D10/C10=0,"",D10/C10))</f>
        <v/>
      </c>
      <c r="F10" s="182">
        <f>-'Sch. G 2019'!$N9</f>
        <v>0</v>
      </c>
      <c r="G10" s="631">
        <f>'Sch. G 2019'!O9+'Sch. G 2019'!P9</f>
        <v>0</v>
      </c>
      <c r="H10" s="263" t="str">
        <f>IF(ISERROR(G10/F10),"",IF(G10/F10=0,"",G10/F10))</f>
        <v/>
      </c>
      <c r="I10" s="182">
        <f>-'Sch. G 2020'!$N9</f>
        <v>0</v>
      </c>
      <c r="J10" s="631">
        <f>'Sch. G 2020'!O9+'Sch. G 2020'!P9</f>
        <v>0</v>
      </c>
      <c r="K10" s="263" t="str">
        <f>IF(ISERROR(J10/I10),"",IF(J10/I10=0,"",J10/I10))</f>
        <v/>
      </c>
      <c r="L10" s="182">
        <f>-'Sch. G 2021'!$N9</f>
        <v>0</v>
      </c>
      <c r="M10" s="631">
        <f>'Sch. G 2021'!O9+'Sch. G 2021'!P9</f>
        <v>0</v>
      </c>
      <c r="N10" s="263" t="str">
        <f>IF(ISERROR(M10/L10),"",IF(M10/L10=0,"",M10/L10))</f>
        <v/>
      </c>
      <c r="O10" s="182">
        <f>-'Sch. G 2022'!$N9</f>
        <v>0</v>
      </c>
      <c r="P10" s="631">
        <f>'Sch. G 2022'!O9+'Sch. G 2022'!P9</f>
        <v>0</v>
      </c>
      <c r="Q10" s="263" t="str">
        <f>IF(ISERROR(P10/O10),"",IF(P10/O10=0,"",P10/O10))</f>
        <v/>
      </c>
      <c r="R10" s="261">
        <f>ROUND((C10+F10+I10+L10+O10),0)</f>
        <v>0</v>
      </c>
      <c r="S10" s="262">
        <f>ROUND((D10+G10+J10+M10+P10),0)</f>
        <v>0</v>
      </c>
      <c r="T10" s="263" t="str">
        <f>IF(ISERROR(S10/R10),"",IF(S10/R10=0,"",S10/R10))</f>
        <v/>
      </c>
      <c r="U10" s="667">
        <v>0</v>
      </c>
      <c r="V10" s="672">
        <v>0</v>
      </c>
      <c r="W10" s="261">
        <f>R10+U10</f>
        <v>0</v>
      </c>
      <c r="X10" s="262">
        <f>S10+V10</f>
        <v>0</v>
      </c>
      <c r="Y10" s="632" t="str">
        <f>IF(ISERROR(X10/W10),"",IF(X10/W10=0,"",X10/W10))</f>
        <v/>
      </c>
    </row>
    <row r="11" spans="1:25" ht="12.75">
      <c r="A11" s="633" t="s">
        <v>195</v>
      </c>
      <c r="B11" s="260" t="s">
        <v>336</v>
      </c>
      <c r="C11" s="182">
        <f>-'Sch. G 2018'!$N10</f>
        <v>0</v>
      </c>
      <c r="D11" s="631">
        <f>'Sch. G 2018'!O10+'Sch. G 2018'!P10</f>
        <v>0</v>
      </c>
      <c r="E11" s="265" t="str">
        <f t="shared" si="0" ref="E11:E48">IF(ISERROR(D11/C11),"",IF(D11/C11=0,"",D11/C11))</f>
        <v/>
      </c>
      <c r="F11" s="182">
        <f>-'Sch. G 2019'!$N10</f>
        <v>0</v>
      </c>
      <c r="G11" s="631">
        <f>'Sch. G 2019'!O10+'Sch. G 2019'!P10</f>
        <v>0</v>
      </c>
      <c r="H11" s="265" t="str">
        <f t="shared" si="1" ref="H11:H48">IF(ISERROR(G11/F11),"",IF(G11/F11=0,"",G11/F11))</f>
        <v/>
      </c>
      <c r="I11" s="182">
        <f>-'Sch. G 2020'!$N10</f>
        <v>0</v>
      </c>
      <c r="J11" s="631">
        <f>'Sch. G 2020'!O10+'Sch. G 2020'!P10</f>
        <v>0</v>
      </c>
      <c r="K11" s="265" t="str">
        <f t="shared" si="2" ref="K11:K48">IF(ISERROR(J11/I11),"",IF(J11/I11=0,"",J11/I11))</f>
        <v/>
      </c>
      <c r="L11" s="182">
        <f>-'Sch. G 2021'!$N10</f>
        <v>0</v>
      </c>
      <c r="M11" s="631">
        <f>'Sch. G 2021'!O10+'Sch. G 2021'!P10</f>
        <v>0</v>
      </c>
      <c r="N11" s="265" t="str">
        <f t="shared" si="3" ref="N11:N48">IF(ISERROR(M11/L11),"",IF(M11/L11=0,"",M11/L11))</f>
        <v/>
      </c>
      <c r="O11" s="182">
        <f>-'Sch. G 2022'!$N10</f>
        <v>0</v>
      </c>
      <c r="P11" s="631">
        <f>'Sch. G 2022'!O10+'Sch. G 2022'!P10</f>
        <v>0</v>
      </c>
      <c r="Q11" s="265" t="str">
        <f t="shared" si="4" ref="Q11:Q48">IF(ISERROR(P11/O11),"",IF(P11/O11=0,"",P11/O11))</f>
        <v/>
      </c>
      <c r="R11" s="264">
        <f t="shared" si="5" ref="R11:R48">ROUND((C11+F11+I11+L11+O11),0)</f>
        <v>0</v>
      </c>
      <c r="S11" s="634">
        <f t="shared" si="6" ref="S11:S48">ROUND((D11+G11+J11+M11+P11),0)</f>
        <v>0</v>
      </c>
      <c r="T11" s="265" t="str">
        <f t="shared" si="7" ref="T11:T48">IF(ISERROR(S11/R11),"",IF(S11/R11=0,"",S11/R11))</f>
        <v/>
      </c>
      <c r="U11" s="668">
        <v>0</v>
      </c>
      <c r="V11" s="673">
        <v>0</v>
      </c>
      <c r="W11" s="264">
        <f t="shared" si="8" ref="W11:W48">R11+U11</f>
        <v>0</v>
      </c>
      <c r="X11" s="634">
        <f t="shared" si="9" ref="X11:X48">S11+V11</f>
        <v>0</v>
      </c>
      <c r="Y11" s="635" t="str">
        <f t="shared" si="10" ref="Y11:Y48">IF(ISERROR(X11/W11),"",IF(X11/W11=0,"",X11/W11))</f>
        <v/>
      </c>
    </row>
    <row r="12" spans="1:25" ht="12.75">
      <c r="A12" s="633" t="s">
        <v>196</v>
      </c>
      <c r="B12" s="260" t="s">
        <v>336</v>
      </c>
      <c r="C12" s="182">
        <f>-'Sch. G 2018'!$N11</f>
        <v>0</v>
      </c>
      <c r="D12" s="631">
        <f>'Sch. G 2018'!O11+'Sch. G 2018'!P11</f>
        <v>0</v>
      </c>
      <c r="E12" s="265" t="str">
        <f t="shared" si="0"/>
        <v/>
      </c>
      <c r="F12" s="182">
        <f>-'Sch. G 2019'!$N11</f>
        <v>0</v>
      </c>
      <c r="G12" s="631">
        <f>'Sch. G 2019'!O11+'Sch. G 2019'!P11</f>
        <v>0</v>
      </c>
      <c r="H12" s="265" t="str">
        <f t="shared" si="1"/>
        <v/>
      </c>
      <c r="I12" s="182">
        <f>-'Sch. G 2020'!$N11</f>
        <v>0</v>
      </c>
      <c r="J12" s="631">
        <f>'Sch. G 2020'!O11+'Sch. G 2020'!P11</f>
        <v>0</v>
      </c>
      <c r="K12" s="265" t="str">
        <f t="shared" si="2"/>
        <v/>
      </c>
      <c r="L12" s="182">
        <f>-'Sch. G 2021'!$N11</f>
        <v>0</v>
      </c>
      <c r="M12" s="631">
        <f>'Sch. G 2021'!O11+'Sch. G 2021'!P11</f>
        <v>0</v>
      </c>
      <c r="N12" s="265" t="str">
        <f t="shared" si="3"/>
        <v/>
      </c>
      <c r="O12" s="182">
        <f>-'Sch. G 2022'!$N11</f>
        <v>0</v>
      </c>
      <c r="P12" s="631">
        <f>'Sch. G 2022'!O11+'Sch. G 2022'!P11</f>
        <v>0</v>
      </c>
      <c r="Q12" s="265" t="str">
        <f t="shared" si="4"/>
        <v/>
      </c>
      <c r="R12" s="264">
        <f t="shared" si="5"/>
        <v>0</v>
      </c>
      <c r="S12" s="634">
        <f t="shared" si="6"/>
        <v>0</v>
      </c>
      <c r="T12" s="265" t="str">
        <f t="shared" si="7"/>
        <v/>
      </c>
      <c r="U12" s="668">
        <v>0</v>
      </c>
      <c r="V12" s="673">
        <v>0</v>
      </c>
      <c r="W12" s="668">
        <f t="shared" si="8"/>
        <v>0</v>
      </c>
      <c r="X12" s="673">
        <f t="shared" si="9"/>
        <v>0</v>
      </c>
      <c r="Y12" s="635" t="str">
        <f t="shared" si="10"/>
        <v/>
      </c>
    </row>
    <row r="13" spans="1:25" ht="12.75">
      <c r="A13" s="633" t="s">
        <v>197</v>
      </c>
      <c r="B13" s="260" t="s">
        <v>337</v>
      </c>
      <c r="C13" s="182">
        <f>-'Sch. G 2018'!$N12</f>
        <v>0</v>
      </c>
      <c r="D13" s="631">
        <f>'Sch. G 2018'!O12+'Sch. G 2018'!P12</f>
        <v>0</v>
      </c>
      <c r="E13" s="265" t="str">
        <f t="shared" si="0"/>
        <v/>
      </c>
      <c r="F13" s="182">
        <f>-'Sch. G 2019'!$N12</f>
        <v>0</v>
      </c>
      <c r="G13" s="631">
        <f>'Sch. G 2019'!O12+'Sch. G 2019'!P12</f>
        <v>0</v>
      </c>
      <c r="H13" s="265" t="str">
        <f t="shared" si="1"/>
        <v/>
      </c>
      <c r="I13" s="182">
        <f>-'Sch. G 2020'!$N12</f>
        <v>0</v>
      </c>
      <c r="J13" s="631">
        <f>'Sch. G 2020'!O12+'Sch. G 2020'!P12</f>
        <v>0</v>
      </c>
      <c r="K13" s="265" t="str">
        <f t="shared" si="2"/>
        <v/>
      </c>
      <c r="L13" s="182">
        <f>-'Sch. G 2021'!$N12</f>
        <v>0</v>
      </c>
      <c r="M13" s="631">
        <f>'Sch. G 2021'!O12+'Sch. G 2021'!P12</f>
        <v>0</v>
      </c>
      <c r="N13" s="265" t="str">
        <f t="shared" si="3"/>
        <v/>
      </c>
      <c r="O13" s="182">
        <f>-'Sch. G 2022'!$N12</f>
        <v>0</v>
      </c>
      <c r="P13" s="631">
        <f>'Sch. G 2022'!O12+'Sch. G 2022'!P12</f>
        <v>0</v>
      </c>
      <c r="Q13" s="265" t="str">
        <f t="shared" si="4"/>
        <v/>
      </c>
      <c r="R13" s="264">
        <f t="shared" si="5"/>
        <v>0</v>
      </c>
      <c r="S13" s="634">
        <f t="shared" si="6"/>
        <v>0</v>
      </c>
      <c r="T13" s="265" t="str">
        <f t="shared" si="7"/>
        <v/>
      </c>
      <c r="U13" s="668">
        <v>0</v>
      </c>
      <c r="V13" s="673">
        <v>0</v>
      </c>
      <c r="W13" s="668">
        <f t="shared" si="8"/>
        <v>0</v>
      </c>
      <c r="X13" s="673">
        <f t="shared" si="9"/>
        <v>0</v>
      </c>
      <c r="Y13" s="635" t="str">
        <f t="shared" si="10"/>
        <v/>
      </c>
    </row>
    <row r="14" spans="1:25" ht="12.75">
      <c r="A14" s="633">
        <v>3741</v>
      </c>
      <c r="B14" s="260" t="s">
        <v>80</v>
      </c>
      <c r="C14" s="182">
        <f>-'Sch. G 2018'!$N13</f>
        <v>0</v>
      </c>
      <c r="D14" s="631">
        <f>'Sch. G 2018'!O13+'Sch. G 2018'!P13</f>
        <v>0</v>
      </c>
      <c r="E14" s="265" t="str">
        <f t="shared" si="0"/>
        <v/>
      </c>
      <c r="F14" s="182">
        <f>-'Sch. G 2019'!$N13</f>
        <v>0</v>
      </c>
      <c r="G14" s="631">
        <f>'Sch. G 2019'!O13+'Sch. G 2019'!P13</f>
        <v>0</v>
      </c>
      <c r="H14" s="265" t="str">
        <f t="shared" si="1"/>
        <v/>
      </c>
      <c r="I14" s="182">
        <f>-'Sch. G 2020'!$N13</f>
        <v>0</v>
      </c>
      <c r="J14" s="631">
        <f>'Sch. G 2020'!O13+'Sch. G 2020'!P13</f>
        <v>0</v>
      </c>
      <c r="K14" s="265" t="str">
        <f t="shared" si="2"/>
        <v/>
      </c>
      <c r="L14" s="182">
        <f>-'Sch. G 2021'!$N13</f>
        <v>0</v>
      </c>
      <c r="M14" s="631">
        <f>'Sch. G 2021'!O13+'Sch. G 2021'!P13</f>
        <v>0</v>
      </c>
      <c r="N14" s="265" t="str">
        <f t="shared" si="3"/>
        <v/>
      </c>
      <c r="O14" s="182">
        <f>-'Sch. G 2022'!$N13</f>
        <v>0</v>
      </c>
      <c r="P14" s="631">
        <f>'Sch. G 2022'!O13+'Sch. G 2022'!P13</f>
        <v>0</v>
      </c>
      <c r="Q14" s="265" t="str">
        <f t="shared" si="4"/>
        <v/>
      </c>
      <c r="R14" s="264">
        <f t="shared" si="5"/>
        <v>0</v>
      </c>
      <c r="S14" s="634">
        <f t="shared" si="6"/>
        <v>0</v>
      </c>
      <c r="T14" s="265" t="str">
        <f t="shared" si="7"/>
        <v/>
      </c>
      <c r="U14" s="668">
        <v>0</v>
      </c>
      <c r="V14" s="673">
        <v>0</v>
      </c>
      <c r="W14" s="668">
        <f t="shared" si="8"/>
        <v>0</v>
      </c>
      <c r="X14" s="673">
        <f t="shared" si="9"/>
        <v>0</v>
      </c>
      <c r="Y14" s="635" t="str">
        <f t="shared" si="10"/>
        <v/>
      </c>
    </row>
    <row r="15" spans="1:25" ht="12.75">
      <c r="A15" s="633" t="s">
        <v>198</v>
      </c>
      <c r="B15" s="260" t="s">
        <v>82</v>
      </c>
      <c r="C15" s="182">
        <f>-'Sch. G 2018'!$N14</f>
        <v>0</v>
      </c>
      <c r="D15" s="631">
        <f>'Sch. G 2018'!O14+'Sch. G 2018'!P14</f>
        <v>0</v>
      </c>
      <c r="E15" s="265" t="str">
        <f t="shared" si="0"/>
        <v/>
      </c>
      <c r="F15" s="182">
        <f>-'Sch. G 2019'!$N14</f>
        <v>0</v>
      </c>
      <c r="G15" s="631">
        <f>'Sch. G 2019'!O14+'Sch. G 2019'!P14</f>
        <v>0</v>
      </c>
      <c r="H15" s="265" t="str">
        <f t="shared" si="1"/>
        <v/>
      </c>
      <c r="I15" s="182">
        <f>-'Sch. G 2020'!$N14</f>
        <v>469221.81999999995</v>
      </c>
      <c r="J15" s="631">
        <f>'Sch. G 2020'!O14+'Sch. G 2020'!P14</f>
        <v>-8200</v>
      </c>
      <c r="K15" s="265">
        <f t="shared" si="2"/>
        <v>-0.017475743135730561</v>
      </c>
      <c r="L15" s="182">
        <f>-'Sch. G 2021'!$N14</f>
        <v>0</v>
      </c>
      <c r="M15" s="631">
        <f>'Sch. G 2021'!O14+'Sch. G 2021'!P14</f>
        <v>0</v>
      </c>
      <c r="N15" s="265" t="str">
        <f t="shared" si="3"/>
        <v/>
      </c>
      <c r="O15" s="182">
        <f>-'Sch. G 2022'!$N14</f>
        <v>0</v>
      </c>
      <c r="P15" s="631">
        <f>'Sch. G 2022'!O14+'Sch. G 2022'!P14</f>
        <v>0</v>
      </c>
      <c r="Q15" s="265" t="str">
        <f t="shared" si="4"/>
        <v/>
      </c>
      <c r="R15" s="264">
        <f t="shared" si="5"/>
        <v>469222</v>
      </c>
      <c r="S15" s="634">
        <f t="shared" si="6"/>
        <v>-8200</v>
      </c>
      <c r="T15" s="265">
        <f t="shared" si="7"/>
        <v>-0.017475736431795612</v>
      </c>
      <c r="U15" s="668">
        <f>-'Sch. M'!L44</f>
        <v>11239</v>
      </c>
      <c r="V15" s="673">
        <v>0</v>
      </c>
      <c r="W15" s="668">
        <f>R15+U15</f>
        <v>480461</v>
      </c>
      <c r="X15" s="673">
        <f t="shared" si="9"/>
        <v>-8200</v>
      </c>
      <c r="Y15" s="635">
        <f t="shared" si="10"/>
        <v>-0.017066941957828003</v>
      </c>
    </row>
    <row r="16" spans="1:25" ht="12.75">
      <c r="A16" s="633">
        <v>3761</v>
      </c>
      <c r="B16" s="260" t="s">
        <v>84</v>
      </c>
      <c r="C16" s="182">
        <f>-'Sch. G 2018'!$N15</f>
        <v>140510.66999999998</v>
      </c>
      <c r="D16" s="631">
        <f>'Sch. G 2018'!O15+'Sch. G 2018'!P15</f>
        <v>-306421.94</v>
      </c>
      <c r="E16" s="265">
        <f t="shared" si="0"/>
        <v>-2.1807734601222815</v>
      </c>
      <c r="F16" s="182">
        <f>-'Sch. G 2019'!$N15</f>
        <v>210843.21999999997</v>
      </c>
      <c r="G16" s="631">
        <f>'Sch. G 2019'!O15+'Sch. G 2019'!P15</f>
        <v>-186615.47</v>
      </c>
      <c r="H16" s="265">
        <f t="shared" si="1"/>
        <v>-0.88509115920350689</v>
      </c>
      <c r="I16" s="182">
        <f>-'Sch. G 2020'!$N15</f>
        <v>38011.010000000002</v>
      </c>
      <c r="J16" s="631">
        <f>'Sch. G 2020'!O15+'Sch. G 2020'!P15</f>
        <v>-212441.46000000002</v>
      </c>
      <c r="K16" s="265">
        <f t="shared" si="2"/>
        <v>-5.5889454134473144</v>
      </c>
      <c r="L16" s="182">
        <f>-'Sch. G 2021'!$N15</f>
        <v>116344.78</v>
      </c>
      <c r="M16" s="631">
        <f>'Sch. G 2021'!O15+'Sch. G 2021'!P15</f>
        <v>-66823.199999999997</v>
      </c>
      <c r="N16" s="265">
        <f t="shared" si="3"/>
        <v>-0.57435494742437088</v>
      </c>
      <c r="O16" s="182">
        <f>-'Sch. G 2022'!$N15</f>
        <v>1045654</v>
      </c>
      <c r="P16" s="631">
        <f>'Sch. G 2022'!O15+'Sch. G 2022'!P15</f>
        <v>-269177</v>
      </c>
      <c r="Q16" s="265">
        <f t="shared" si="4"/>
        <v>-0.25742454004862031</v>
      </c>
      <c r="R16" s="264">
        <f t="shared" si="5"/>
        <v>1551364</v>
      </c>
      <c r="S16" s="634">
        <f t="shared" si="6"/>
        <v>-1041479</v>
      </c>
      <c r="T16" s="265">
        <f t="shared" si="7"/>
        <v>-0.67133116405949866</v>
      </c>
      <c r="U16" s="668">
        <v>0</v>
      </c>
      <c r="V16" s="673">
        <f>'Sch. N'!AC12</f>
        <v>6192.6099999999997</v>
      </c>
      <c r="W16" s="668">
        <f t="shared" si="8"/>
        <v>1551364</v>
      </c>
      <c r="X16" s="673">
        <f t="shared" si="9"/>
        <v>-1035286.39</v>
      </c>
      <c r="Y16" s="635">
        <f t="shared" si="10"/>
        <v>-0.66733944451463356</v>
      </c>
    </row>
    <row r="17" spans="1:25" ht="12.75">
      <c r="A17" s="633">
        <v>3762</v>
      </c>
      <c r="B17" s="260" t="s">
        <v>338</v>
      </c>
      <c r="C17" s="182">
        <f>-'Sch. G 2018'!$N16</f>
        <v>417220.28999999998</v>
      </c>
      <c r="D17" s="631">
        <f>'Sch. G 2018'!O16+'Sch. G 2018'!P16</f>
        <v>-102358.89</v>
      </c>
      <c r="E17" s="265">
        <f t="shared" si="0"/>
        <v>-0.2453353598886574</v>
      </c>
      <c r="F17" s="182">
        <f>-'Sch. G 2019'!$N16</f>
        <v>386560.69</v>
      </c>
      <c r="G17" s="631">
        <f>'Sch. G 2019'!O16+'Sch. G 2019'!P16</f>
        <v>-341890.92000000004</v>
      </c>
      <c r="H17" s="265">
        <f t="shared" si="1"/>
        <v>-0.88444306119176275</v>
      </c>
      <c r="I17" s="182">
        <f>-'Sch. G 2020'!$N16</f>
        <v>219489.84000000003</v>
      </c>
      <c r="J17" s="631">
        <f>'Sch. G 2020'!O16+'Sch. G 2020'!P16</f>
        <v>-547947.60999999999</v>
      </c>
      <c r="K17" s="265">
        <f t="shared" si="2"/>
        <v>-2.4964600183771601</v>
      </c>
      <c r="L17" s="182">
        <f>-'Sch. G 2021'!$N16</f>
        <v>114295.11</v>
      </c>
      <c r="M17" s="631">
        <f>'Sch. G 2021'!O16+'Sch. G 2021'!P16</f>
        <v>-792500.93000000005</v>
      </c>
      <c r="N17" s="265">
        <f t="shared" si="3"/>
        <v>-6.9338130913912241</v>
      </c>
      <c r="O17" s="182">
        <f>-'Sch. G 2022'!$N16</f>
        <v>566209</v>
      </c>
      <c r="P17" s="631">
        <f>'Sch. G 2022'!O16+'Sch. G 2022'!P16</f>
        <v>-223384</v>
      </c>
      <c r="Q17" s="265">
        <f t="shared" si="4"/>
        <v>-0.39452569634181017</v>
      </c>
      <c r="R17" s="264">
        <f t="shared" si="5"/>
        <v>1703775</v>
      </c>
      <c r="S17" s="634">
        <f t="shared" si="6"/>
        <v>-2008082</v>
      </c>
      <c r="T17" s="265">
        <f t="shared" si="7"/>
        <v>-1.1786075039251074</v>
      </c>
      <c r="U17" s="668">
        <f>-'Sch. M'!L185-'Sch. M'!J185</f>
        <v>14321.66</v>
      </c>
      <c r="V17" s="673">
        <f>-12417.19-484637</f>
        <v>-497054.19</v>
      </c>
      <c r="W17" s="668">
        <f t="shared" si="8"/>
        <v>1718096.6599999999</v>
      </c>
      <c r="X17" s="673">
        <f t="shared" si="9"/>
        <v>-2505136.1899999999</v>
      </c>
      <c r="Y17" s="635">
        <f t="shared" si="10"/>
        <v>-1.4580880391211517</v>
      </c>
    </row>
    <row r="18" spans="1:25" ht="12.75">
      <c r="A18" s="633" t="s">
        <v>87</v>
      </c>
      <c r="B18" s="260" t="s">
        <v>88</v>
      </c>
      <c r="C18" s="182">
        <f>-'Sch. G 2018'!$N17</f>
        <v>0</v>
      </c>
      <c r="D18" s="631">
        <f>'Sch. G 2018'!O17+'Sch. G 2018'!P17</f>
        <v>-304620.52000000002</v>
      </c>
      <c r="E18" s="265" t="str">
        <f t="shared" si="0"/>
        <v/>
      </c>
      <c r="F18" s="182">
        <f>-'Sch. G 2019'!$N17</f>
        <v>0</v>
      </c>
      <c r="G18" s="631">
        <f>'Sch. G 2019'!O17+'Sch. G 2019'!P17</f>
        <v>-91994.669999999998</v>
      </c>
      <c r="H18" s="265" t="str">
        <f t="shared" si="1"/>
        <v/>
      </c>
      <c r="I18" s="182">
        <f>-'Sch. G 2020'!$N17</f>
        <v>0</v>
      </c>
      <c r="J18" s="631">
        <f>'Sch. G 2020'!O17+'Sch. G 2020'!P17</f>
        <v>-10472.5</v>
      </c>
      <c r="K18" s="265" t="str">
        <f t="shared" si="2"/>
        <v/>
      </c>
      <c r="L18" s="182">
        <f>-'Sch. G 2021'!$N17</f>
        <v>0</v>
      </c>
      <c r="M18" s="631">
        <f>'Sch. G 2021'!O17+'Sch. G 2021'!P17</f>
        <v>-77548.970000000001</v>
      </c>
      <c r="N18" s="265" t="str">
        <f t="shared" si="3"/>
        <v/>
      </c>
      <c r="O18" s="182">
        <f>-'Sch. G 2022'!$N17</f>
        <v>0</v>
      </c>
      <c r="P18" s="631">
        <f>'Sch. G 2022'!O17+'Sch. G 2022'!P17</f>
        <v>0</v>
      </c>
      <c r="Q18" s="265" t="str">
        <f t="shared" si="4"/>
        <v/>
      </c>
      <c r="R18" s="264">
        <f t="shared" si="5"/>
        <v>0</v>
      </c>
      <c r="S18" s="634">
        <f t="shared" si="6"/>
        <v>-484637</v>
      </c>
      <c r="T18" s="265" t="str">
        <f t="shared" si="7"/>
        <v/>
      </c>
      <c r="U18" s="668">
        <f>-'Sch. M'!J200-'Sch. M'!L200</f>
        <v>-13355.5</v>
      </c>
      <c r="V18" s="673">
        <v>484637</v>
      </c>
      <c r="W18" s="668">
        <f t="shared" si="8"/>
        <v>-13355.5</v>
      </c>
      <c r="X18" s="673">
        <f t="shared" si="9"/>
        <v>0</v>
      </c>
      <c r="Y18" s="635" t="str">
        <f t="shared" si="10"/>
        <v/>
      </c>
    </row>
    <row r="19" spans="1:25" ht="12.75">
      <c r="A19" s="633" t="s">
        <v>199</v>
      </c>
      <c r="B19" s="260" t="s">
        <v>339</v>
      </c>
      <c r="C19" s="182">
        <f>-'Sch. G 2018'!$N18</f>
        <v>0</v>
      </c>
      <c r="D19" s="631">
        <f>'Sch. G 2018'!O18+'Sch. G 2018'!P18</f>
        <v>-7863.79</v>
      </c>
      <c r="E19" s="265" t="str">
        <f t="shared" si="0"/>
        <v/>
      </c>
      <c r="F19" s="182">
        <f>-'Sch. G 2019'!$N18</f>
        <v>1542.8099999999999</v>
      </c>
      <c r="G19" s="631">
        <f>'Sch. G 2019'!O18+'Sch. G 2019'!P18</f>
        <v>-20792.299999999999</v>
      </c>
      <c r="H19" s="265">
        <f t="shared" si="1"/>
        <v>-13.476902534984866</v>
      </c>
      <c r="I19" s="182">
        <f>-'Sch. G 2020'!$N18</f>
        <v>0</v>
      </c>
      <c r="J19" s="631">
        <f>'Sch. G 2020'!O18+'Sch. G 2020'!P18</f>
        <v>0</v>
      </c>
      <c r="K19" s="265" t="str">
        <f t="shared" si="2"/>
        <v/>
      </c>
      <c r="L19" s="182">
        <f>-'Sch. G 2021'!$N18</f>
        <v>0</v>
      </c>
      <c r="M19" s="631">
        <f>'Sch. G 2021'!O18+'Sch. G 2021'!P18</f>
        <v>-16564.920000000002</v>
      </c>
      <c r="N19" s="265" t="str">
        <f t="shared" si="3"/>
        <v/>
      </c>
      <c r="O19" s="182">
        <f>-'Sch. G 2022'!$N18</f>
        <v>0</v>
      </c>
      <c r="P19" s="631">
        <f>'Sch. G 2022'!O18+'Sch. G 2022'!P18</f>
        <v>0</v>
      </c>
      <c r="Q19" s="265" t="str">
        <f t="shared" si="4"/>
        <v/>
      </c>
      <c r="R19" s="264">
        <f t="shared" si="5"/>
        <v>1543</v>
      </c>
      <c r="S19" s="634">
        <f t="shared" si="6"/>
        <v>-45221</v>
      </c>
      <c r="T19" s="265">
        <f t="shared" si="7"/>
        <v>-29.307193778353856</v>
      </c>
      <c r="U19" s="668">
        <f>-'Sch. M'!L253</f>
        <v>34254.760000000002</v>
      </c>
      <c r="V19" s="673">
        <v>14357.299999999999</v>
      </c>
      <c r="W19" s="668">
        <f t="shared" si="8"/>
        <v>35797.760000000002</v>
      </c>
      <c r="X19" s="673">
        <f t="shared" si="9"/>
        <v>-30863.700000000001</v>
      </c>
      <c r="Y19" s="635">
        <f t="shared" si="10"/>
        <v>-0.86216847087639004</v>
      </c>
    </row>
    <row r="20" spans="1:25" ht="25.5">
      <c r="A20" s="633" t="s">
        <v>200</v>
      </c>
      <c r="B20" s="260" t="s">
        <v>340</v>
      </c>
      <c r="C20" s="182">
        <f>-'Sch. G 2018'!$N19</f>
        <v>0</v>
      </c>
      <c r="D20" s="631">
        <f>'Sch. G 2018'!O19+'Sch. G 2018'!P19</f>
        <v>-47765.010000000002</v>
      </c>
      <c r="E20" s="265" t="str">
        <f t="shared" si="0"/>
        <v/>
      </c>
      <c r="F20" s="182">
        <f>-'Sch. G 2019'!$N19</f>
        <v>0</v>
      </c>
      <c r="G20" s="631">
        <f>'Sch. G 2019'!O19+'Sch. G 2019'!P19</f>
        <v>-118201.17999999999</v>
      </c>
      <c r="H20" s="265" t="str">
        <f t="shared" si="1"/>
        <v/>
      </c>
      <c r="I20" s="182">
        <f>-'Sch. G 2020'!$N19</f>
        <v>0</v>
      </c>
      <c r="J20" s="631">
        <f>'Sch. G 2020'!O19+'Sch. G 2020'!P19</f>
        <v>0</v>
      </c>
      <c r="K20" s="265" t="str">
        <f t="shared" si="2"/>
        <v/>
      </c>
      <c r="L20" s="182">
        <f>-'Sch. G 2021'!$N19</f>
        <v>0</v>
      </c>
      <c r="M20" s="631">
        <f>'Sch. G 2021'!O19+'Sch. G 2021'!P19</f>
        <v>0</v>
      </c>
      <c r="N20" s="265" t="str">
        <f t="shared" si="3"/>
        <v/>
      </c>
      <c r="O20" s="182">
        <f>-'Sch. G 2022'!$N19</f>
        <v>0</v>
      </c>
      <c r="P20" s="631">
        <f>'Sch. G 2022'!O19+'Sch. G 2022'!P19</f>
        <v>0</v>
      </c>
      <c r="Q20" s="265" t="str">
        <f t="shared" si="4"/>
        <v/>
      </c>
      <c r="R20" s="264">
        <f t="shared" si="5"/>
        <v>0</v>
      </c>
      <c r="S20" s="634">
        <f t="shared" si="6"/>
        <v>-165966</v>
      </c>
      <c r="T20" s="265" t="str">
        <f t="shared" si="7"/>
        <v/>
      </c>
      <c r="U20" s="668">
        <f>-'Sch. M'!L303</f>
        <v>94654.639999999999</v>
      </c>
      <c r="V20" s="673">
        <v>-14357.299999999999</v>
      </c>
      <c r="W20" s="668">
        <f t="shared" si="8"/>
        <v>94654.639999999999</v>
      </c>
      <c r="X20" s="673">
        <f t="shared" si="9"/>
        <v>-180323.29999999999</v>
      </c>
      <c r="Y20" s="635">
        <f t="shared" si="10"/>
        <v>-1.9050656153781789</v>
      </c>
    </row>
    <row r="21" spans="1:25" ht="12.75">
      <c r="A21" s="633">
        <v>3801</v>
      </c>
      <c r="B21" s="260" t="s">
        <v>92</v>
      </c>
      <c r="C21" s="182">
        <f>-'Sch. G 2018'!$N20</f>
        <v>301683.04000000004</v>
      </c>
      <c r="D21" s="631">
        <f>'Sch. G 2018'!O20+'Sch. G 2018'!P20</f>
        <v>-324877.83000000002</v>
      </c>
      <c r="E21" s="265">
        <f t="shared" si="0"/>
        <v>-1.0768846336207696</v>
      </c>
      <c r="F21" s="182">
        <f>-'Sch. G 2019'!$N20</f>
        <v>339686.29999999993</v>
      </c>
      <c r="G21" s="631">
        <f>'Sch. G 2019'!O20+'Sch. G 2019'!P20</f>
        <v>-397877.62999999995</v>
      </c>
      <c r="H21" s="265">
        <f t="shared" si="1"/>
        <v>-1.1713090283594012</v>
      </c>
      <c r="I21" s="182">
        <f>-'Sch. G 2020'!$N20</f>
        <v>522330.81</v>
      </c>
      <c r="J21" s="631">
        <f>'Sch. G 2020'!O20+'Sch. G 2020'!P20</f>
        <v>-437101.88</v>
      </c>
      <c r="K21" s="265">
        <f t="shared" si="2"/>
        <v>-0.8368295946394585</v>
      </c>
      <c r="L21" s="182">
        <f>-'Sch. G 2021'!$N20</f>
        <v>638220.85000000009</v>
      </c>
      <c r="M21" s="631">
        <f>'Sch. G 2021'!O20+'Sch. G 2021'!P20</f>
        <v>-113979.60000000001</v>
      </c>
      <c r="N21" s="265">
        <f t="shared" si="3"/>
        <v>-0.17858959010818903</v>
      </c>
      <c r="O21" s="182">
        <f>-'Sch. G 2022'!$N20</f>
        <v>385350</v>
      </c>
      <c r="P21" s="631">
        <f>'Sch. G 2022'!O20+'Sch. G 2022'!P20</f>
        <v>-256017</v>
      </c>
      <c r="Q21" s="265">
        <f t="shared" si="4"/>
        <v>-0.66437524328532505</v>
      </c>
      <c r="R21" s="264">
        <f t="shared" si="5"/>
        <v>2187271</v>
      </c>
      <c r="S21" s="634">
        <f t="shared" si="6"/>
        <v>-1529854</v>
      </c>
      <c r="T21" s="265">
        <f t="shared" si="7"/>
        <v>-0.69943504942917456</v>
      </c>
      <c r="U21" s="668">
        <f>-'Sch. M'!L357</f>
        <v>4779.6000000000004</v>
      </c>
      <c r="V21" s="673">
        <v>0</v>
      </c>
      <c r="W21" s="668">
        <f t="shared" si="8"/>
        <v>2192050.6000000001</v>
      </c>
      <c r="X21" s="673">
        <f t="shared" si="9"/>
        <v>-1529854</v>
      </c>
      <c r="Y21" s="635">
        <f t="shared" si="10"/>
        <v>-0.69790998437718543</v>
      </c>
    </row>
    <row r="22" spans="1:25" ht="12.75">
      <c r="A22" s="633">
        <v>3802</v>
      </c>
      <c r="B22" s="260" t="s">
        <v>93</v>
      </c>
      <c r="C22" s="182">
        <f>-'Sch. G 2018'!$N21</f>
        <v>112654.55</v>
      </c>
      <c r="D22" s="631">
        <f>'Sch. G 2018'!O21+'Sch. G 2018'!P21</f>
        <v>-104171.25</v>
      </c>
      <c r="E22" s="265">
        <f t="shared" si="0"/>
        <v>-0.92469633938442786</v>
      </c>
      <c r="F22" s="182">
        <f>-'Sch. G 2019'!$N21</f>
        <v>72249.549999999988</v>
      </c>
      <c r="G22" s="631">
        <f>'Sch. G 2019'!O21+'Sch. G 2019'!P21</f>
        <v>-350282.45999999996</v>
      </c>
      <c r="H22" s="265">
        <f t="shared" si="1"/>
        <v>-4.8482303349986262</v>
      </c>
      <c r="I22" s="182">
        <f>-'Sch. G 2020'!$N21</f>
        <v>51439.479999999996</v>
      </c>
      <c r="J22" s="631">
        <f>'Sch. G 2020'!O21+'Sch. G 2020'!P21</f>
        <v>-84810.360000000001</v>
      </c>
      <c r="K22" s="265">
        <f t="shared" si="2"/>
        <v>-1.6487406171291001</v>
      </c>
      <c r="L22" s="182">
        <f>-'Sch. G 2021'!$N21</f>
        <v>13954.889999999999</v>
      </c>
      <c r="M22" s="631">
        <f>'Sch. G 2021'!O21+'Sch. G 2021'!P21</f>
        <v>-204787.32999999999</v>
      </c>
      <c r="N22" s="265">
        <f t="shared" si="3"/>
        <v>-14.674951217816837</v>
      </c>
      <c r="O22" s="182">
        <f>-'Sch. G 2022'!$N21</f>
        <v>445488</v>
      </c>
      <c r="P22" s="631">
        <f>'Sch. G 2022'!O21+'Sch. G 2022'!P21</f>
        <v>-295969</v>
      </c>
      <c r="Q22" s="265">
        <f t="shared" si="4"/>
        <v>-0.66437030851560541</v>
      </c>
      <c r="R22" s="264">
        <f t="shared" si="5"/>
        <v>695786</v>
      </c>
      <c r="S22" s="634">
        <f t="shared" si="6"/>
        <v>-1040020</v>
      </c>
      <c r="T22" s="265">
        <f t="shared" si="7"/>
        <v>-1.4947411991618111</v>
      </c>
      <c r="U22" s="668">
        <v>0</v>
      </c>
      <c r="V22" s="673">
        <v>-272620.81999999995</v>
      </c>
      <c r="W22" s="668">
        <f t="shared" si="8"/>
        <v>695786</v>
      </c>
      <c r="X22" s="673">
        <f t="shared" si="9"/>
        <v>-1312640.8199999998</v>
      </c>
      <c r="Y22" s="635">
        <f t="shared" si="10"/>
        <v>-1.8865582521062507</v>
      </c>
    </row>
    <row r="23" spans="1:25" ht="12.75">
      <c r="A23" s="633" t="s">
        <v>95</v>
      </c>
      <c r="B23" s="260" t="s">
        <v>96</v>
      </c>
      <c r="C23" s="182">
        <f>-'Sch. G 2018'!$N22</f>
        <v>0</v>
      </c>
      <c r="D23" s="631">
        <f>'Sch. G 2018'!O22+'Sch. G 2018'!P22</f>
        <v>-159167.78000000003</v>
      </c>
      <c r="E23" s="265" t="str">
        <f t="shared" si="0"/>
        <v/>
      </c>
      <c r="F23" s="182">
        <f>-'Sch. G 2019'!$N22</f>
        <v>0</v>
      </c>
      <c r="G23" s="631">
        <f>'Sch. G 2019'!O22+'Sch. G 2019'!P22</f>
        <v>-15878.040000000001</v>
      </c>
      <c r="H23" s="265" t="str">
        <f t="shared" si="1"/>
        <v/>
      </c>
      <c r="I23" s="182">
        <f>-'Sch. G 2020'!$N22</f>
        <v>0</v>
      </c>
      <c r="J23" s="631">
        <f>'Sch. G 2020'!O22+'Sch. G 2020'!P22</f>
        <v>-15201.870000000001</v>
      </c>
      <c r="K23" s="265" t="str">
        <f t="shared" si="2"/>
        <v/>
      </c>
      <c r="L23" s="182">
        <f>-'Sch. G 2021'!$N22</f>
        <v>0</v>
      </c>
      <c r="M23" s="631">
        <f>'Sch. G 2021'!O22+'Sch. G 2021'!P22</f>
        <v>-82373.130000000005</v>
      </c>
      <c r="N23" s="265" t="str">
        <f t="shared" si="3"/>
        <v/>
      </c>
      <c r="O23" s="182">
        <f>-'Sch. G 2022'!$N22</f>
        <v>0</v>
      </c>
      <c r="P23" s="631">
        <f>'Sch. G 2022'!O22+'Sch. G 2022'!P22</f>
        <v>0</v>
      </c>
      <c r="Q23" s="265" t="str">
        <f t="shared" si="4"/>
        <v/>
      </c>
      <c r="R23" s="264">
        <f t="shared" si="5"/>
        <v>0</v>
      </c>
      <c r="S23" s="634">
        <f t="shared" si="6"/>
        <v>-272621</v>
      </c>
      <c r="T23" s="265" t="str">
        <f t="shared" si="7"/>
        <v/>
      </c>
      <c r="U23" s="668">
        <v>0</v>
      </c>
      <c r="V23" s="673">
        <v>272620.81999999995</v>
      </c>
      <c r="W23" s="668">
        <f t="shared" si="8"/>
        <v>0</v>
      </c>
      <c r="X23" s="673">
        <f t="shared" si="9"/>
        <v>-0.18000000005122274</v>
      </c>
      <c r="Y23" s="635" t="str">
        <f t="shared" si="10"/>
        <v/>
      </c>
    </row>
    <row r="24" spans="1:25" ht="12.75">
      <c r="A24" s="633" t="s">
        <v>201</v>
      </c>
      <c r="B24" s="260" t="s">
        <v>97</v>
      </c>
      <c r="C24" s="182">
        <f>-'Sch. G 2018'!$N23</f>
        <v>0</v>
      </c>
      <c r="D24" s="631">
        <f>'Sch. G 2018'!O23+'Sch. G 2018'!P23</f>
        <v>0</v>
      </c>
      <c r="E24" s="265" t="str">
        <f t="shared" si="0"/>
        <v/>
      </c>
      <c r="F24" s="182">
        <f>-'Sch. G 2019'!$N23</f>
        <v>334860.79000000004</v>
      </c>
      <c r="G24" s="631">
        <f>'Sch. G 2019'!O23+'Sch. G 2019'!P23</f>
        <v>-45</v>
      </c>
      <c r="H24" s="265">
        <f t="shared" si="1"/>
        <v>-0.00013438420186490032</v>
      </c>
      <c r="I24" s="182">
        <f>-'Sch. G 2020'!$N23</f>
        <v>233414.30000000002</v>
      </c>
      <c r="J24" s="631">
        <f>'Sch. G 2020'!O23+'Sch. G 2020'!P23</f>
        <v>0</v>
      </c>
      <c r="K24" s="265" t="str">
        <f t="shared" si="2"/>
        <v/>
      </c>
      <c r="L24" s="182">
        <f>-'Sch. G 2021'!$N23</f>
        <v>163483.97999999998</v>
      </c>
      <c r="M24" s="631">
        <f>'Sch. G 2021'!O23+'Sch. G 2021'!P23</f>
        <v>0</v>
      </c>
      <c r="N24" s="265" t="str">
        <f t="shared" si="3"/>
        <v/>
      </c>
      <c r="O24" s="182">
        <f>-'Sch. G 2022'!$N23</f>
        <v>94320</v>
      </c>
      <c r="P24" s="631">
        <f>'Sch. G 2022'!O23+'Sch. G 2022'!P23</f>
        <v>-37060</v>
      </c>
      <c r="Q24" s="265">
        <f t="shared" si="4"/>
        <v>-0.39291772688719251</v>
      </c>
      <c r="R24" s="264">
        <f t="shared" si="5"/>
        <v>826079</v>
      </c>
      <c r="S24" s="634">
        <f t="shared" si="6"/>
        <v>-37105</v>
      </c>
      <c r="T24" s="265">
        <f t="shared" si="7"/>
        <v>-0.044917011569111431</v>
      </c>
      <c r="U24" s="668">
        <v>0</v>
      </c>
      <c r="V24" s="673">
        <v>-173656.37</v>
      </c>
      <c r="W24" s="668">
        <f t="shared" si="8"/>
        <v>826079</v>
      </c>
      <c r="X24" s="673">
        <f t="shared" si="9"/>
        <v>-210761.37</v>
      </c>
      <c r="Y24" s="635">
        <f t="shared" si="10"/>
        <v>-0.25513464208628955</v>
      </c>
    </row>
    <row r="25" spans="1:25" ht="12.75">
      <c r="A25" s="633">
        <v>3811</v>
      </c>
      <c r="B25" s="260" t="s">
        <v>98</v>
      </c>
      <c r="C25" s="182">
        <f>-'Sch. G 2018'!$N24</f>
        <v>0</v>
      </c>
      <c r="D25" s="631">
        <f>'Sch. G 2018'!O24+'Sch. G 2018'!P24</f>
        <v>0</v>
      </c>
      <c r="E25" s="265" t="str">
        <f t="shared" si="0"/>
        <v/>
      </c>
      <c r="F25" s="182">
        <f>-'Sch. G 2019'!$N24</f>
        <v>0</v>
      </c>
      <c r="G25" s="631">
        <f>'Sch. G 2019'!O24+'Sch. G 2019'!P24</f>
        <v>0</v>
      </c>
      <c r="H25" s="265" t="str">
        <f t="shared" si="1"/>
        <v/>
      </c>
      <c r="I25" s="182">
        <f>-'Sch. G 2020'!$N24</f>
        <v>0</v>
      </c>
      <c r="J25" s="631">
        <f>'Sch. G 2020'!O24+'Sch. G 2020'!P24</f>
        <v>0</v>
      </c>
      <c r="K25" s="265" t="str">
        <f t="shared" si="2"/>
        <v/>
      </c>
      <c r="L25" s="182">
        <f>-'Sch. G 2021'!$N24</f>
        <v>0</v>
      </c>
      <c r="M25" s="631">
        <f>'Sch. G 2021'!O24+'Sch. G 2021'!P24</f>
        <v>0</v>
      </c>
      <c r="N25" s="265" t="str">
        <f t="shared" si="3"/>
        <v/>
      </c>
      <c r="O25" s="182">
        <f>-'Sch. G 2022'!$N24</f>
        <v>0</v>
      </c>
      <c r="P25" s="631">
        <f>'Sch. G 2022'!O24+'Sch. G 2022'!P24</f>
        <v>0</v>
      </c>
      <c r="Q25" s="265" t="str">
        <f t="shared" si="4"/>
        <v/>
      </c>
      <c r="R25" s="264">
        <f t="shared" si="5"/>
        <v>0</v>
      </c>
      <c r="S25" s="634">
        <f t="shared" si="6"/>
        <v>0</v>
      </c>
      <c r="T25" s="265" t="str">
        <f t="shared" si="7"/>
        <v/>
      </c>
      <c r="U25" s="668">
        <v>0</v>
      </c>
      <c r="V25" s="673">
        <v>0</v>
      </c>
      <c r="W25" s="668">
        <f t="shared" si="8"/>
        <v>0</v>
      </c>
      <c r="X25" s="673">
        <f t="shared" si="9"/>
        <v>0</v>
      </c>
      <c r="Y25" s="635" t="str">
        <f t="shared" si="10"/>
        <v/>
      </c>
    </row>
    <row r="26" spans="1:25" ht="12.75">
      <c r="A26" s="633" t="s">
        <v>202</v>
      </c>
      <c r="B26" s="260" t="s">
        <v>99</v>
      </c>
      <c r="C26" s="182">
        <f>-'Sch. G 2018'!$N25</f>
        <v>3251.25</v>
      </c>
      <c r="D26" s="631">
        <f>'Sch. G 2018'!O25+'Sch. G 2018'!P25</f>
        <v>-61426.599999999999</v>
      </c>
      <c r="E26" s="265">
        <f t="shared" si="0"/>
        <v>-18.893225682429833</v>
      </c>
      <c r="F26" s="182">
        <f>-'Sch. G 2019'!$N25</f>
        <v>17343.549999999999</v>
      </c>
      <c r="G26" s="631">
        <f>'Sch. G 2019'!O25+'Sch. G 2019'!P25</f>
        <v>-41373.779999999999</v>
      </c>
      <c r="H26" s="265">
        <f t="shared" si="1"/>
        <v>-2.3855427522047101</v>
      </c>
      <c r="I26" s="182">
        <f>-'Sch. G 2020'!$N25</f>
        <v>0</v>
      </c>
      <c r="J26" s="631">
        <f>'Sch. G 2020'!O25+'Sch. G 2020'!P25</f>
        <v>-39827.940000000002</v>
      </c>
      <c r="K26" s="265" t="str">
        <f t="shared" si="2"/>
        <v/>
      </c>
      <c r="L26" s="182">
        <f>-'Sch. G 2021'!$N25</f>
        <v>0</v>
      </c>
      <c r="M26" s="631">
        <f>'Sch. G 2021'!O25+'Sch. G 2021'!P25</f>
        <v>-88703.559999999998</v>
      </c>
      <c r="N26" s="265" t="str">
        <f t="shared" si="3"/>
        <v/>
      </c>
      <c r="O26" s="182">
        <f>-'Sch. G 2022'!$N25</f>
        <v>0</v>
      </c>
      <c r="P26" s="631">
        <f>'Sch. G 2022'!O25+'Sch. G 2022'!P25</f>
        <v>0</v>
      </c>
      <c r="Q26" s="265" t="str">
        <f t="shared" si="4"/>
        <v/>
      </c>
      <c r="R26" s="264">
        <f t="shared" si="5"/>
        <v>20595</v>
      </c>
      <c r="S26" s="634">
        <f t="shared" si="6"/>
        <v>-231332</v>
      </c>
      <c r="T26" s="265">
        <f t="shared" si="7"/>
        <v>-11.232435057052683</v>
      </c>
      <c r="U26" s="668">
        <v>0</v>
      </c>
      <c r="V26" s="673">
        <v>169049.87</v>
      </c>
      <c r="W26" s="668">
        <f t="shared" si="8"/>
        <v>20595</v>
      </c>
      <c r="X26" s="673">
        <f t="shared" si="9"/>
        <v>-62282.130000000005</v>
      </c>
      <c r="Y26" s="635">
        <f t="shared" si="10"/>
        <v>-3.0241383831026951</v>
      </c>
    </row>
    <row r="27" spans="1:25" ht="12.75">
      <c r="A27" s="633">
        <v>3821</v>
      </c>
      <c r="B27" s="260" t="s">
        <v>100</v>
      </c>
      <c r="C27" s="182">
        <f>-'Sch. G 2018'!$N26</f>
        <v>0</v>
      </c>
      <c r="D27" s="631">
        <f>'Sch. G 2018'!O26+'Sch. G 2018'!P26</f>
        <v>0</v>
      </c>
      <c r="E27" s="265" t="str">
        <f t="shared" si="0"/>
        <v/>
      </c>
      <c r="F27" s="182">
        <f>-'Sch. G 2019'!$N26</f>
        <v>0</v>
      </c>
      <c r="G27" s="631">
        <f>'Sch. G 2019'!O26+'Sch. G 2019'!P26</f>
        <v>0</v>
      </c>
      <c r="H27" s="265" t="str">
        <f t="shared" si="1"/>
        <v/>
      </c>
      <c r="I27" s="182">
        <f>-'Sch. G 2020'!$N26</f>
        <v>0</v>
      </c>
      <c r="J27" s="631">
        <f>'Sch. G 2020'!O26+'Sch. G 2020'!P26</f>
        <v>0</v>
      </c>
      <c r="K27" s="265" t="str">
        <f t="shared" si="2"/>
        <v/>
      </c>
      <c r="L27" s="182">
        <f>-'Sch. G 2021'!$N26</f>
        <v>0</v>
      </c>
      <c r="M27" s="631">
        <f>'Sch. G 2021'!O26+'Sch. G 2021'!P26</f>
        <v>0</v>
      </c>
      <c r="N27" s="265" t="str">
        <f t="shared" si="3"/>
        <v/>
      </c>
      <c r="O27" s="182">
        <f>-'Sch. G 2022'!$N26</f>
        <v>0</v>
      </c>
      <c r="P27" s="631">
        <f>'Sch. G 2022'!O26+'Sch. G 2022'!P26</f>
        <v>0</v>
      </c>
      <c r="Q27" s="265" t="str">
        <f t="shared" si="4"/>
        <v/>
      </c>
      <c r="R27" s="264">
        <f t="shared" si="5"/>
        <v>0</v>
      </c>
      <c r="S27" s="634">
        <f t="shared" si="6"/>
        <v>0</v>
      </c>
      <c r="T27" s="265" t="str">
        <f t="shared" si="7"/>
        <v/>
      </c>
      <c r="U27" s="668">
        <v>0</v>
      </c>
      <c r="V27" s="673">
        <v>0</v>
      </c>
      <c r="W27" s="668">
        <f t="shared" si="8"/>
        <v>0</v>
      </c>
      <c r="X27" s="673">
        <f t="shared" si="9"/>
        <v>0</v>
      </c>
      <c r="Y27" s="635" t="str">
        <f t="shared" si="10"/>
        <v/>
      </c>
    </row>
    <row r="28" spans="1:25" ht="12.75">
      <c r="A28" s="633" t="s">
        <v>203</v>
      </c>
      <c r="B28" s="260" t="s">
        <v>341</v>
      </c>
      <c r="C28" s="182">
        <f>-'Sch. G 2018'!$N27</f>
        <v>30425.419999999998</v>
      </c>
      <c r="D28" s="631">
        <f>'Sch. G 2018'!O27+'Sch. G 2018'!P27</f>
        <v>0</v>
      </c>
      <c r="E28" s="265" t="str">
        <f t="shared" si="0"/>
        <v/>
      </c>
      <c r="F28" s="182">
        <f>-'Sch. G 2019'!$N27</f>
        <v>15612.139999999998</v>
      </c>
      <c r="G28" s="631">
        <f>'Sch. G 2019'!O27+'Sch. G 2019'!P27</f>
        <v>-9544.5</v>
      </c>
      <c r="H28" s="265">
        <f t="shared" si="1"/>
        <v>-0.61135116646404664</v>
      </c>
      <c r="I28" s="182">
        <f>-'Sch. G 2020'!$N27</f>
        <v>11591.15</v>
      </c>
      <c r="J28" s="631">
        <f>'Sch. G 2020'!O27+'Sch. G 2020'!P27</f>
        <v>-34.640000000000001</v>
      </c>
      <c r="K28" s="265">
        <f t="shared" si="2"/>
        <v>-0.0029884869059584253</v>
      </c>
      <c r="L28" s="182">
        <f>-'Sch. G 2021'!$N27</f>
        <v>9035.1700000000019</v>
      </c>
      <c r="M28" s="631">
        <f>'Sch. G 2021'!O27+'Sch. G 2021'!P27</f>
        <v>0</v>
      </c>
      <c r="N28" s="265" t="str">
        <f t="shared" si="3"/>
        <v/>
      </c>
      <c r="O28" s="182">
        <f>-'Sch. G 2022'!$N27</f>
        <v>4531</v>
      </c>
      <c r="P28" s="631">
        <f>'Sch. G 2022'!O27+'Sch. G 2022'!P27</f>
        <v>-838</v>
      </c>
      <c r="Q28" s="265">
        <f t="shared" si="4"/>
        <v>-0.18494813506952107</v>
      </c>
      <c r="R28" s="264">
        <f t="shared" si="5"/>
        <v>71195</v>
      </c>
      <c r="S28" s="634">
        <f t="shared" si="6"/>
        <v>-10417</v>
      </c>
      <c r="T28" s="265">
        <f t="shared" si="7"/>
        <v>-0.14631645480721961</v>
      </c>
      <c r="U28" s="668">
        <v>0</v>
      </c>
      <c r="V28" s="673">
        <v>4606.5</v>
      </c>
      <c r="W28" s="668">
        <f t="shared" si="8"/>
        <v>71195</v>
      </c>
      <c r="X28" s="673">
        <f t="shared" si="9"/>
        <v>-5810.5</v>
      </c>
      <c r="Y28" s="635">
        <f t="shared" si="10"/>
        <v>-0.08161387737902942</v>
      </c>
    </row>
    <row r="29" spans="1:25" ht="12.75">
      <c r="A29" s="633" t="s">
        <v>204</v>
      </c>
      <c r="B29" s="260" t="s">
        <v>342</v>
      </c>
      <c r="C29" s="182">
        <f>-'Sch. G 2018'!$N28</f>
        <v>1500.5999999999999</v>
      </c>
      <c r="D29" s="631">
        <f>'Sch. G 2018'!O28+'Sch. G 2018'!P28</f>
        <v>0</v>
      </c>
      <c r="E29" s="265" t="str">
        <f t="shared" si="0"/>
        <v/>
      </c>
      <c r="F29" s="182">
        <f>-'Sch. G 2019'!$N28</f>
        <v>0</v>
      </c>
      <c r="G29" s="631">
        <f>'Sch. G 2019'!O28+'Sch. G 2019'!P28</f>
        <v>0</v>
      </c>
      <c r="H29" s="265" t="str">
        <f t="shared" si="1"/>
        <v/>
      </c>
      <c r="I29" s="182">
        <f>-'Sch. G 2020'!$N28</f>
        <v>0</v>
      </c>
      <c r="J29" s="631">
        <f>'Sch. G 2020'!O28+'Sch. G 2020'!P28</f>
        <v>0</v>
      </c>
      <c r="K29" s="265" t="str">
        <f t="shared" si="2"/>
        <v/>
      </c>
      <c r="L29" s="182">
        <f>-'Sch. G 2021'!$N28</f>
        <v>0</v>
      </c>
      <c r="M29" s="631">
        <f>'Sch. G 2021'!O28+'Sch. G 2021'!P28</f>
        <v>0</v>
      </c>
      <c r="N29" s="265" t="str">
        <f t="shared" si="3"/>
        <v/>
      </c>
      <c r="O29" s="182">
        <f>-'Sch. G 2022'!$N28</f>
        <v>0</v>
      </c>
      <c r="P29" s="631">
        <f>'Sch. G 2022'!O28+'Sch. G 2022'!P28</f>
        <v>0</v>
      </c>
      <c r="Q29" s="265" t="str">
        <f t="shared" si="4"/>
        <v/>
      </c>
      <c r="R29" s="264">
        <f t="shared" si="5"/>
        <v>1501</v>
      </c>
      <c r="S29" s="634">
        <f t="shared" si="6"/>
        <v>0</v>
      </c>
      <c r="T29" s="265" t="str">
        <f t="shared" si="7"/>
        <v/>
      </c>
      <c r="U29" s="668">
        <v>0</v>
      </c>
      <c r="V29" s="673">
        <v>0</v>
      </c>
      <c r="W29" s="668">
        <f t="shared" si="8"/>
        <v>1501</v>
      </c>
      <c r="X29" s="673">
        <f t="shared" si="9"/>
        <v>0</v>
      </c>
      <c r="Y29" s="635" t="str">
        <f t="shared" si="10"/>
        <v/>
      </c>
    </row>
    <row r="30" spans="1:25" ht="12.75">
      <c r="A30" s="633" t="s">
        <v>205</v>
      </c>
      <c r="B30" s="260" t="s">
        <v>343</v>
      </c>
      <c r="C30" s="182">
        <f>-'Sch. G 2018'!$N29</f>
        <v>0</v>
      </c>
      <c r="D30" s="631">
        <f>'Sch. G 2018'!O29+'Sch. G 2018'!P29</f>
        <v>0</v>
      </c>
      <c r="E30" s="265" t="str">
        <f t="shared" si="0"/>
        <v/>
      </c>
      <c r="F30" s="182">
        <f>-'Sch. G 2019'!$N29</f>
        <v>0</v>
      </c>
      <c r="G30" s="631">
        <f>'Sch. G 2019'!O29+'Sch. G 2019'!P29</f>
        <v>0</v>
      </c>
      <c r="H30" s="265" t="str">
        <f t="shared" si="1"/>
        <v/>
      </c>
      <c r="I30" s="182">
        <f>-'Sch. G 2020'!$N29</f>
        <v>0</v>
      </c>
      <c r="J30" s="631">
        <f>'Sch. G 2020'!O29+'Sch. G 2020'!P29</f>
        <v>-6224.5799999999999</v>
      </c>
      <c r="K30" s="265" t="str">
        <f t="shared" si="2"/>
        <v/>
      </c>
      <c r="L30" s="182">
        <f>-'Sch. G 2021'!$N29</f>
        <v>0</v>
      </c>
      <c r="M30" s="631">
        <f>'Sch. G 2021'!O29+'Sch. G 2021'!P29</f>
        <v>0</v>
      </c>
      <c r="N30" s="265" t="str">
        <f t="shared" si="3"/>
        <v/>
      </c>
      <c r="O30" s="182">
        <f>-'Sch. G 2022'!$N29</f>
        <v>45547</v>
      </c>
      <c r="P30" s="631">
        <f>'Sch. G 2022'!O29+'Sch. G 2022'!P29</f>
        <v>-6901</v>
      </c>
      <c r="Q30" s="265">
        <f t="shared" si="4"/>
        <v>-0.15151382088831317</v>
      </c>
      <c r="R30" s="264">
        <f t="shared" si="5"/>
        <v>45547</v>
      </c>
      <c r="S30" s="634">
        <f t="shared" si="6"/>
        <v>-13126</v>
      </c>
      <c r="T30" s="265">
        <f t="shared" si="7"/>
        <v>-0.28818583002173581</v>
      </c>
      <c r="U30" s="668">
        <v>0</v>
      </c>
      <c r="V30" s="673">
        <v>6224.5799999999999</v>
      </c>
      <c r="W30" s="668">
        <f t="shared" si="8"/>
        <v>45547</v>
      </c>
      <c r="X30" s="673">
        <f t="shared" si="9"/>
        <v>-6901.4200000000001</v>
      </c>
      <c r="Y30" s="635">
        <f t="shared" si="10"/>
        <v>-0.15152304213230289</v>
      </c>
    </row>
    <row r="31" spans="1:25" ht="12.75">
      <c r="A31" s="633" t="s">
        <v>206</v>
      </c>
      <c r="B31" s="260" t="s">
        <v>105</v>
      </c>
      <c r="C31" s="182">
        <f>-'Sch. G 2018'!$N30</f>
        <v>0</v>
      </c>
      <c r="D31" s="631">
        <f>'Sch. G 2018'!O30+'Sch. G 2018'!P30</f>
        <v>0</v>
      </c>
      <c r="E31" s="265" t="str">
        <f t="shared" si="0"/>
        <v/>
      </c>
      <c r="F31" s="182">
        <f>-'Sch. G 2019'!$N30</f>
        <v>0</v>
      </c>
      <c r="G31" s="631">
        <f>'Sch. G 2019'!O30+'Sch. G 2019'!P30</f>
        <v>0</v>
      </c>
      <c r="H31" s="265" t="str">
        <f t="shared" si="1"/>
        <v/>
      </c>
      <c r="I31" s="182">
        <f>-'Sch. G 2020'!$N30</f>
        <v>89547.169999999984</v>
      </c>
      <c r="J31" s="631">
        <f>'Sch. G 2020'!O30+'Sch. G 2020'!P30</f>
        <v>0</v>
      </c>
      <c r="K31" s="265" t="str">
        <f t="shared" si="2"/>
        <v/>
      </c>
      <c r="L31" s="182">
        <f>-'Sch. G 2021'!$N30</f>
        <v>0</v>
      </c>
      <c r="M31" s="631">
        <f>'Sch. G 2021'!O30+'Sch. G 2021'!P30</f>
        <v>0</v>
      </c>
      <c r="N31" s="265" t="str">
        <f t="shared" si="3"/>
        <v/>
      </c>
      <c r="O31" s="182">
        <f>-'Sch. G 2022'!$N30</f>
        <v>0</v>
      </c>
      <c r="P31" s="631">
        <f>'Sch. G 2022'!O30+'Sch. G 2022'!P30</f>
        <v>0</v>
      </c>
      <c r="Q31" s="265" t="str">
        <f t="shared" si="4"/>
        <v/>
      </c>
      <c r="R31" s="264">
        <f t="shared" si="5"/>
        <v>89547</v>
      </c>
      <c r="S31" s="634">
        <f t="shared" si="6"/>
        <v>0</v>
      </c>
      <c r="T31" s="265" t="str">
        <f t="shared" si="7"/>
        <v/>
      </c>
      <c r="U31" s="668">
        <v>0</v>
      </c>
      <c r="V31" s="673">
        <v>0</v>
      </c>
      <c r="W31" s="668">
        <f t="shared" si="8"/>
        <v>89547</v>
      </c>
      <c r="X31" s="673">
        <f t="shared" si="9"/>
        <v>0</v>
      </c>
      <c r="Y31" s="635" t="str">
        <f t="shared" si="10"/>
        <v/>
      </c>
    </row>
    <row r="32" spans="1:25" ht="12.75">
      <c r="A32" s="633" t="s">
        <v>207</v>
      </c>
      <c r="B32" s="260" t="s">
        <v>344</v>
      </c>
      <c r="C32" s="182">
        <f>-'Sch. G 2018'!$N31</f>
        <v>0</v>
      </c>
      <c r="D32" s="631">
        <f>'Sch. G 2018'!O31+'Sch. G 2018'!P31</f>
        <v>0</v>
      </c>
      <c r="E32" s="265" t="str">
        <f t="shared" si="0"/>
        <v/>
      </c>
      <c r="F32" s="182">
        <f>-'Sch. G 2019'!$N31</f>
        <v>0</v>
      </c>
      <c r="G32" s="631">
        <f>'Sch. G 2019'!O31+'Sch. G 2019'!P31</f>
        <v>0</v>
      </c>
      <c r="H32" s="265" t="str">
        <f t="shared" si="1"/>
        <v/>
      </c>
      <c r="I32" s="182">
        <f>-'Sch. G 2020'!$N31</f>
        <v>0</v>
      </c>
      <c r="J32" s="631">
        <f>'Sch. G 2020'!O31+'Sch. G 2020'!P31</f>
        <v>0</v>
      </c>
      <c r="K32" s="265" t="str">
        <f t="shared" si="2"/>
        <v/>
      </c>
      <c r="L32" s="182">
        <f>-'Sch. G 2021'!$N31</f>
        <v>0</v>
      </c>
      <c r="M32" s="631">
        <f>'Sch. G 2021'!O31+'Sch. G 2021'!P31</f>
        <v>0</v>
      </c>
      <c r="N32" s="265" t="str">
        <f t="shared" si="3"/>
        <v/>
      </c>
      <c r="O32" s="182">
        <f>-'Sch. G 2022'!$N31</f>
        <v>0</v>
      </c>
      <c r="P32" s="631">
        <f>'Sch. G 2022'!O31+'Sch. G 2022'!P31</f>
        <v>0</v>
      </c>
      <c r="Q32" s="265" t="str">
        <f t="shared" si="4"/>
        <v/>
      </c>
      <c r="R32" s="264">
        <f t="shared" si="5"/>
        <v>0</v>
      </c>
      <c r="S32" s="634">
        <f t="shared" si="6"/>
        <v>0</v>
      </c>
      <c r="T32" s="265" t="str">
        <f t="shared" si="7"/>
        <v/>
      </c>
      <c r="U32" s="668">
        <v>0</v>
      </c>
      <c r="V32" s="673">
        <v>0</v>
      </c>
      <c r="W32" s="668">
        <f t="shared" si="8"/>
        <v>0</v>
      </c>
      <c r="X32" s="673">
        <f t="shared" si="9"/>
        <v>0</v>
      </c>
      <c r="Y32" s="635" t="str">
        <f t="shared" si="10"/>
        <v/>
      </c>
    </row>
    <row r="33" spans="1:25" ht="12.75">
      <c r="A33" s="633" t="s">
        <v>208</v>
      </c>
      <c r="B33" s="260" t="s">
        <v>82</v>
      </c>
      <c r="C33" s="182">
        <f>-'Sch. G 2018'!$N32</f>
        <v>0</v>
      </c>
      <c r="D33" s="631">
        <f>'Sch. G 2018'!O32+'Sch. G 2018'!P32</f>
        <v>0</v>
      </c>
      <c r="E33" s="265" t="str">
        <f t="shared" si="0"/>
        <v/>
      </c>
      <c r="F33" s="182">
        <f>-'Sch. G 2019'!$N32</f>
        <v>84753.699999999997</v>
      </c>
      <c r="G33" s="631">
        <f>'Sch. G 2019'!O32+'Sch. G 2019'!P32</f>
        <v>0</v>
      </c>
      <c r="H33" s="265" t="str">
        <f t="shared" si="1"/>
        <v/>
      </c>
      <c r="I33" s="182">
        <f>-'Sch. G 2020'!$N32</f>
        <v>101949.61000000002</v>
      </c>
      <c r="J33" s="631">
        <f>'Sch. G 2020'!O32+'Sch. G 2020'!P32</f>
        <v>0</v>
      </c>
      <c r="K33" s="265" t="str">
        <f t="shared" si="2"/>
        <v/>
      </c>
      <c r="L33" s="182">
        <f>-'Sch. G 2021'!$N32</f>
        <v>0</v>
      </c>
      <c r="M33" s="631">
        <f>'Sch. G 2021'!O32+'Sch. G 2021'!P32</f>
        <v>0</v>
      </c>
      <c r="N33" s="265" t="str">
        <f t="shared" si="3"/>
        <v/>
      </c>
      <c r="O33" s="182">
        <f>-'Sch. G 2022'!$N32</f>
        <v>41870.469999999994</v>
      </c>
      <c r="P33" s="631">
        <f>'Sch. G 2022'!O32+'Sch. G 2022'!P32</f>
        <v>0</v>
      </c>
      <c r="Q33" s="265" t="str">
        <f t="shared" si="4"/>
        <v/>
      </c>
      <c r="R33" s="264">
        <f t="shared" si="5"/>
        <v>228574</v>
      </c>
      <c r="S33" s="634">
        <f t="shared" si="6"/>
        <v>0</v>
      </c>
      <c r="T33" s="265" t="str">
        <f t="shared" si="7"/>
        <v/>
      </c>
      <c r="U33" s="668">
        <v>0</v>
      </c>
      <c r="V33" s="673">
        <v>0</v>
      </c>
      <c r="W33" s="668">
        <f t="shared" si="8"/>
        <v>228574</v>
      </c>
      <c r="X33" s="673">
        <f t="shared" si="9"/>
        <v>0</v>
      </c>
      <c r="Y33" s="635" t="str">
        <f t="shared" si="10"/>
        <v/>
      </c>
    </row>
    <row r="34" spans="1:25" ht="12.75">
      <c r="A34" s="633">
        <v>3910</v>
      </c>
      <c r="B34" s="260" t="s">
        <v>109</v>
      </c>
      <c r="C34" s="182">
        <f>-'Sch. G 2018'!$N33</f>
        <v>20651.25</v>
      </c>
      <c r="D34" s="631">
        <f>'Sch. G 2018'!O33+'Sch. G 2018'!P33</f>
        <v>0</v>
      </c>
      <c r="E34" s="265" t="str">
        <f t="shared" si="0"/>
        <v/>
      </c>
      <c r="F34" s="182">
        <f>-'Sch. G 2019'!$N33</f>
        <v>117964</v>
      </c>
      <c r="G34" s="631">
        <f>'Sch. G 2019'!O33+'Sch. G 2019'!P33</f>
        <v>0</v>
      </c>
      <c r="H34" s="265" t="str">
        <f t="shared" si="1"/>
        <v/>
      </c>
      <c r="I34" s="182">
        <f>-'Sch. G 2020'!$N33</f>
        <v>50480.710000000006</v>
      </c>
      <c r="J34" s="631">
        <f>'Sch. G 2020'!O33+'Sch. G 2020'!P33</f>
        <v>0</v>
      </c>
      <c r="K34" s="265" t="str">
        <f t="shared" si="2"/>
        <v/>
      </c>
      <c r="L34" s="182">
        <f>-'Sch. G 2021'!$N33</f>
        <v>29119.200000000001</v>
      </c>
      <c r="M34" s="631">
        <f>'Sch. G 2021'!O33+'Sch. G 2021'!P33</f>
        <v>0</v>
      </c>
      <c r="N34" s="265" t="str">
        <f t="shared" si="3"/>
        <v/>
      </c>
      <c r="O34" s="182">
        <f>-'Sch. G 2022'!$N33</f>
        <v>231790.39999999999</v>
      </c>
      <c r="P34" s="631">
        <f>'Sch. G 2022'!O33+'Sch. G 2022'!P33</f>
        <v>0</v>
      </c>
      <c r="Q34" s="265" t="str">
        <f t="shared" si="4"/>
        <v/>
      </c>
      <c r="R34" s="264">
        <f t="shared" si="5"/>
        <v>450006</v>
      </c>
      <c r="S34" s="634">
        <f t="shared" si="6"/>
        <v>0</v>
      </c>
      <c r="T34" s="265" t="str">
        <f t="shared" si="7"/>
        <v/>
      </c>
      <c r="U34" s="668">
        <v>0</v>
      </c>
      <c r="V34" s="673">
        <v>0</v>
      </c>
      <c r="W34" s="668">
        <f t="shared" si="8"/>
        <v>450006</v>
      </c>
      <c r="X34" s="673">
        <f t="shared" si="9"/>
        <v>0</v>
      </c>
      <c r="Y34" s="635" t="str">
        <f t="shared" si="10"/>
        <v/>
      </c>
    </row>
    <row r="35" spans="1:25" ht="12.75">
      <c r="A35" s="633">
        <v>3912</v>
      </c>
      <c r="B35" s="260" t="s">
        <v>345</v>
      </c>
      <c r="C35" s="182">
        <f>-'Sch. G 2018'!$N34</f>
        <v>0</v>
      </c>
      <c r="D35" s="631">
        <f>'Sch. G 2018'!O34+'Sch. G 2018'!P34</f>
        <v>0</v>
      </c>
      <c r="E35" s="265" t="str">
        <f t="shared" si="0"/>
        <v/>
      </c>
      <c r="F35" s="182">
        <f>-'Sch. G 2019'!$N34</f>
        <v>1212.8900000000001</v>
      </c>
      <c r="G35" s="631">
        <f>'Sch. G 2019'!O34+'Sch. G 2019'!P34</f>
        <v>0</v>
      </c>
      <c r="H35" s="265" t="str">
        <f t="shared" si="1"/>
        <v/>
      </c>
      <c r="I35" s="182">
        <f>-'Sch. G 2020'!$N34</f>
        <v>740055.60999999987</v>
      </c>
      <c r="J35" s="631">
        <f>'Sch. G 2020'!O34+'Sch. G 2020'!P34</f>
        <v>0</v>
      </c>
      <c r="K35" s="265" t="str">
        <f t="shared" si="2"/>
        <v/>
      </c>
      <c r="L35" s="182">
        <f>-'Sch. G 2021'!$N34</f>
        <v>148350.79999999999</v>
      </c>
      <c r="M35" s="631">
        <f>'Sch. G 2021'!O34+'Sch. G 2021'!P34</f>
        <v>0</v>
      </c>
      <c r="N35" s="265" t="str">
        <f t="shared" si="3"/>
        <v/>
      </c>
      <c r="O35" s="182">
        <f>-'Sch. G 2022'!$N34</f>
        <v>5251.4700000000003</v>
      </c>
      <c r="P35" s="631">
        <f>'Sch. G 2022'!O34+'Sch. G 2022'!P34</f>
        <v>0</v>
      </c>
      <c r="Q35" s="265" t="str">
        <f t="shared" si="4"/>
        <v/>
      </c>
      <c r="R35" s="264">
        <f t="shared" si="5"/>
        <v>894871</v>
      </c>
      <c r="S35" s="634">
        <f t="shared" si="6"/>
        <v>0</v>
      </c>
      <c r="T35" s="265" t="str">
        <f t="shared" si="7"/>
        <v/>
      </c>
      <c r="U35" s="668">
        <v>0</v>
      </c>
      <c r="V35" s="673">
        <v>0</v>
      </c>
      <c r="W35" s="668">
        <f t="shared" si="8"/>
        <v>894871</v>
      </c>
      <c r="X35" s="673">
        <f t="shared" si="9"/>
        <v>0</v>
      </c>
      <c r="Y35" s="635" t="str">
        <f t="shared" si="10"/>
        <v/>
      </c>
    </row>
    <row r="36" spans="1:25" ht="12.75">
      <c r="A36" s="633">
        <v>3913</v>
      </c>
      <c r="B36" s="260" t="s">
        <v>113</v>
      </c>
      <c r="C36" s="182">
        <f>-'Sch. G 2018'!$N35</f>
        <v>0</v>
      </c>
      <c r="D36" s="631">
        <f>'Sch. G 2018'!O35+'Sch. G 2018'!P35</f>
        <v>0</v>
      </c>
      <c r="E36" s="265" t="str">
        <f t="shared" si="0"/>
        <v/>
      </c>
      <c r="F36" s="182">
        <f>-'Sch. G 2019'!$N35</f>
        <v>363442.77000000002</v>
      </c>
      <c r="G36" s="631">
        <f>'Sch. G 2019'!O35+'Sch. G 2019'!P35</f>
        <v>18000</v>
      </c>
      <c r="H36" s="265">
        <f t="shared" si="1"/>
        <v>0.049526366971063968</v>
      </c>
      <c r="I36" s="182">
        <f>-'Sch. G 2020'!$N35</f>
        <v>55494.500000000007</v>
      </c>
      <c r="J36" s="631">
        <f>'Sch. G 2020'!O35+'Sch. G 2020'!P35</f>
        <v>0</v>
      </c>
      <c r="K36" s="265" t="str">
        <f t="shared" si="2"/>
        <v/>
      </c>
      <c r="L36" s="182">
        <f>-'Sch. G 2021'!$N35</f>
        <v>1749.8399999999999</v>
      </c>
      <c r="M36" s="631">
        <f>'Sch. G 2021'!O35+'Sch. G 2021'!P35</f>
        <v>0</v>
      </c>
      <c r="N36" s="265" t="str">
        <f t="shared" si="3"/>
        <v/>
      </c>
      <c r="O36" s="182">
        <f>-'Sch. G 2022'!$N35</f>
        <v>379122.45000000001</v>
      </c>
      <c r="P36" s="631">
        <f>'Sch. G 2022'!O35+'Sch. G 2022'!P35</f>
        <v>0</v>
      </c>
      <c r="Q36" s="265" t="str">
        <f t="shared" si="4"/>
        <v/>
      </c>
      <c r="R36" s="264">
        <f t="shared" si="5"/>
        <v>799810</v>
      </c>
      <c r="S36" s="634">
        <f t="shared" si="6"/>
        <v>18000</v>
      </c>
      <c r="T36" s="265">
        <f t="shared" si="7"/>
        <v>0.022505345019442118</v>
      </c>
      <c r="U36" s="668">
        <v>0</v>
      </c>
      <c r="V36" s="673">
        <v>0</v>
      </c>
      <c r="W36" s="668">
        <f t="shared" si="8"/>
        <v>799810</v>
      </c>
      <c r="X36" s="673">
        <f t="shared" si="9"/>
        <v>18000</v>
      </c>
      <c r="Y36" s="635">
        <f t="shared" si="10"/>
        <v>0.022505345019442118</v>
      </c>
    </row>
    <row r="37" spans="1:25" ht="12.75">
      <c r="A37" s="633">
        <v>3914</v>
      </c>
      <c r="B37" s="260" t="s">
        <v>115</v>
      </c>
      <c r="C37" s="182">
        <f>-'Sch. G 2018'!$N36</f>
        <v>0</v>
      </c>
      <c r="D37" s="631">
        <f>'Sch. G 2018'!O36+'Sch. G 2018'!P36</f>
        <v>0</v>
      </c>
      <c r="E37" s="265" t="str">
        <f t="shared" si="0"/>
        <v/>
      </c>
      <c r="F37" s="182">
        <f>-'Sch. G 2019'!$N36</f>
        <v>12311.25</v>
      </c>
      <c r="G37" s="631">
        <f>'Sch. G 2019'!O36+'Sch. G 2019'!P36</f>
        <v>0</v>
      </c>
      <c r="H37" s="265" t="str">
        <f t="shared" si="1"/>
        <v/>
      </c>
      <c r="I37" s="182">
        <f>-'Sch. G 2020'!$N36</f>
        <v>2584297.6899999999</v>
      </c>
      <c r="J37" s="631">
        <f>'Sch. G 2020'!O36+'Sch. G 2020'!P36</f>
        <v>0</v>
      </c>
      <c r="K37" s="265" t="str">
        <f t="shared" si="2"/>
        <v/>
      </c>
      <c r="L37" s="182">
        <f>-'Sch. G 2021'!$N36</f>
        <v>28394.57</v>
      </c>
      <c r="M37" s="631">
        <f>'Sch. G 2021'!O36+'Sch. G 2021'!P36</f>
        <v>0</v>
      </c>
      <c r="N37" s="265" t="str">
        <f t="shared" si="3"/>
        <v/>
      </c>
      <c r="O37" s="182">
        <f>-'Sch. G 2022'!$N36</f>
        <v>0</v>
      </c>
      <c r="P37" s="631">
        <f>'Sch. G 2022'!O36+'Sch. G 2022'!P36</f>
        <v>0</v>
      </c>
      <c r="Q37" s="265" t="str">
        <f t="shared" si="4"/>
        <v/>
      </c>
      <c r="R37" s="264">
        <f t="shared" si="5"/>
        <v>2625004</v>
      </c>
      <c r="S37" s="634">
        <f t="shared" si="6"/>
        <v>0</v>
      </c>
      <c r="T37" s="265" t="str">
        <f t="shared" si="7"/>
        <v/>
      </c>
      <c r="U37" s="668">
        <v>0</v>
      </c>
      <c r="V37" s="673">
        <v>0</v>
      </c>
      <c r="W37" s="668">
        <f t="shared" si="8"/>
        <v>2625004</v>
      </c>
      <c r="X37" s="673">
        <f t="shared" si="9"/>
        <v>0</v>
      </c>
      <c r="Y37" s="635" t="str">
        <f t="shared" si="10"/>
        <v/>
      </c>
    </row>
    <row r="38" spans="1:25" ht="12.75">
      <c r="A38" s="633">
        <v>3921</v>
      </c>
      <c r="B38" s="260" t="s">
        <v>116</v>
      </c>
      <c r="C38" s="182">
        <f>-'Sch. G 2018'!$N37</f>
        <v>45858.610000000001</v>
      </c>
      <c r="D38" s="631">
        <f>'Sch. G 2018'!O37+'Sch. G 2018'!P37</f>
        <v>0</v>
      </c>
      <c r="E38" s="265" t="str">
        <f t="shared" si="0"/>
        <v/>
      </c>
      <c r="F38" s="182">
        <f>-'Sch. G 2019'!$N37</f>
        <v>19778.849999999999</v>
      </c>
      <c r="G38" s="631">
        <f>'Sch. G 2019'!O37+'Sch. G 2019'!P37</f>
        <v>0</v>
      </c>
      <c r="H38" s="265" t="str">
        <f t="shared" si="1"/>
        <v/>
      </c>
      <c r="I38" s="182">
        <f>-'Sch. G 2020'!$N37</f>
        <v>0</v>
      </c>
      <c r="J38" s="631">
        <f>'Sch. G 2020'!O37+'Sch. G 2020'!P37</f>
        <v>0</v>
      </c>
      <c r="K38" s="265" t="str">
        <f t="shared" si="2"/>
        <v/>
      </c>
      <c r="L38" s="182">
        <f>-'Sch. G 2021'!$N37</f>
        <v>0</v>
      </c>
      <c r="M38" s="631">
        <f>'Sch. G 2021'!O37+'Sch. G 2021'!P37</f>
        <v>0</v>
      </c>
      <c r="N38" s="265" t="str">
        <f t="shared" si="3"/>
        <v/>
      </c>
      <c r="O38" s="182">
        <f>-'Sch. G 2022'!$N37</f>
        <v>58922.349999999999</v>
      </c>
      <c r="P38" s="631">
        <f>'Sch. G 2022'!O37+'Sch. G 2022'!P37</f>
        <v>14000</v>
      </c>
      <c r="Q38" s="265">
        <f t="shared" si="4"/>
        <v>0.23760084246470142</v>
      </c>
      <c r="R38" s="264">
        <f t="shared" si="5"/>
        <v>124560</v>
      </c>
      <c r="S38" s="634">
        <f t="shared" si="6"/>
        <v>14000</v>
      </c>
      <c r="T38" s="265">
        <f t="shared" si="7"/>
        <v>0.1123956326268465</v>
      </c>
      <c r="U38" s="668">
        <v>0</v>
      </c>
      <c r="V38" s="673">
        <v>15300</v>
      </c>
      <c r="W38" s="668">
        <f t="shared" si="8"/>
        <v>124560</v>
      </c>
      <c r="X38" s="673">
        <f t="shared" si="9"/>
        <v>29300</v>
      </c>
      <c r="Y38" s="635">
        <f t="shared" si="10"/>
        <v>0.23522800256904303</v>
      </c>
    </row>
    <row r="39" spans="1:25" ht="12.75">
      <c r="A39" s="633">
        <v>3922</v>
      </c>
      <c r="B39" s="260" t="s">
        <v>117</v>
      </c>
      <c r="C39" s="182">
        <f>-'Sch. G 2018'!$N38</f>
        <v>1222787.55</v>
      </c>
      <c r="D39" s="631">
        <f>'Sch. G 2018'!O38+'Sch. G 2018'!P38</f>
        <v>198087.29999999999</v>
      </c>
      <c r="E39" s="265">
        <f t="shared" si="0"/>
        <v>0.16199649726561247</v>
      </c>
      <c r="F39" s="182">
        <f>-'Sch. G 2019'!$N38</f>
        <v>228907.79000000004</v>
      </c>
      <c r="G39" s="631">
        <f>'Sch. G 2019'!O38+'Sch. G 2019'!P38</f>
        <v>21805.799999999999</v>
      </c>
      <c r="H39" s="265">
        <f t="shared" si="1"/>
        <v>0.095260191887746565</v>
      </c>
      <c r="I39" s="182">
        <f>-'Sch. G 2020'!$N38</f>
        <v>129559.45999999999</v>
      </c>
      <c r="J39" s="631">
        <f>'Sch. G 2020'!O38+'Sch. G 2020'!P38</f>
        <v>18953</v>
      </c>
      <c r="K39" s="265">
        <f t="shared" si="2"/>
        <v>0.14628804411503415</v>
      </c>
      <c r="L39" s="182">
        <f>-'Sch. G 2021'!$N38</f>
        <v>415435.84000000008</v>
      </c>
      <c r="M39" s="631">
        <f>'Sch. G 2021'!O38+'Sch. G 2021'!P38</f>
        <v>74577</v>
      </c>
      <c r="N39" s="265">
        <f t="shared" si="3"/>
        <v>0.17951508468792673</v>
      </c>
      <c r="O39" s="182">
        <f>-'Sch. G 2022'!$N38</f>
        <v>287324</v>
      </c>
      <c r="P39" s="631">
        <f>'Sch. G 2022'!O38+'Sch. G 2022'!P38</f>
        <v>62000</v>
      </c>
      <c r="Q39" s="265">
        <f t="shared" si="4"/>
        <v>0.21578427141484874</v>
      </c>
      <c r="R39" s="264">
        <f t="shared" si="5"/>
        <v>2284015</v>
      </c>
      <c r="S39" s="634">
        <f t="shared" si="6"/>
        <v>375423</v>
      </c>
      <c r="T39" s="265">
        <f t="shared" si="7"/>
        <v>0.16436976114430071</v>
      </c>
      <c r="U39" s="668">
        <f>SUM('Sch. L'!F166:F167)</f>
        <v>80940</v>
      </c>
      <c r="V39" s="673">
        <v>20613.630000000001</v>
      </c>
      <c r="W39" s="668">
        <f t="shared" si="8"/>
        <v>2364955</v>
      </c>
      <c r="X39" s="673">
        <f t="shared" si="9"/>
        <v>396036.63</v>
      </c>
      <c r="Y39" s="635">
        <f t="shared" si="10"/>
        <v>0.16746053518988735</v>
      </c>
    </row>
    <row r="40" spans="1:25" ht="12.75">
      <c r="A40" s="633">
        <v>3923</v>
      </c>
      <c r="B40" s="260" t="s">
        <v>346</v>
      </c>
      <c r="C40" s="182">
        <f>-'Sch. G 2018'!$N39</f>
        <v>0</v>
      </c>
      <c r="D40" s="631">
        <f>'Sch. G 2018'!O39+'Sch. G 2018'!P39</f>
        <v>0</v>
      </c>
      <c r="E40" s="265" t="str">
        <f t="shared" si="0"/>
        <v/>
      </c>
      <c r="F40" s="182">
        <f>-'Sch. G 2019'!$N39</f>
        <v>0</v>
      </c>
      <c r="G40" s="631">
        <f>'Sch. G 2019'!O39+'Sch. G 2019'!P39</f>
        <v>0</v>
      </c>
      <c r="H40" s="265" t="str">
        <f t="shared" si="1"/>
        <v/>
      </c>
      <c r="I40" s="182">
        <f>-'Sch. G 2020'!$N39</f>
        <v>0</v>
      </c>
      <c r="J40" s="631">
        <f>'Sch. G 2020'!O39+'Sch. G 2020'!P39</f>
        <v>0</v>
      </c>
      <c r="K40" s="265" t="str">
        <f t="shared" si="2"/>
        <v/>
      </c>
      <c r="L40" s="182">
        <f>-'Sch. G 2021'!$N39</f>
        <v>0</v>
      </c>
      <c r="M40" s="631">
        <f>'Sch. G 2021'!O39+'Sch. G 2021'!P39</f>
        <v>0</v>
      </c>
      <c r="N40" s="265" t="str">
        <f t="shared" si="3"/>
        <v/>
      </c>
      <c r="O40" s="182">
        <f>-'Sch. G 2022'!$N39</f>
        <v>0</v>
      </c>
      <c r="P40" s="631">
        <f>'Sch. G 2022'!O39+'Sch. G 2022'!P39</f>
        <v>0</v>
      </c>
      <c r="Q40" s="265" t="str">
        <f t="shared" si="4"/>
        <v/>
      </c>
      <c r="R40" s="264">
        <f t="shared" si="5"/>
        <v>0</v>
      </c>
      <c r="S40" s="634">
        <f t="shared" si="6"/>
        <v>0</v>
      </c>
      <c r="T40" s="265" t="str">
        <f t="shared" si="7"/>
        <v/>
      </c>
      <c r="U40" s="668">
        <v>0</v>
      </c>
      <c r="V40" s="673">
        <v>0</v>
      </c>
      <c r="W40" s="668">
        <f t="shared" si="8"/>
        <v>0</v>
      </c>
      <c r="X40" s="673">
        <f t="shared" si="9"/>
        <v>0</v>
      </c>
      <c r="Y40" s="635" t="str">
        <f t="shared" si="10"/>
        <v/>
      </c>
    </row>
    <row r="41" spans="1:25" ht="12.75">
      <c r="A41" s="633">
        <v>3924</v>
      </c>
      <c r="B41" s="260" t="s">
        <v>347</v>
      </c>
      <c r="C41" s="182">
        <f>-'Sch. G 2018'!$N40</f>
        <v>17685.040000000001</v>
      </c>
      <c r="D41" s="631">
        <f>'Sch. G 2018'!O40+'Sch. G 2018'!P40</f>
        <v>0</v>
      </c>
      <c r="E41" s="265" t="str">
        <f t="shared" si="0"/>
        <v/>
      </c>
      <c r="F41" s="182">
        <f>-'Sch. G 2019'!$N40</f>
        <v>7855.9399999999996</v>
      </c>
      <c r="G41" s="631">
        <f>'Sch. G 2019'!O40+'Sch. G 2019'!P40</f>
        <v>0</v>
      </c>
      <c r="H41" s="265" t="str">
        <f t="shared" si="1"/>
        <v/>
      </c>
      <c r="I41" s="182">
        <f>-'Sch. G 2020'!$N40</f>
        <v>0</v>
      </c>
      <c r="J41" s="631">
        <f>'Sch. G 2020'!O40+'Sch. G 2020'!P40</f>
        <v>0</v>
      </c>
      <c r="K41" s="265" t="str">
        <f t="shared" si="2"/>
        <v/>
      </c>
      <c r="L41" s="182">
        <f>-'Sch. G 2021'!$N40</f>
        <v>0</v>
      </c>
      <c r="M41" s="631">
        <f>'Sch. G 2021'!O40+'Sch. G 2021'!P40</f>
        <v>0</v>
      </c>
      <c r="N41" s="265" t="str">
        <f t="shared" si="3"/>
        <v/>
      </c>
      <c r="O41" s="182">
        <f>-'Sch. G 2022'!$N40</f>
        <v>0</v>
      </c>
      <c r="P41" s="631">
        <f>'Sch. G 2022'!O40+'Sch. G 2022'!P40</f>
        <v>0</v>
      </c>
      <c r="Q41" s="265" t="str">
        <f t="shared" si="4"/>
        <v/>
      </c>
      <c r="R41" s="264">
        <f t="shared" si="5"/>
        <v>25541</v>
      </c>
      <c r="S41" s="634">
        <f t="shared" si="6"/>
        <v>0</v>
      </c>
      <c r="T41" s="265" t="str">
        <f t="shared" si="7"/>
        <v/>
      </c>
      <c r="U41" s="668">
        <v>0</v>
      </c>
      <c r="V41" s="673">
        <v>0</v>
      </c>
      <c r="W41" s="668">
        <f t="shared" si="8"/>
        <v>25541</v>
      </c>
      <c r="X41" s="673">
        <f t="shared" si="9"/>
        <v>0</v>
      </c>
      <c r="Y41" s="635" t="str">
        <f t="shared" si="10"/>
        <v/>
      </c>
    </row>
    <row r="42" spans="1:25" ht="12.75">
      <c r="A42" s="633" t="s">
        <v>209</v>
      </c>
      <c r="B42" s="260" t="s">
        <v>120</v>
      </c>
      <c r="C42" s="182">
        <f>-'Sch. G 2018'!$N41</f>
        <v>0</v>
      </c>
      <c r="D42" s="631">
        <f>'Sch. G 2018'!O41+'Sch. G 2018'!P41</f>
        <v>0</v>
      </c>
      <c r="E42" s="265" t="str">
        <f t="shared" si="0"/>
        <v/>
      </c>
      <c r="F42" s="182">
        <f>-'Sch. G 2019'!$N41</f>
        <v>7116.5900000000001</v>
      </c>
      <c r="G42" s="631">
        <f>'Sch. G 2019'!O41+'Sch. G 2019'!P41</f>
        <v>0</v>
      </c>
      <c r="H42" s="265" t="str">
        <f t="shared" si="1"/>
        <v/>
      </c>
      <c r="I42" s="182">
        <f>-'Sch. G 2020'!$N41</f>
        <v>0</v>
      </c>
      <c r="J42" s="631">
        <f>'Sch. G 2020'!O41+'Sch. G 2020'!P41</f>
        <v>0</v>
      </c>
      <c r="K42" s="265" t="str">
        <f t="shared" si="2"/>
        <v/>
      </c>
      <c r="L42" s="182">
        <f>-'Sch. G 2021'!$N41</f>
        <v>0</v>
      </c>
      <c r="M42" s="631">
        <f>'Sch. G 2021'!O41+'Sch. G 2021'!P41</f>
        <v>0</v>
      </c>
      <c r="N42" s="265" t="str">
        <f t="shared" si="3"/>
        <v/>
      </c>
      <c r="O42" s="182">
        <f>-'Sch. G 2022'!$N41</f>
        <v>524.38999999999999</v>
      </c>
      <c r="P42" s="631">
        <f>'Sch. G 2022'!O41+'Sch. G 2022'!P41</f>
        <v>0</v>
      </c>
      <c r="Q42" s="265" t="str">
        <f t="shared" si="4"/>
        <v/>
      </c>
      <c r="R42" s="264">
        <f t="shared" si="5"/>
        <v>7641</v>
      </c>
      <c r="S42" s="634">
        <f t="shared" si="6"/>
        <v>0</v>
      </c>
      <c r="T42" s="265" t="str">
        <f t="shared" si="7"/>
        <v/>
      </c>
      <c r="U42" s="668">
        <v>0</v>
      </c>
      <c r="V42" s="673">
        <v>0</v>
      </c>
      <c r="W42" s="668">
        <f t="shared" si="8"/>
        <v>7641</v>
      </c>
      <c r="X42" s="673">
        <f t="shared" si="9"/>
        <v>0</v>
      </c>
      <c r="Y42" s="635" t="str">
        <f t="shared" si="10"/>
        <v/>
      </c>
    </row>
    <row r="43" spans="1:25" ht="12.75">
      <c r="A43" s="633" t="s">
        <v>210</v>
      </c>
      <c r="B43" s="260" t="s">
        <v>122</v>
      </c>
      <c r="C43" s="182">
        <f>-'Sch. G 2018'!$N42</f>
        <v>0</v>
      </c>
      <c r="D43" s="631">
        <f>'Sch. G 2018'!O42+'Sch. G 2018'!P42</f>
        <v>0</v>
      </c>
      <c r="E43" s="265" t="str">
        <f t="shared" si="0"/>
        <v/>
      </c>
      <c r="F43" s="182">
        <f>-'Sch. G 2019'!$N42</f>
        <v>319243.81999999995</v>
      </c>
      <c r="G43" s="631">
        <f>'Sch. G 2019'!O42+'Sch. G 2019'!P42</f>
        <v>0</v>
      </c>
      <c r="H43" s="265" t="str">
        <f t="shared" si="1"/>
        <v/>
      </c>
      <c r="I43" s="182">
        <f>-'Sch. G 2020'!$N42</f>
        <v>93283.25</v>
      </c>
      <c r="J43" s="631">
        <f>'Sch. G 2020'!O42+'Sch. G 2020'!P42</f>
        <v>0</v>
      </c>
      <c r="K43" s="265" t="str">
        <f t="shared" si="2"/>
        <v/>
      </c>
      <c r="L43" s="182">
        <f>-'Sch. G 2021'!$N42</f>
        <v>21726.349999999999</v>
      </c>
      <c r="M43" s="631">
        <f>'Sch. G 2021'!O42+'Sch. G 2021'!P42</f>
        <v>0</v>
      </c>
      <c r="N43" s="265" t="str">
        <f t="shared" si="3"/>
        <v/>
      </c>
      <c r="O43" s="182">
        <f>-'Sch. G 2022'!$N42</f>
        <v>29475.090000000011</v>
      </c>
      <c r="P43" s="631">
        <f>'Sch. G 2022'!O42+'Sch. G 2022'!P42</f>
        <v>0</v>
      </c>
      <c r="Q43" s="265" t="str">
        <f t="shared" si="4"/>
        <v/>
      </c>
      <c r="R43" s="264">
        <f t="shared" si="5"/>
        <v>463729</v>
      </c>
      <c r="S43" s="634">
        <f t="shared" si="6"/>
        <v>0</v>
      </c>
      <c r="T43" s="265" t="str">
        <f t="shared" si="7"/>
        <v/>
      </c>
      <c r="U43" s="668">
        <v>0</v>
      </c>
      <c r="V43" s="673">
        <v>0</v>
      </c>
      <c r="W43" s="668">
        <f t="shared" si="8"/>
        <v>463729</v>
      </c>
      <c r="X43" s="673">
        <f t="shared" si="9"/>
        <v>0</v>
      </c>
      <c r="Y43" s="635" t="str">
        <f t="shared" si="10"/>
        <v/>
      </c>
    </row>
    <row r="44" spans="1:25" ht="12.75">
      <c r="A44" s="633" t="s">
        <v>211</v>
      </c>
      <c r="B44" s="260" t="s">
        <v>124</v>
      </c>
      <c r="C44" s="182">
        <f>-'Sch. G 2018'!$N43</f>
        <v>0</v>
      </c>
      <c r="D44" s="631">
        <f>'Sch. G 2018'!O43+'Sch. G 2018'!P43</f>
        <v>0</v>
      </c>
      <c r="E44" s="265" t="str">
        <f t="shared" si="0"/>
        <v/>
      </c>
      <c r="F44" s="182">
        <f>-'Sch. G 2019'!$N43</f>
        <v>0</v>
      </c>
      <c r="G44" s="631">
        <f>'Sch. G 2019'!O43+'Sch. G 2019'!P43</f>
        <v>0</v>
      </c>
      <c r="H44" s="265" t="str">
        <f t="shared" si="1"/>
        <v/>
      </c>
      <c r="I44" s="182">
        <f>-'Sch. G 2020'!$N43</f>
        <v>0</v>
      </c>
      <c r="J44" s="631">
        <f>'Sch. G 2020'!O43+'Sch. G 2020'!P43</f>
        <v>0</v>
      </c>
      <c r="K44" s="265" t="str">
        <f t="shared" si="2"/>
        <v/>
      </c>
      <c r="L44" s="182">
        <f>-'Sch. G 2021'!$N43</f>
        <v>0</v>
      </c>
      <c r="M44" s="631">
        <f>'Sch. G 2021'!O43+'Sch. G 2021'!P43</f>
        <v>0</v>
      </c>
      <c r="N44" s="265" t="str">
        <f t="shared" si="3"/>
        <v/>
      </c>
      <c r="O44" s="182">
        <f>-'Sch. G 2022'!$N43</f>
        <v>0</v>
      </c>
      <c r="P44" s="631">
        <f>'Sch. G 2022'!O43+'Sch. G 2022'!P43</f>
        <v>0</v>
      </c>
      <c r="Q44" s="265" t="str">
        <f t="shared" si="4"/>
        <v/>
      </c>
      <c r="R44" s="264">
        <f t="shared" si="5"/>
        <v>0</v>
      </c>
      <c r="S44" s="634">
        <f t="shared" si="6"/>
        <v>0</v>
      </c>
      <c r="T44" s="265" t="str">
        <f t="shared" si="7"/>
        <v/>
      </c>
      <c r="U44" s="668">
        <v>0</v>
      </c>
      <c r="V44" s="673">
        <v>0</v>
      </c>
      <c r="W44" s="668">
        <f t="shared" si="8"/>
        <v>0</v>
      </c>
      <c r="X44" s="673">
        <f t="shared" si="9"/>
        <v>0</v>
      </c>
      <c r="Y44" s="635" t="str">
        <f t="shared" si="10"/>
        <v/>
      </c>
    </row>
    <row r="45" spans="1:25" ht="12.75">
      <c r="A45" s="633" t="s">
        <v>212</v>
      </c>
      <c r="B45" s="260" t="s">
        <v>125</v>
      </c>
      <c r="C45" s="182">
        <f>-'Sch. G 2018'!$N44</f>
        <v>0</v>
      </c>
      <c r="D45" s="631">
        <f>'Sch. G 2018'!O44+'Sch. G 2018'!P44</f>
        <v>0</v>
      </c>
      <c r="E45" s="265" t="str">
        <f t="shared" si="0"/>
        <v/>
      </c>
      <c r="F45" s="182">
        <f>-'Sch. G 2019'!$N44</f>
        <v>40024.419999999998</v>
      </c>
      <c r="G45" s="631">
        <f>'Sch. G 2019'!O44+'Sch. G 2019'!P44</f>
        <v>4800</v>
      </c>
      <c r="H45" s="265">
        <f t="shared" si="1"/>
        <v>0.11992678469794191</v>
      </c>
      <c r="I45" s="182">
        <f>-'Sch. G 2020'!$N44</f>
        <v>21532.580000000002</v>
      </c>
      <c r="J45" s="631">
        <f>'Sch. G 2020'!O44+'Sch. G 2020'!P44</f>
        <v>0</v>
      </c>
      <c r="K45" s="265" t="str">
        <f t="shared" si="2"/>
        <v/>
      </c>
      <c r="L45" s="182">
        <f>-'Sch. G 2021'!$N44</f>
        <v>60902.389999999999</v>
      </c>
      <c r="M45" s="631">
        <f>'Sch. G 2021'!O44+'Sch. G 2021'!P44</f>
        <v>0</v>
      </c>
      <c r="N45" s="265" t="str">
        <f t="shared" si="3"/>
        <v/>
      </c>
      <c r="O45" s="182">
        <f>-'Sch. G 2022'!$N44</f>
        <v>0</v>
      </c>
      <c r="P45" s="631">
        <f>'Sch. G 2022'!O44+'Sch. G 2022'!P44</f>
        <v>0</v>
      </c>
      <c r="Q45" s="265" t="str">
        <f t="shared" si="4"/>
        <v/>
      </c>
      <c r="R45" s="264">
        <f t="shared" si="5"/>
        <v>122459</v>
      </c>
      <c r="S45" s="634">
        <f t="shared" si="6"/>
        <v>4800</v>
      </c>
      <c r="T45" s="265">
        <f t="shared" si="7"/>
        <v>0.039196792395822272</v>
      </c>
      <c r="U45" s="668">
        <v>0</v>
      </c>
      <c r="V45" s="673">
        <v>0</v>
      </c>
      <c r="W45" s="668">
        <f t="shared" si="8"/>
        <v>122459</v>
      </c>
      <c r="X45" s="673">
        <f t="shared" si="9"/>
        <v>4800</v>
      </c>
      <c r="Y45" s="635">
        <f t="shared" si="10"/>
        <v>0.039196792395822272</v>
      </c>
    </row>
    <row r="46" spans="1:25" ht="12.75">
      <c r="A46" s="633" t="s">
        <v>213</v>
      </c>
      <c r="B46" s="260" t="s">
        <v>348</v>
      </c>
      <c r="C46" s="182">
        <f>-'Sch. G 2018'!$N45</f>
        <v>0</v>
      </c>
      <c r="D46" s="631">
        <f>'Sch. G 2018'!O45+'Sch. G 2018'!P45</f>
        <v>0</v>
      </c>
      <c r="E46" s="265" t="str">
        <f t="shared" si="0"/>
        <v/>
      </c>
      <c r="F46" s="182">
        <f>-'Sch. G 2019'!$N45</f>
        <v>195703.27000000002</v>
      </c>
      <c r="G46" s="631">
        <f>'Sch. G 2019'!O45+'Sch. G 2019'!P45</f>
        <v>0</v>
      </c>
      <c r="H46" s="265" t="str">
        <f t="shared" si="1"/>
        <v/>
      </c>
      <c r="I46" s="182">
        <f>-'Sch. G 2020'!$N45</f>
        <v>558711.25999999989</v>
      </c>
      <c r="J46" s="631">
        <f>'Sch. G 2020'!O45+'Sch. G 2020'!P45</f>
        <v>0</v>
      </c>
      <c r="K46" s="265" t="str">
        <f t="shared" si="2"/>
        <v/>
      </c>
      <c r="L46" s="182">
        <f>-'Sch. G 2021'!$N45</f>
        <v>90946.139999999999</v>
      </c>
      <c r="M46" s="631">
        <f>'Sch. G 2021'!O45+'Sch. G 2021'!P45</f>
        <v>0</v>
      </c>
      <c r="N46" s="265" t="str">
        <f t="shared" si="3"/>
        <v/>
      </c>
      <c r="O46" s="182">
        <f>-'Sch. G 2022'!$N45</f>
        <v>296215.89999999997</v>
      </c>
      <c r="P46" s="631">
        <f>'Sch. G 2022'!O45+'Sch. G 2022'!P45</f>
        <v>0</v>
      </c>
      <c r="Q46" s="265" t="str">
        <f t="shared" si="4"/>
        <v/>
      </c>
      <c r="R46" s="264">
        <f t="shared" si="5"/>
        <v>1141577</v>
      </c>
      <c r="S46" s="634">
        <f t="shared" si="6"/>
        <v>0</v>
      </c>
      <c r="T46" s="265" t="str">
        <f t="shared" si="7"/>
        <v/>
      </c>
      <c r="U46" s="668">
        <v>0</v>
      </c>
      <c r="V46" s="673">
        <v>0</v>
      </c>
      <c r="W46" s="668">
        <f t="shared" si="8"/>
        <v>1141577</v>
      </c>
      <c r="X46" s="673">
        <f t="shared" si="9"/>
        <v>0</v>
      </c>
      <c r="Y46" s="635" t="str">
        <f t="shared" si="10"/>
        <v/>
      </c>
    </row>
    <row r="47" spans="1:25" ht="12.75">
      <c r="A47" s="633" t="s">
        <v>214</v>
      </c>
      <c r="B47" s="260" t="s">
        <v>128</v>
      </c>
      <c r="C47" s="182">
        <f>-'Sch. G 2018'!$N46</f>
        <v>0</v>
      </c>
      <c r="D47" s="631">
        <f>'Sch. G 2018'!O46+'Sch. G 2018'!P46</f>
        <v>0</v>
      </c>
      <c r="E47" s="265" t="str">
        <f t="shared" si="0"/>
        <v/>
      </c>
      <c r="F47" s="182">
        <f>-'Sch. G 2019'!$N46</f>
        <v>54625.860000000001</v>
      </c>
      <c r="G47" s="631">
        <f>'Sch. G 2019'!O46+'Sch. G 2019'!P46</f>
        <v>0</v>
      </c>
      <c r="H47" s="265" t="str">
        <f t="shared" si="1"/>
        <v/>
      </c>
      <c r="I47" s="182">
        <f>-'Sch. G 2020'!$N46</f>
        <v>31574.060000000001</v>
      </c>
      <c r="J47" s="631">
        <f>'Sch. G 2020'!O46+'Sch. G 2020'!P46</f>
        <v>0</v>
      </c>
      <c r="K47" s="265" t="str">
        <f t="shared" si="2"/>
        <v/>
      </c>
      <c r="L47" s="182">
        <f>-'Sch. G 2021'!$N46</f>
        <v>0</v>
      </c>
      <c r="M47" s="631">
        <f>'Sch. G 2021'!O46+'Sch. G 2021'!P46</f>
        <v>0</v>
      </c>
      <c r="N47" s="265" t="str">
        <f t="shared" si="3"/>
        <v/>
      </c>
      <c r="O47" s="182">
        <f>-'Sch. G 2022'!$N46</f>
        <v>20177.709999999999</v>
      </c>
      <c r="P47" s="631">
        <f>'Sch. G 2022'!O46+'Sch. G 2022'!P46</f>
        <v>0</v>
      </c>
      <c r="Q47" s="265" t="str">
        <f t="shared" si="4"/>
        <v/>
      </c>
      <c r="R47" s="264">
        <f t="shared" si="5"/>
        <v>106378</v>
      </c>
      <c r="S47" s="634">
        <f t="shared" si="6"/>
        <v>0</v>
      </c>
      <c r="T47" s="265" t="str">
        <f t="shared" si="7"/>
        <v/>
      </c>
      <c r="U47" s="668">
        <v>0</v>
      </c>
      <c r="V47" s="673">
        <v>0</v>
      </c>
      <c r="W47" s="668">
        <f t="shared" si="8"/>
        <v>106378</v>
      </c>
      <c r="X47" s="673">
        <f t="shared" si="9"/>
        <v>0</v>
      </c>
      <c r="Y47" s="635" t="str">
        <f t="shared" si="10"/>
        <v/>
      </c>
    </row>
    <row r="48" spans="1:25" ht="12.75">
      <c r="A48" s="633" t="s">
        <v>215</v>
      </c>
      <c r="B48" s="260" t="s">
        <v>349</v>
      </c>
      <c r="C48" s="182">
        <f>-'Sch. G 2018'!$N47</f>
        <v>0</v>
      </c>
      <c r="D48" s="631">
        <f>'Sch. G 2018'!O47+'Sch. G 2018'!P47</f>
        <v>0</v>
      </c>
      <c r="E48" s="265" t="str">
        <f t="shared" si="0"/>
        <v/>
      </c>
      <c r="F48" s="182">
        <f>-'Sch. G 2019'!$N47</f>
        <v>0</v>
      </c>
      <c r="G48" s="631">
        <f>'Sch. G 2019'!O47+'Sch. G 2019'!P47</f>
        <v>0</v>
      </c>
      <c r="H48" s="265" t="str">
        <f t="shared" si="1"/>
        <v/>
      </c>
      <c r="I48" s="182">
        <f>-'Sch. G 2020'!$N47</f>
        <v>24970.339999999997</v>
      </c>
      <c r="J48" s="631">
        <f>'Sch. G 2020'!O47+'Sch. G 2020'!P47</f>
        <v>0</v>
      </c>
      <c r="K48" s="265" t="str">
        <f t="shared" si="2"/>
        <v/>
      </c>
      <c r="L48" s="182">
        <f>-'Sch. G 2021'!$N47</f>
        <v>0</v>
      </c>
      <c r="M48" s="631">
        <f>'Sch. G 2021'!O47+'Sch. G 2021'!P47</f>
        <v>0</v>
      </c>
      <c r="N48" s="265" t="str">
        <f t="shared" si="3"/>
        <v/>
      </c>
      <c r="O48" s="182">
        <f>-'Sch. G 2022'!$N47</f>
        <v>0</v>
      </c>
      <c r="P48" s="631">
        <f>'Sch. G 2022'!O47+'Sch. G 2022'!P47</f>
        <v>0</v>
      </c>
      <c r="Q48" s="265" t="str">
        <f t="shared" si="4"/>
        <v/>
      </c>
      <c r="R48" s="264">
        <f t="shared" si="5"/>
        <v>24970</v>
      </c>
      <c r="S48" s="634">
        <f t="shared" si="6"/>
        <v>0</v>
      </c>
      <c r="T48" s="265" t="str">
        <f t="shared" si="7"/>
        <v/>
      </c>
      <c r="U48" s="668">
        <v>0</v>
      </c>
      <c r="V48" s="673">
        <v>0</v>
      </c>
      <c r="W48" s="668">
        <f t="shared" si="8"/>
        <v>24970</v>
      </c>
      <c r="X48" s="673">
        <f t="shared" si="9"/>
        <v>0</v>
      </c>
      <c r="Y48" s="635" t="str">
        <f t="shared" si="10"/>
        <v/>
      </c>
    </row>
    <row r="49" spans="1:25" ht="13.5" thickBot="1">
      <c r="A49" s="636"/>
      <c r="B49" s="637" t="s">
        <v>350</v>
      </c>
      <c r="C49" s="638">
        <f>SUM(C10:C48)</f>
        <v>2314228.2700000005</v>
      </c>
      <c r="D49" s="639">
        <f>SUM(D10:D48)</f>
        <v>-1220586.3100000003</v>
      </c>
      <c r="E49" s="640"/>
      <c r="F49" s="638">
        <f>SUM(F10:F48)</f>
        <v>2831640.1999999993</v>
      </c>
      <c r="G49" s="639">
        <f>SUM(G10:G48)</f>
        <v>-1529890.1499999999</v>
      </c>
      <c r="H49" s="640"/>
      <c r="I49" s="638">
        <f>SUM(I10:I48)</f>
        <v>6026954.6499999985</v>
      </c>
      <c r="J49" s="639">
        <f>SUM(J10:J48)</f>
        <v>-1343309.8400000003</v>
      </c>
      <c r="K49" s="640"/>
      <c r="L49" s="638">
        <f>SUM(L10:L48)</f>
        <v>1851959.9100000001</v>
      </c>
      <c r="M49" s="639">
        <f>SUM(M10:M48)</f>
        <v>-1368704.6400000001</v>
      </c>
      <c r="N49" s="640"/>
      <c r="O49" s="638">
        <f>SUM(O10:O48)</f>
        <v>3937773.2300000004</v>
      </c>
      <c r="P49" s="639">
        <f>SUM(P10:P48)</f>
        <v>-1013346</v>
      </c>
      <c r="Q49" s="640"/>
      <c r="R49" s="638">
        <f>SUM(R10:R48)</f>
        <v>16962560</v>
      </c>
      <c r="S49" s="639">
        <f>SUM(S10:S48)</f>
        <v>-6475837</v>
      </c>
      <c r="T49" s="640"/>
      <c r="U49" s="728">
        <f>SUM(U10:U48)</f>
        <v>226834.16</v>
      </c>
      <c r="V49" s="729">
        <f>SUM(V10:V48)</f>
        <v>35913.629999999983</v>
      </c>
      <c r="W49" s="728">
        <f>SUM(W10:W48)</f>
        <v>17189394.16</v>
      </c>
      <c r="X49" s="729">
        <f>SUM(X10:X48)</f>
        <v>-6439923.3700000001</v>
      </c>
      <c r="Y49" s="641"/>
    </row>
  </sheetData>
  <mergeCells count="9">
    <mergeCell ref="U6:V7"/>
    <mergeCell ref="A1:N1"/>
    <mergeCell ref="A2:N2"/>
    <mergeCell ref="A3:N3"/>
    <mergeCell ref="A4:N4"/>
    <mergeCell ref="O1:Y1"/>
    <mergeCell ref="O2:Y2"/>
    <mergeCell ref="O3:Y3"/>
    <mergeCell ref="O4:Y4"/>
  </mergeCells>
  <printOptions horizontalCentered="1"/>
  <pageMargins left="0.5" right="0.5" top="1.01" bottom="0.5" header="0.5" footer="0.2"/>
  <pageSetup fitToWidth="2" orientation="landscape" scale="65" r:id="rId1"/>
  <headerFooter>
    <oddHeader>&amp;L&amp;"Arial,Bold"&amp;12Florida Public Utilities Natural Gas Division
2023 Consolidated Depreciation Study Workbook
Docket No. 20220067&amp;R&amp;"Arial,Bold"&amp;12Revised Exhibit PSL-2
Page &amp;P of 93
Schedule K</oddHeader>
    <oddFooter>&amp;C&amp;A</oddFooter>
  </headerFooter>
  <colBreaks count="1" manualBreakCount="1">
    <brk id="14" max="48"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236"/>
  <sheetViews>
    <sheetView workbookViewId="0" topLeftCell="A220">
      <selection pane="topLeft" activeCell="A220" sqref="A1:XFD1048576"/>
    </sheetView>
  </sheetViews>
  <sheetFormatPr defaultRowHeight="18" outlineLevelRow="1"/>
  <cols>
    <col min="1" max="1" width="7.57142857142857" style="287" customWidth="1"/>
    <col min="2" max="2" width="8.28571428571429" style="302" bestFit="1" customWidth="1"/>
    <col min="3" max="3" width="7.42857142857143" style="303" hidden="1" customWidth="1"/>
    <col min="4" max="4" width="37" style="287" bestFit="1" customWidth="1"/>
    <col min="5" max="5" width="12.1428571428571" style="304" customWidth="1"/>
    <col min="6" max="6" width="12.1428571428571" style="287" customWidth="1"/>
    <col min="7" max="7" width="12.1428571428571" style="304" customWidth="1"/>
    <col min="8" max="8" width="14.5714285714286" style="287" bestFit="1" customWidth="1"/>
    <col min="9" max="9" width="13.4285714285714" style="287" bestFit="1" customWidth="1"/>
    <col min="10" max="10" width="0" style="287" hidden="1" customWidth="1"/>
    <col min="11" max="256" width="8.71428571428571" style="287"/>
    <col min="257" max="257" width="7.57142857142857" style="287" customWidth="1"/>
    <col min="258" max="258" width="8.42857142857143" style="287" customWidth="1"/>
    <col min="259" max="259" width="10.5714285714286" style="287" bestFit="1" customWidth="1"/>
    <col min="260" max="260" width="36.4285714285714" style="287" bestFit="1" customWidth="1"/>
    <col min="261" max="264" width="12.1428571428571" style="287" customWidth="1"/>
    <col min="265" max="265" width="13.4285714285714" style="287" bestFit="1" customWidth="1"/>
    <col min="266" max="266" width="0" style="287" hidden="1" customWidth="1"/>
    <col min="267" max="512" width="8.71428571428571" style="287"/>
    <col min="513" max="513" width="7.57142857142857" style="287" customWidth="1"/>
    <col min="514" max="514" width="8.42857142857143" style="287" customWidth="1"/>
    <col min="515" max="515" width="10.5714285714286" style="287" bestFit="1" customWidth="1"/>
    <col min="516" max="516" width="36.4285714285714" style="287" bestFit="1" customWidth="1"/>
    <col min="517" max="520" width="12.1428571428571" style="287" customWidth="1"/>
    <col min="521" max="521" width="13.4285714285714" style="287" bestFit="1" customWidth="1"/>
    <col min="522" max="522" width="0" style="287" hidden="1" customWidth="1"/>
    <col min="523" max="768" width="8.71428571428571" style="287"/>
    <col min="769" max="769" width="7.57142857142857" style="287" customWidth="1"/>
    <col min="770" max="770" width="8.42857142857143" style="287" customWidth="1"/>
    <col min="771" max="771" width="10.5714285714286" style="287" bestFit="1" customWidth="1"/>
    <col min="772" max="772" width="36.4285714285714" style="287" bestFit="1" customWidth="1"/>
    <col min="773" max="776" width="12.1428571428571" style="287" customWidth="1"/>
    <col min="777" max="777" width="13.4285714285714" style="287" bestFit="1" customWidth="1"/>
    <col min="778" max="778" width="0" style="287" hidden="1" customWidth="1"/>
    <col min="779" max="1024" width="8.71428571428571" style="287"/>
    <col min="1025" max="1025" width="7.57142857142857" style="287" customWidth="1"/>
    <col min="1026" max="1026" width="8.42857142857143" style="287" customWidth="1"/>
    <col min="1027" max="1027" width="10.5714285714286" style="287" bestFit="1" customWidth="1"/>
    <col min="1028" max="1028" width="36.4285714285714" style="287" bestFit="1" customWidth="1"/>
    <col min="1029" max="1032" width="12.1428571428571" style="287" customWidth="1"/>
    <col min="1033" max="1033" width="13.4285714285714" style="287" bestFit="1" customWidth="1"/>
    <col min="1034" max="1034" width="0" style="287" hidden="1" customWidth="1"/>
    <col min="1035" max="1280" width="8.71428571428571" style="287"/>
    <col min="1281" max="1281" width="7.57142857142857" style="287" customWidth="1"/>
    <col min="1282" max="1282" width="8.42857142857143" style="287" customWidth="1"/>
    <col min="1283" max="1283" width="10.5714285714286" style="287" bestFit="1" customWidth="1"/>
    <col min="1284" max="1284" width="36.4285714285714" style="287" bestFit="1" customWidth="1"/>
    <col min="1285" max="1288" width="12.1428571428571" style="287" customWidth="1"/>
    <col min="1289" max="1289" width="13.4285714285714" style="287" bestFit="1" customWidth="1"/>
    <col min="1290" max="1290" width="0" style="287" hidden="1" customWidth="1"/>
    <col min="1291" max="1536" width="8.71428571428571" style="287"/>
    <col min="1537" max="1537" width="7.57142857142857" style="287" customWidth="1"/>
    <col min="1538" max="1538" width="8.42857142857143" style="287" customWidth="1"/>
    <col min="1539" max="1539" width="10.5714285714286" style="287" bestFit="1" customWidth="1"/>
    <col min="1540" max="1540" width="36.4285714285714" style="287" bestFit="1" customWidth="1"/>
    <col min="1541" max="1544" width="12.1428571428571" style="287" customWidth="1"/>
    <col min="1545" max="1545" width="13.4285714285714" style="287" bestFit="1" customWidth="1"/>
    <col min="1546" max="1546" width="0" style="287" hidden="1" customWidth="1"/>
    <col min="1547" max="1792" width="8.71428571428571" style="287"/>
    <col min="1793" max="1793" width="7.57142857142857" style="287" customWidth="1"/>
    <col min="1794" max="1794" width="8.42857142857143" style="287" customWidth="1"/>
    <col min="1795" max="1795" width="10.5714285714286" style="287" bestFit="1" customWidth="1"/>
    <col min="1796" max="1796" width="36.4285714285714" style="287" bestFit="1" customWidth="1"/>
    <col min="1797" max="1800" width="12.1428571428571" style="287" customWidth="1"/>
    <col min="1801" max="1801" width="13.4285714285714" style="287" bestFit="1" customWidth="1"/>
    <col min="1802" max="1802" width="0" style="287" hidden="1" customWidth="1"/>
    <col min="1803" max="2048" width="8.71428571428571" style="287"/>
    <col min="2049" max="2049" width="7.57142857142857" style="287" customWidth="1"/>
    <col min="2050" max="2050" width="8.42857142857143" style="287" customWidth="1"/>
    <col min="2051" max="2051" width="10.5714285714286" style="287" bestFit="1" customWidth="1"/>
    <col min="2052" max="2052" width="36.4285714285714" style="287" bestFit="1" customWidth="1"/>
    <col min="2053" max="2056" width="12.1428571428571" style="287" customWidth="1"/>
    <col min="2057" max="2057" width="13.4285714285714" style="287" bestFit="1" customWidth="1"/>
    <col min="2058" max="2058" width="0" style="287" hidden="1" customWidth="1"/>
    <col min="2059" max="2304" width="8.71428571428571" style="287"/>
    <col min="2305" max="2305" width="7.57142857142857" style="287" customWidth="1"/>
    <col min="2306" max="2306" width="8.42857142857143" style="287" customWidth="1"/>
    <col min="2307" max="2307" width="10.5714285714286" style="287" bestFit="1" customWidth="1"/>
    <col min="2308" max="2308" width="36.4285714285714" style="287" bestFit="1" customWidth="1"/>
    <col min="2309" max="2312" width="12.1428571428571" style="287" customWidth="1"/>
    <col min="2313" max="2313" width="13.4285714285714" style="287" bestFit="1" customWidth="1"/>
    <col min="2314" max="2314" width="0" style="287" hidden="1" customWidth="1"/>
    <col min="2315" max="2560" width="8.71428571428571" style="287"/>
    <col min="2561" max="2561" width="7.57142857142857" style="287" customWidth="1"/>
    <col min="2562" max="2562" width="8.42857142857143" style="287" customWidth="1"/>
    <col min="2563" max="2563" width="10.5714285714286" style="287" bestFit="1" customWidth="1"/>
    <col min="2564" max="2564" width="36.4285714285714" style="287" bestFit="1" customWidth="1"/>
    <col min="2565" max="2568" width="12.1428571428571" style="287" customWidth="1"/>
    <col min="2569" max="2569" width="13.4285714285714" style="287" bestFit="1" customWidth="1"/>
    <col min="2570" max="2570" width="0" style="287" hidden="1" customWidth="1"/>
    <col min="2571" max="2816" width="8.71428571428571" style="287"/>
    <col min="2817" max="2817" width="7.57142857142857" style="287" customWidth="1"/>
    <col min="2818" max="2818" width="8.42857142857143" style="287" customWidth="1"/>
    <col min="2819" max="2819" width="10.5714285714286" style="287" bestFit="1" customWidth="1"/>
    <col min="2820" max="2820" width="36.4285714285714" style="287" bestFit="1" customWidth="1"/>
    <col min="2821" max="2824" width="12.1428571428571" style="287" customWidth="1"/>
    <col min="2825" max="2825" width="13.4285714285714" style="287" bestFit="1" customWidth="1"/>
    <col min="2826" max="2826" width="0" style="287" hidden="1" customWidth="1"/>
    <col min="2827" max="3072" width="8.71428571428571" style="287"/>
    <col min="3073" max="3073" width="7.57142857142857" style="287" customWidth="1"/>
    <col min="3074" max="3074" width="8.42857142857143" style="287" customWidth="1"/>
    <col min="3075" max="3075" width="10.5714285714286" style="287" bestFit="1" customWidth="1"/>
    <col min="3076" max="3076" width="36.4285714285714" style="287" bestFit="1" customWidth="1"/>
    <col min="3077" max="3080" width="12.1428571428571" style="287" customWidth="1"/>
    <col min="3081" max="3081" width="13.4285714285714" style="287" bestFit="1" customWidth="1"/>
    <col min="3082" max="3082" width="0" style="287" hidden="1" customWidth="1"/>
    <col min="3083" max="3328" width="8.71428571428571" style="287"/>
    <col min="3329" max="3329" width="7.57142857142857" style="287" customWidth="1"/>
    <col min="3330" max="3330" width="8.42857142857143" style="287" customWidth="1"/>
    <col min="3331" max="3331" width="10.5714285714286" style="287" bestFit="1" customWidth="1"/>
    <col min="3332" max="3332" width="36.4285714285714" style="287" bestFit="1" customWidth="1"/>
    <col min="3333" max="3336" width="12.1428571428571" style="287" customWidth="1"/>
    <col min="3337" max="3337" width="13.4285714285714" style="287" bestFit="1" customWidth="1"/>
    <col min="3338" max="3338" width="0" style="287" hidden="1" customWidth="1"/>
    <col min="3339" max="3584" width="8.71428571428571" style="287"/>
    <col min="3585" max="3585" width="7.57142857142857" style="287" customWidth="1"/>
    <col min="3586" max="3586" width="8.42857142857143" style="287" customWidth="1"/>
    <col min="3587" max="3587" width="10.5714285714286" style="287" bestFit="1" customWidth="1"/>
    <col min="3588" max="3588" width="36.4285714285714" style="287" bestFit="1" customWidth="1"/>
    <col min="3589" max="3592" width="12.1428571428571" style="287" customWidth="1"/>
    <col min="3593" max="3593" width="13.4285714285714" style="287" bestFit="1" customWidth="1"/>
    <col min="3594" max="3594" width="0" style="287" hidden="1" customWidth="1"/>
    <col min="3595" max="3840" width="8.71428571428571" style="287"/>
    <col min="3841" max="3841" width="7.57142857142857" style="287" customWidth="1"/>
    <col min="3842" max="3842" width="8.42857142857143" style="287" customWidth="1"/>
    <col min="3843" max="3843" width="10.5714285714286" style="287" bestFit="1" customWidth="1"/>
    <col min="3844" max="3844" width="36.4285714285714" style="287" bestFit="1" customWidth="1"/>
    <col min="3845" max="3848" width="12.1428571428571" style="287" customWidth="1"/>
    <col min="3849" max="3849" width="13.4285714285714" style="287" bestFit="1" customWidth="1"/>
    <col min="3850" max="3850" width="0" style="287" hidden="1" customWidth="1"/>
    <col min="3851" max="4096" width="8.71428571428571" style="287"/>
    <col min="4097" max="4097" width="7.57142857142857" style="287" customWidth="1"/>
    <col min="4098" max="4098" width="8.42857142857143" style="287" customWidth="1"/>
    <col min="4099" max="4099" width="10.5714285714286" style="287" bestFit="1" customWidth="1"/>
    <col min="4100" max="4100" width="36.4285714285714" style="287" bestFit="1" customWidth="1"/>
    <col min="4101" max="4104" width="12.1428571428571" style="287" customWidth="1"/>
    <col min="4105" max="4105" width="13.4285714285714" style="287" bestFit="1" customWidth="1"/>
    <col min="4106" max="4106" width="0" style="287" hidden="1" customWidth="1"/>
    <col min="4107" max="4352" width="8.71428571428571" style="287"/>
    <col min="4353" max="4353" width="7.57142857142857" style="287" customWidth="1"/>
    <col min="4354" max="4354" width="8.42857142857143" style="287" customWidth="1"/>
    <col min="4355" max="4355" width="10.5714285714286" style="287" bestFit="1" customWidth="1"/>
    <col min="4356" max="4356" width="36.4285714285714" style="287" bestFit="1" customWidth="1"/>
    <col min="4357" max="4360" width="12.1428571428571" style="287" customWidth="1"/>
    <col min="4361" max="4361" width="13.4285714285714" style="287" bestFit="1" customWidth="1"/>
    <col min="4362" max="4362" width="0" style="287" hidden="1" customWidth="1"/>
    <col min="4363" max="4608" width="8.71428571428571" style="287"/>
    <col min="4609" max="4609" width="7.57142857142857" style="287" customWidth="1"/>
    <col min="4610" max="4610" width="8.42857142857143" style="287" customWidth="1"/>
    <col min="4611" max="4611" width="10.5714285714286" style="287" bestFit="1" customWidth="1"/>
    <col min="4612" max="4612" width="36.4285714285714" style="287" bestFit="1" customWidth="1"/>
    <col min="4613" max="4616" width="12.1428571428571" style="287" customWidth="1"/>
    <col min="4617" max="4617" width="13.4285714285714" style="287" bestFit="1" customWidth="1"/>
    <col min="4618" max="4618" width="0" style="287" hidden="1" customWidth="1"/>
    <col min="4619" max="4864" width="8.71428571428571" style="287"/>
    <col min="4865" max="4865" width="7.57142857142857" style="287" customWidth="1"/>
    <col min="4866" max="4866" width="8.42857142857143" style="287" customWidth="1"/>
    <col min="4867" max="4867" width="10.5714285714286" style="287" bestFit="1" customWidth="1"/>
    <col min="4868" max="4868" width="36.4285714285714" style="287" bestFit="1" customWidth="1"/>
    <col min="4869" max="4872" width="12.1428571428571" style="287" customWidth="1"/>
    <col min="4873" max="4873" width="13.4285714285714" style="287" bestFit="1" customWidth="1"/>
    <col min="4874" max="4874" width="0" style="287" hidden="1" customWidth="1"/>
    <col min="4875" max="5120" width="8.71428571428571" style="287"/>
    <col min="5121" max="5121" width="7.57142857142857" style="287" customWidth="1"/>
    <col min="5122" max="5122" width="8.42857142857143" style="287" customWidth="1"/>
    <col min="5123" max="5123" width="10.5714285714286" style="287" bestFit="1" customWidth="1"/>
    <col min="5124" max="5124" width="36.4285714285714" style="287" bestFit="1" customWidth="1"/>
    <col min="5125" max="5128" width="12.1428571428571" style="287" customWidth="1"/>
    <col min="5129" max="5129" width="13.4285714285714" style="287" bestFit="1" customWidth="1"/>
    <col min="5130" max="5130" width="0" style="287" hidden="1" customWidth="1"/>
    <col min="5131" max="5376" width="8.71428571428571" style="287"/>
    <col min="5377" max="5377" width="7.57142857142857" style="287" customWidth="1"/>
    <col min="5378" max="5378" width="8.42857142857143" style="287" customWidth="1"/>
    <col min="5379" max="5379" width="10.5714285714286" style="287" bestFit="1" customWidth="1"/>
    <col min="5380" max="5380" width="36.4285714285714" style="287" bestFit="1" customWidth="1"/>
    <col min="5381" max="5384" width="12.1428571428571" style="287" customWidth="1"/>
    <col min="5385" max="5385" width="13.4285714285714" style="287" bestFit="1" customWidth="1"/>
    <col min="5386" max="5386" width="0" style="287" hidden="1" customWidth="1"/>
    <col min="5387" max="5632" width="8.71428571428571" style="287"/>
    <col min="5633" max="5633" width="7.57142857142857" style="287" customWidth="1"/>
    <col min="5634" max="5634" width="8.42857142857143" style="287" customWidth="1"/>
    <col min="5635" max="5635" width="10.5714285714286" style="287" bestFit="1" customWidth="1"/>
    <col min="5636" max="5636" width="36.4285714285714" style="287" bestFit="1" customWidth="1"/>
    <col min="5637" max="5640" width="12.1428571428571" style="287" customWidth="1"/>
    <col min="5641" max="5641" width="13.4285714285714" style="287" bestFit="1" customWidth="1"/>
    <col min="5642" max="5642" width="0" style="287" hidden="1" customWidth="1"/>
    <col min="5643" max="5888" width="8.71428571428571" style="287"/>
    <col min="5889" max="5889" width="7.57142857142857" style="287" customWidth="1"/>
    <col min="5890" max="5890" width="8.42857142857143" style="287" customWidth="1"/>
    <col min="5891" max="5891" width="10.5714285714286" style="287" bestFit="1" customWidth="1"/>
    <col min="5892" max="5892" width="36.4285714285714" style="287" bestFit="1" customWidth="1"/>
    <col min="5893" max="5896" width="12.1428571428571" style="287" customWidth="1"/>
    <col min="5897" max="5897" width="13.4285714285714" style="287" bestFit="1" customWidth="1"/>
    <col min="5898" max="5898" width="0" style="287" hidden="1" customWidth="1"/>
    <col min="5899" max="6144" width="8.71428571428571" style="287"/>
    <col min="6145" max="6145" width="7.57142857142857" style="287" customWidth="1"/>
    <col min="6146" max="6146" width="8.42857142857143" style="287" customWidth="1"/>
    <col min="6147" max="6147" width="10.5714285714286" style="287" bestFit="1" customWidth="1"/>
    <col min="6148" max="6148" width="36.4285714285714" style="287" bestFit="1" customWidth="1"/>
    <col min="6149" max="6152" width="12.1428571428571" style="287" customWidth="1"/>
    <col min="6153" max="6153" width="13.4285714285714" style="287" bestFit="1" customWidth="1"/>
    <col min="6154" max="6154" width="0" style="287" hidden="1" customWidth="1"/>
    <col min="6155" max="6400" width="8.71428571428571" style="287"/>
    <col min="6401" max="6401" width="7.57142857142857" style="287" customWidth="1"/>
    <col min="6402" max="6402" width="8.42857142857143" style="287" customWidth="1"/>
    <col min="6403" max="6403" width="10.5714285714286" style="287" bestFit="1" customWidth="1"/>
    <col min="6404" max="6404" width="36.4285714285714" style="287" bestFit="1" customWidth="1"/>
    <col min="6405" max="6408" width="12.1428571428571" style="287" customWidth="1"/>
    <col min="6409" max="6409" width="13.4285714285714" style="287" bestFit="1" customWidth="1"/>
    <col min="6410" max="6410" width="0" style="287" hidden="1" customWidth="1"/>
    <col min="6411" max="6656" width="8.71428571428571" style="287"/>
    <col min="6657" max="6657" width="7.57142857142857" style="287" customWidth="1"/>
    <col min="6658" max="6658" width="8.42857142857143" style="287" customWidth="1"/>
    <col min="6659" max="6659" width="10.5714285714286" style="287" bestFit="1" customWidth="1"/>
    <col min="6660" max="6660" width="36.4285714285714" style="287" bestFit="1" customWidth="1"/>
    <col min="6661" max="6664" width="12.1428571428571" style="287" customWidth="1"/>
    <col min="6665" max="6665" width="13.4285714285714" style="287" bestFit="1" customWidth="1"/>
    <col min="6666" max="6666" width="0" style="287" hidden="1" customWidth="1"/>
    <col min="6667" max="6912" width="8.71428571428571" style="287"/>
    <col min="6913" max="6913" width="7.57142857142857" style="287" customWidth="1"/>
    <col min="6914" max="6914" width="8.42857142857143" style="287" customWidth="1"/>
    <col min="6915" max="6915" width="10.5714285714286" style="287" bestFit="1" customWidth="1"/>
    <col min="6916" max="6916" width="36.4285714285714" style="287" bestFit="1" customWidth="1"/>
    <col min="6917" max="6920" width="12.1428571428571" style="287" customWidth="1"/>
    <col min="6921" max="6921" width="13.4285714285714" style="287" bestFit="1" customWidth="1"/>
    <col min="6922" max="6922" width="0" style="287" hidden="1" customWidth="1"/>
    <col min="6923" max="7168" width="8.71428571428571" style="287"/>
    <col min="7169" max="7169" width="7.57142857142857" style="287" customWidth="1"/>
    <col min="7170" max="7170" width="8.42857142857143" style="287" customWidth="1"/>
    <col min="7171" max="7171" width="10.5714285714286" style="287" bestFit="1" customWidth="1"/>
    <col min="7172" max="7172" width="36.4285714285714" style="287" bestFit="1" customWidth="1"/>
    <col min="7173" max="7176" width="12.1428571428571" style="287" customWidth="1"/>
    <col min="7177" max="7177" width="13.4285714285714" style="287" bestFit="1" customWidth="1"/>
    <col min="7178" max="7178" width="0" style="287" hidden="1" customWidth="1"/>
    <col min="7179" max="7424" width="8.71428571428571" style="287"/>
    <col min="7425" max="7425" width="7.57142857142857" style="287" customWidth="1"/>
    <col min="7426" max="7426" width="8.42857142857143" style="287" customWidth="1"/>
    <col min="7427" max="7427" width="10.5714285714286" style="287" bestFit="1" customWidth="1"/>
    <col min="7428" max="7428" width="36.4285714285714" style="287" bestFit="1" customWidth="1"/>
    <col min="7429" max="7432" width="12.1428571428571" style="287" customWidth="1"/>
    <col min="7433" max="7433" width="13.4285714285714" style="287" bestFit="1" customWidth="1"/>
    <col min="7434" max="7434" width="0" style="287" hidden="1" customWidth="1"/>
    <col min="7435" max="7680" width="8.71428571428571" style="287"/>
    <col min="7681" max="7681" width="7.57142857142857" style="287" customWidth="1"/>
    <col min="7682" max="7682" width="8.42857142857143" style="287" customWidth="1"/>
    <col min="7683" max="7683" width="10.5714285714286" style="287" bestFit="1" customWidth="1"/>
    <col min="7684" max="7684" width="36.4285714285714" style="287" bestFit="1" customWidth="1"/>
    <col min="7685" max="7688" width="12.1428571428571" style="287" customWidth="1"/>
    <col min="7689" max="7689" width="13.4285714285714" style="287" bestFit="1" customWidth="1"/>
    <col min="7690" max="7690" width="0" style="287" hidden="1" customWidth="1"/>
    <col min="7691" max="7936" width="8.71428571428571" style="287"/>
    <col min="7937" max="7937" width="7.57142857142857" style="287" customWidth="1"/>
    <col min="7938" max="7938" width="8.42857142857143" style="287" customWidth="1"/>
    <col min="7939" max="7939" width="10.5714285714286" style="287" bestFit="1" customWidth="1"/>
    <col min="7940" max="7940" width="36.4285714285714" style="287" bestFit="1" customWidth="1"/>
    <col min="7941" max="7944" width="12.1428571428571" style="287" customWidth="1"/>
    <col min="7945" max="7945" width="13.4285714285714" style="287" bestFit="1" customWidth="1"/>
    <col min="7946" max="7946" width="0" style="287" hidden="1" customWidth="1"/>
    <col min="7947" max="8192" width="8.71428571428571" style="287"/>
    <col min="8193" max="8193" width="7.57142857142857" style="287" customWidth="1"/>
    <col min="8194" max="8194" width="8.42857142857143" style="287" customWidth="1"/>
    <col min="8195" max="8195" width="10.5714285714286" style="287" bestFit="1" customWidth="1"/>
    <col min="8196" max="8196" width="36.4285714285714" style="287" bestFit="1" customWidth="1"/>
    <col min="8197" max="8200" width="12.1428571428571" style="287" customWidth="1"/>
    <col min="8201" max="8201" width="13.4285714285714" style="287" bestFit="1" customWidth="1"/>
    <col min="8202" max="8202" width="0" style="287" hidden="1" customWidth="1"/>
    <col min="8203" max="8448" width="8.71428571428571" style="287"/>
    <col min="8449" max="8449" width="7.57142857142857" style="287" customWidth="1"/>
    <col min="8450" max="8450" width="8.42857142857143" style="287" customWidth="1"/>
    <col min="8451" max="8451" width="10.5714285714286" style="287" bestFit="1" customWidth="1"/>
    <col min="8452" max="8452" width="36.4285714285714" style="287" bestFit="1" customWidth="1"/>
    <col min="8453" max="8456" width="12.1428571428571" style="287" customWidth="1"/>
    <col min="8457" max="8457" width="13.4285714285714" style="287" bestFit="1" customWidth="1"/>
    <col min="8458" max="8458" width="0" style="287" hidden="1" customWidth="1"/>
    <col min="8459" max="8704" width="8.71428571428571" style="287"/>
    <col min="8705" max="8705" width="7.57142857142857" style="287" customWidth="1"/>
    <col min="8706" max="8706" width="8.42857142857143" style="287" customWidth="1"/>
    <col min="8707" max="8707" width="10.5714285714286" style="287" bestFit="1" customWidth="1"/>
    <col min="8708" max="8708" width="36.4285714285714" style="287" bestFit="1" customWidth="1"/>
    <col min="8709" max="8712" width="12.1428571428571" style="287" customWidth="1"/>
    <col min="8713" max="8713" width="13.4285714285714" style="287" bestFit="1" customWidth="1"/>
    <col min="8714" max="8714" width="0" style="287" hidden="1" customWidth="1"/>
    <col min="8715" max="8960" width="8.71428571428571" style="287"/>
    <col min="8961" max="8961" width="7.57142857142857" style="287" customWidth="1"/>
    <col min="8962" max="8962" width="8.42857142857143" style="287" customWidth="1"/>
    <col min="8963" max="8963" width="10.5714285714286" style="287" bestFit="1" customWidth="1"/>
    <col min="8964" max="8964" width="36.4285714285714" style="287" bestFit="1" customWidth="1"/>
    <col min="8965" max="8968" width="12.1428571428571" style="287" customWidth="1"/>
    <col min="8969" max="8969" width="13.4285714285714" style="287" bestFit="1" customWidth="1"/>
    <col min="8970" max="8970" width="0" style="287" hidden="1" customWidth="1"/>
    <col min="8971" max="9216" width="8.71428571428571" style="287"/>
    <col min="9217" max="9217" width="7.57142857142857" style="287" customWidth="1"/>
    <col min="9218" max="9218" width="8.42857142857143" style="287" customWidth="1"/>
    <col min="9219" max="9219" width="10.5714285714286" style="287" bestFit="1" customWidth="1"/>
    <col min="9220" max="9220" width="36.4285714285714" style="287" bestFit="1" customWidth="1"/>
    <col min="9221" max="9224" width="12.1428571428571" style="287" customWidth="1"/>
    <col min="9225" max="9225" width="13.4285714285714" style="287" bestFit="1" customWidth="1"/>
    <col min="9226" max="9226" width="0" style="287" hidden="1" customWidth="1"/>
    <col min="9227" max="9472" width="8.71428571428571" style="287"/>
    <col min="9473" max="9473" width="7.57142857142857" style="287" customWidth="1"/>
    <col min="9474" max="9474" width="8.42857142857143" style="287" customWidth="1"/>
    <col min="9475" max="9475" width="10.5714285714286" style="287" bestFit="1" customWidth="1"/>
    <col min="9476" max="9476" width="36.4285714285714" style="287" bestFit="1" customWidth="1"/>
    <col min="9477" max="9480" width="12.1428571428571" style="287" customWidth="1"/>
    <col min="9481" max="9481" width="13.4285714285714" style="287" bestFit="1" customWidth="1"/>
    <col min="9482" max="9482" width="0" style="287" hidden="1" customWidth="1"/>
    <col min="9483" max="9728" width="8.71428571428571" style="287"/>
    <col min="9729" max="9729" width="7.57142857142857" style="287" customWidth="1"/>
    <col min="9730" max="9730" width="8.42857142857143" style="287" customWidth="1"/>
    <col min="9731" max="9731" width="10.5714285714286" style="287" bestFit="1" customWidth="1"/>
    <col min="9732" max="9732" width="36.4285714285714" style="287" bestFit="1" customWidth="1"/>
    <col min="9733" max="9736" width="12.1428571428571" style="287" customWidth="1"/>
    <col min="9737" max="9737" width="13.4285714285714" style="287" bestFit="1" customWidth="1"/>
    <col min="9738" max="9738" width="0" style="287" hidden="1" customWidth="1"/>
    <col min="9739" max="9984" width="8.71428571428571" style="287"/>
    <col min="9985" max="9985" width="7.57142857142857" style="287" customWidth="1"/>
    <col min="9986" max="9986" width="8.42857142857143" style="287" customWidth="1"/>
    <col min="9987" max="9987" width="10.5714285714286" style="287" bestFit="1" customWidth="1"/>
    <col min="9988" max="9988" width="36.4285714285714" style="287" bestFit="1" customWidth="1"/>
    <col min="9989" max="9992" width="12.1428571428571" style="287" customWidth="1"/>
    <col min="9993" max="9993" width="13.4285714285714" style="287" bestFit="1" customWidth="1"/>
    <col min="9994" max="9994" width="0" style="287" hidden="1" customWidth="1"/>
    <col min="9995" max="10240" width="8.71428571428571" style="287"/>
    <col min="10241" max="10241" width="7.57142857142857" style="287" customWidth="1"/>
    <col min="10242" max="10242" width="8.42857142857143" style="287" customWidth="1"/>
    <col min="10243" max="10243" width="10.5714285714286" style="287" bestFit="1" customWidth="1"/>
    <col min="10244" max="10244" width="36.4285714285714" style="287" bestFit="1" customWidth="1"/>
    <col min="10245" max="10248" width="12.1428571428571" style="287" customWidth="1"/>
    <col min="10249" max="10249" width="13.4285714285714" style="287" bestFit="1" customWidth="1"/>
    <col min="10250" max="10250" width="0" style="287" hidden="1" customWidth="1"/>
    <col min="10251" max="10496" width="8.71428571428571" style="287"/>
    <col min="10497" max="10497" width="7.57142857142857" style="287" customWidth="1"/>
    <col min="10498" max="10498" width="8.42857142857143" style="287" customWidth="1"/>
    <col min="10499" max="10499" width="10.5714285714286" style="287" bestFit="1" customWidth="1"/>
    <col min="10500" max="10500" width="36.4285714285714" style="287" bestFit="1" customWidth="1"/>
    <col min="10501" max="10504" width="12.1428571428571" style="287" customWidth="1"/>
    <col min="10505" max="10505" width="13.4285714285714" style="287" bestFit="1" customWidth="1"/>
    <col min="10506" max="10506" width="0" style="287" hidden="1" customWidth="1"/>
    <col min="10507" max="10752" width="8.71428571428571" style="287"/>
    <col min="10753" max="10753" width="7.57142857142857" style="287" customWidth="1"/>
    <col min="10754" max="10754" width="8.42857142857143" style="287" customWidth="1"/>
    <col min="10755" max="10755" width="10.5714285714286" style="287" bestFit="1" customWidth="1"/>
    <col min="10756" max="10756" width="36.4285714285714" style="287" bestFit="1" customWidth="1"/>
    <col min="10757" max="10760" width="12.1428571428571" style="287" customWidth="1"/>
    <col min="10761" max="10761" width="13.4285714285714" style="287" bestFit="1" customWidth="1"/>
    <col min="10762" max="10762" width="0" style="287" hidden="1" customWidth="1"/>
    <col min="10763" max="11008" width="8.71428571428571" style="287"/>
    <col min="11009" max="11009" width="7.57142857142857" style="287" customWidth="1"/>
    <col min="11010" max="11010" width="8.42857142857143" style="287" customWidth="1"/>
    <col min="11011" max="11011" width="10.5714285714286" style="287" bestFit="1" customWidth="1"/>
    <col min="11012" max="11012" width="36.4285714285714" style="287" bestFit="1" customWidth="1"/>
    <col min="11013" max="11016" width="12.1428571428571" style="287" customWidth="1"/>
    <col min="11017" max="11017" width="13.4285714285714" style="287" bestFit="1" customWidth="1"/>
    <col min="11018" max="11018" width="0" style="287" hidden="1" customWidth="1"/>
    <col min="11019" max="11264" width="8.71428571428571" style="287"/>
    <col min="11265" max="11265" width="7.57142857142857" style="287" customWidth="1"/>
    <col min="11266" max="11266" width="8.42857142857143" style="287" customWidth="1"/>
    <col min="11267" max="11267" width="10.5714285714286" style="287" bestFit="1" customWidth="1"/>
    <col min="11268" max="11268" width="36.4285714285714" style="287" bestFit="1" customWidth="1"/>
    <col min="11269" max="11272" width="12.1428571428571" style="287" customWidth="1"/>
    <col min="11273" max="11273" width="13.4285714285714" style="287" bestFit="1" customWidth="1"/>
    <col min="11274" max="11274" width="0" style="287" hidden="1" customWidth="1"/>
    <col min="11275" max="11520" width="8.71428571428571" style="287"/>
    <col min="11521" max="11521" width="7.57142857142857" style="287" customWidth="1"/>
    <col min="11522" max="11522" width="8.42857142857143" style="287" customWidth="1"/>
    <col min="11523" max="11523" width="10.5714285714286" style="287" bestFit="1" customWidth="1"/>
    <col min="11524" max="11524" width="36.4285714285714" style="287" bestFit="1" customWidth="1"/>
    <col min="11525" max="11528" width="12.1428571428571" style="287" customWidth="1"/>
    <col min="11529" max="11529" width="13.4285714285714" style="287" bestFit="1" customWidth="1"/>
    <col min="11530" max="11530" width="0" style="287" hidden="1" customWidth="1"/>
    <col min="11531" max="11776" width="8.71428571428571" style="287"/>
    <col min="11777" max="11777" width="7.57142857142857" style="287" customWidth="1"/>
    <col min="11778" max="11778" width="8.42857142857143" style="287" customWidth="1"/>
    <col min="11779" max="11779" width="10.5714285714286" style="287" bestFit="1" customWidth="1"/>
    <col min="11780" max="11780" width="36.4285714285714" style="287" bestFit="1" customWidth="1"/>
    <col min="11781" max="11784" width="12.1428571428571" style="287" customWidth="1"/>
    <col min="11785" max="11785" width="13.4285714285714" style="287" bestFit="1" customWidth="1"/>
    <col min="11786" max="11786" width="0" style="287" hidden="1" customWidth="1"/>
    <col min="11787" max="12032" width="8.71428571428571" style="287"/>
    <col min="12033" max="12033" width="7.57142857142857" style="287" customWidth="1"/>
    <col min="12034" max="12034" width="8.42857142857143" style="287" customWidth="1"/>
    <col min="12035" max="12035" width="10.5714285714286" style="287" bestFit="1" customWidth="1"/>
    <col min="12036" max="12036" width="36.4285714285714" style="287" bestFit="1" customWidth="1"/>
    <col min="12037" max="12040" width="12.1428571428571" style="287" customWidth="1"/>
    <col min="12041" max="12041" width="13.4285714285714" style="287" bestFit="1" customWidth="1"/>
    <col min="12042" max="12042" width="0" style="287" hidden="1" customWidth="1"/>
    <col min="12043" max="12288" width="8.71428571428571" style="287"/>
    <col min="12289" max="12289" width="7.57142857142857" style="287" customWidth="1"/>
    <col min="12290" max="12290" width="8.42857142857143" style="287" customWidth="1"/>
    <col min="12291" max="12291" width="10.5714285714286" style="287" bestFit="1" customWidth="1"/>
    <col min="12292" max="12292" width="36.4285714285714" style="287" bestFit="1" customWidth="1"/>
    <col min="12293" max="12296" width="12.1428571428571" style="287" customWidth="1"/>
    <col min="12297" max="12297" width="13.4285714285714" style="287" bestFit="1" customWidth="1"/>
    <col min="12298" max="12298" width="0" style="287" hidden="1" customWidth="1"/>
    <col min="12299" max="12544" width="8.71428571428571" style="287"/>
    <col min="12545" max="12545" width="7.57142857142857" style="287" customWidth="1"/>
    <col min="12546" max="12546" width="8.42857142857143" style="287" customWidth="1"/>
    <col min="12547" max="12547" width="10.5714285714286" style="287" bestFit="1" customWidth="1"/>
    <col min="12548" max="12548" width="36.4285714285714" style="287" bestFit="1" customWidth="1"/>
    <col min="12549" max="12552" width="12.1428571428571" style="287" customWidth="1"/>
    <col min="12553" max="12553" width="13.4285714285714" style="287" bestFit="1" customWidth="1"/>
    <col min="12554" max="12554" width="0" style="287" hidden="1" customWidth="1"/>
    <col min="12555" max="12800" width="8.71428571428571" style="287"/>
    <col min="12801" max="12801" width="7.57142857142857" style="287" customWidth="1"/>
    <col min="12802" max="12802" width="8.42857142857143" style="287" customWidth="1"/>
    <col min="12803" max="12803" width="10.5714285714286" style="287" bestFit="1" customWidth="1"/>
    <col min="12804" max="12804" width="36.4285714285714" style="287" bestFit="1" customWidth="1"/>
    <col min="12805" max="12808" width="12.1428571428571" style="287" customWidth="1"/>
    <col min="12809" max="12809" width="13.4285714285714" style="287" bestFit="1" customWidth="1"/>
    <col min="12810" max="12810" width="0" style="287" hidden="1" customWidth="1"/>
    <col min="12811" max="13056" width="8.71428571428571" style="287"/>
    <col min="13057" max="13057" width="7.57142857142857" style="287" customWidth="1"/>
    <col min="13058" max="13058" width="8.42857142857143" style="287" customWidth="1"/>
    <col min="13059" max="13059" width="10.5714285714286" style="287" bestFit="1" customWidth="1"/>
    <col min="13060" max="13060" width="36.4285714285714" style="287" bestFit="1" customWidth="1"/>
    <col min="13061" max="13064" width="12.1428571428571" style="287" customWidth="1"/>
    <col min="13065" max="13065" width="13.4285714285714" style="287" bestFit="1" customWidth="1"/>
    <col min="13066" max="13066" width="0" style="287" hidden="1" customWidth="1"/>
    <col min="13067" max="13312" width="8.71428571428571" style="287"/>
    <col min="13313" max="13313" width="7.57142857142857" style="287" customWidth="1"/>
    <col min="13314" max="13314" width="8.42857142857143" style="287" customWidth="1"/>
    <col min="13315" max="13315" width="10.5714285714286" style="287" bestFit="1" customWidth="1"/>
    <col min="13316" max="13316" width="36.4285714285714" style="287" bestFit="1" customWidth="1"/>
    <col min="13317" max="13320" width="12.1428571428571" style="287" customWidth="1"/>
    <col min="13321" max="13321" width="13.4285714285714" style="287" bestFit="1" customWidth="1"/>
    <col min="13322" max="13322" width="0" style="287" hidden="1" customWidth="1"/>
    <col min="13323" max="13568" width="8.71428571428571" style="287"/>
    <col min="13569" max="13569" width="7.57142857142857" style="287" customWidth="1"/>
    <col min="13570" max="13570" width="8.42857142857143" style="287" customWidth="1"/>
    <col min="13571" max="13571" width="10.5714285714286" style="287" bestFit="1" customWidth="1"/>
    <col min="13572" max="13572" width="36.4285714285714" style="287" bestFit="1" customWidth="1"/>
    <col min="13573" max="13576" width="12.1428571428571" style="287" customWidth="1"/>
    <col min="13577" max="13577" width="13.4285714285714" style="287" bestFit="1" customWidth="1"/>
    <col min="13578" max="13578" width="0" style="287" hidden="1" customWidth="1"/>
    <col min="13579" max="13824" width="8.71428571428571" style="287"/>
    <col min="13825" max="13825" width="7.57142857142857" style="287" customWidth="1"/>
    <col min="13826" max="13826" width="8.42857142857143" style="287" customWidth="1"/>
    <col min="13827" max="13827" width="10.5714285714286" style="287" bestFit="1" customWidth="1"/>
    <col min="13828" max="13828" width="36.4285714285714" style="287" bestFit="1" customWidth="1"/>
    <col min="13829" max="13832" width="12.1428571428571" style="287" customWidth="1"/>
    <col min="13833" max="13833" width="13.4285714285714" style="287" bestFit="1" customWidth="1"/>
    <col min="13834" max="13834" width="0" style="287" hidden="1" customWidth="1"/>
    <col min="13835" max="14080" width="8.71428571428571" style="287"/>
    <col min="14081" max="14081" width="7.57142857142857" style="287" customWidth="1"/>
    <col min="14082" max="14082" width="8.42857142857143" style="287" customWidth="1"/>
    <col min="14083" max="14083" width="10.5714285714286" style="287" bestFit="1" customWidth="1"/>
    <col min="14084" max="14084" width="36.4285714285714" style="287" bestFit="1" customWidth="1"/>
    <col min="14085" max="14088" width="12.1428571428571" style="287" customWidth="1"/>
    <col min="14089" max="14089" width="13.4285714285714" style="287" bestFit="1" customWidth="1"/>
    <col min="14090" max="14090" width="0" style="287" hidden="1" customWidth="1"/>
    <col min="14091" max="14336" width="8.71428571428571" style="287"/>
    <col min="14337" max="14337" width="7.57142857142857" style="287" customWidth="1"/>
    <col min="14338" max="14338" width="8.42857142857143" style="287" customWidth="1"/>
    <col min="14339" max="14339" width="10.5714285714286" style="287" bestFit="1" customWidth="1"/>
    <col min="14340" max="14340" width="36.4285714285714" style="287" bestFit="1" customWidth="1"/>
    <col min="14341" max="14344" width="12.1428571428571" style="287" customWidth="1"/>
    <col min="14345" max="14345" width="13.4285714285714" style="287" bestFit="1" customWidth="1"/>
    <col min="14346" max="14346" width="0" style="287" hidden="1" customWidth="1"/>
    <col min="14347" max="14592" width="8.71428571428571" style="287"/>
    <col min="14593" max="14593" width="7.57142857142857" style="287" customWidth="1"/>
    <col min="14594" max="14594" width="8.42857142857143" style="287" customWidth="1"/>
    <col min="14595" max="14595" width="10.5714285714286" style="287" bestFit="1" customWidth="1"/>
    <col min="14596" max="14596" width="36.4285714285714" style="287" bestFit="1" customWidth="1"/>
    <col min="14597" max="14600" width="12.1428571428571" style="287" customWidth="1"/>
    <col min="14601" max="14601" width="13.4285714285714" style="287" bestFit="1" customWidth="1"/>
    <col min="14602" max="14602" width="0" style="287" hidden="1" customWidth="1"/>
    <col min="14603" max="14848" width="8.71428571428571" style="287"/>
    <col min="14849" max="14849" width="7.57142857142857" style="287" customWidth="1"/>
    <col min="14850" max="14850" width="8.42857142857143" style="287" customWidth="1"/>
    <col min="14851" max="14851" width="10.5714285714286" style="287" bestFit="1" customWidth="1"/>
    <col min="14852" max="14852" width="36.4285714285714" style="287" bestFit="1" customWidth="1"/>
    <col min="14853" max="14856" width="12.1428571428571" style="287" customWidth="1"/>
    <col min="14857" max="14857" width="13.4285714285714" style="287" bestFit="1" customWidth="1"/>
    <col min="14858" max="14858" width="0" style="287" hidden="1" customWidth="1"/>
    <col min="14859" max="15104" width="8.71428571428571" style="287"/>
    <col min="15105" max="15105" width="7.57142857142857" style="287" customWidth="1"/>
    <col min="15106" max="15106" width="8.42857142857143" style="287" customWidth="1"/>
    <col min="15107" max="15107" width="10.5714285714286" style="287" bestFit="1" customWidth="1"/>
    <col min="15108" max="15108" width="36.4285714285714" style="287" bestFit="1" customWidth="1"/>
    <col min="15109" max="15112" width="12.1428571428571" style="287" customWidth="1"/>
    <col min="15113" max="15113" width="13.4285714285714" style="287" bestFit="1" customWidth="1"/>
    <col min="15114" max="15114" width="0" style="287" hidden="1" customWidth="1"/>
    <col min="15115" max="15360" width="8.71428571428571" style="287"/>
    <col min="15361" max="15361" width="7.57142857142857" style="287" customWidth="1"/>
    <col min="15362" max="15362" width="8.42857142857143" style="287" customWidth="1"/>
    <col min="15363" max="15363" width="10.5714285714286" style="287" bestFit="1" customWidth="1"/>
    <col min="15364" max="15364" width="36.4285714285714" style="287" bestFit="1" customWidth="1"/>
    <col min="15365" max="15368" width="12.1428571428571" style="287" customWidth="1"/>
    <col min="15369" max="15369" width="13.4285714285714" style="287" bestFit="1" customWidth="1"/>
    <col min="15370" max="15370" width="0" style="287" hidden="1" customWidth="1"/>
    <col min="15371" max="15616" width="8.71428571428571" style="287"/>
    <col min="15617" max="15617" width="7.57142857142857" style="287" customWidth="1"/>
    <col min="15618" max="15618" width="8.42857142857143" style="287" customWidth="1"/>
    <col min="15619" max="15619" width="10.5714285714286" style="287" bestFit="1" customWidth="1"/>
    <col min="15620" max="15620" width="36.4285714285714" style="287" bestFit="1" customWidth="1"/>
    <col min="15621" max="15624" width="12.1428571428571" style="287" customWidth="1"/>
    <col min="15625" max="15625" width="13.4285714285714" style="287" bestFit="1" customWidth="1"/>
    <col min="15626" max="15626" width="0" style="287" hidden="1" customWidth="1"/>
    <col min="15627" max="15872" width="8.71428571428571" style="287"/>
    <col min="15873" max="15873" width="7.57142857142857" style="287" customWidth="1"/>
    <col min="15874" max="15874" width="8.42857142857143" style="287" customWidth="1"/>
    <col min="15875" max="15875" width="10.5714285714286" style="287" bestFit="1" customWidth="1"/>
    <col min="15876" max="15876" width="36.4285714285714" style="287" bestFit="1" customWidth="1"/>
    <col min="15877" max="15880" width="12.1428571428571" style="287" customWidth="1"/>
    <col min="15881" max="15881" width="13.4285714285714" style="287" bestFit="1" customWidth="1"/>
    <col min="15882" max="15882" width="0" style="287" hidden="1" customWidth="1"/>
    <col min="15883" max="16128" width="8.71428571428571" style="287"/>
    <col min="16129" max="16129" width="7.57142857142857" style="287" customWidth="1"/>
    <col min="16130" max="16130" width="8.42857142857143" style="287" customWidth="1"/>
    <col min="16131" max="16131" width="10.5714285714286" style="287" bestFit="1" customWidth="1"/>
    <col min="16132" max="16132" width="36.4285714285714" style="287" bestFit="1" customWidth="1"/>
    <col min="16133" max="16136" width="12.1428571428571" style="287" customWidth="1"/>
    <col min="16137" max="16137" width="13.4285714285714" style="287" bestFit="1" customWidth="1"/>
    <col min="16138" max="16138" width="0" style="287" hidden="1" customWidth="1"/>
    <col min="16139" max="16384" width="8.71428571428571" style="287"/>
  </cols>
  <sheetData>
    <row r="1" spans="1:8" ht="18">
      <c r="A1" s="982" t="s">
        <v>56</v>
      </c>
      <c r="B1" s="982"/>
      <c r="C1" s="982"/>
      <c r="D1" s="982"/>
      <c r="E1" s="982"/>
      <c r="F1" s="982"/>
      <c r="G1" s="982"/>
      <c r="H1" s="982"/>
    </row>
    <row r="2" spans="1:10" s="270" customFormat="1" ht="18">
      <c r="A2" s="979" t="str">
        <f>Input!B3</f>
        <v>FPUC, FPUC - Common, FPUC - Indiantown, Florida Division of Chesapeake Utilities Corporation, FPUC - Ft Meade</v>
      </c>
      <c r="B2" s="979"/>
      <c r="C2" s="979"/>
      <c r="D2" s="979"/>
      <c r="E2" s="979"/>
      <c r="F2" s="979"/>
      <c r="G2" s="979"/>
      <c r="H2" s="979"/>
      <c r="I2" s="269"/>
      <c r="J2" s="269"/>
    </row>
    <row r="3" spans="1:10" s="272" customFormat="1" ht="15.75" customHeight="1">
      <c r="A3" s="980" t="s">
        <v>495</v>
      </c>
      <c r="B3" s="980"/>
      <c r="C3" s="980"/>
      <c r="D3" s="980"/>
      <c r="E3" s="980"/>
      <c r="F3" s="980"/>
      <c r="G3" s="980"/>
      <c r="H3" s="980"/>
      <c r="I3" s="271"/>
      <c r="J3" s="271"/>
    </row>
    <row r="4" spans="1:10" s="272" customFormat="1" ht="15.75" customHeight="1">
      <c r="A4" s="981">
        <v>44926</v>
      </c>
      <c r="B4" s="981"/>
      <c r="C4" s="981"/>
      <c r="D4" s="981"/>
      <c r="E4" s="981"/>
      <c r="F4" s="981"/>
      <c r="G4" s="981"/>
      <c r="H4" s="981"/>
      <c r="I4" s="271"/>
      <c r="J4" s="271"/>
    </row>
    <row r="5" spans="1:10" s="279" customFormat="1" ht="9" thickBot="1">
      <c r="A5" s="273"/>
      <c r="B5" s="273"/>
      <c r="C5" s="273"/>
      <c r="D5" s="274"/>
      <c r="E5" s="273"/>
      <c r="F5" s="275"/>
      <c r="G5" s="276"/>
      <c r="H5" s="277"/>
      <c r="I5" s="278"/>
      <c r="J5" s="278"/>
    </row>
    <row r="6" spans="1:10" s="272" customFormat="1" ht="26.25" thickBot="1">
      <c r="A6" s="280" t="s">
        <v>361</v>
      </c>
      <c r="B6" s="280" t="s">
        <v>362</v>
      </c>
      <c r="C6" s="280"/>
      <c r="D6" s="280" t="s">
        <v>363</v>
      </c>
      <c r="E6" s="280" t="s">
        <v>364</v>
      </c>
      <c r="F6" s="281" t="s">
        <v>365</v>
      </c>
      <c r="G6" s="282" t="s">
        <v>72</v>
      </c>
      <c r="H6" s="281" t="s">
        <v>366</v>
      </c>
      <c r="I6" s="271"/>
      <c r="J6" s="271"/>
    </row>
    <row r="7" spans="1:10" s="272" customFormat="1" ht="15.75" customHeight="1" outlineLevel="1">
      <c r="A7" s="283" t="s">
        <v>174</v>
      </c>
      <c r="B7" s="558">
        <v>3921</v>
      </c>
      <c r="C7" s="558"/>
      <c r="D7" s="271" t="s">
        <v>367</v>
      </c>
      <c r="E7" s="283">
        <v>2012</v>
      </c>
      <c r="F7" s="284">
        <v>34680.050000000003</v>
      </c>
      <c r="G7" s="283">
        <f>+Input!$C$14-E7+0.5</f>
        <v>10.5</v>
      </c>
      <c r="H7" s="284">
        <f t="shared" si="0" ref="H7:H20">+F7*G7</f>
        <v>364140.52500000002</v>
      </c>
      <c r="I7" s="285"/>
      <c r="J7" s="285"/>
    </row>
    <row r="8" spans="1:10" ht="15.75" customHeight="1" outlineLevel="1">
      <c r="A8" s="283" t="s">
        <v>174</v>
      </c>
      <c r="B8" s="558">
        <v>3921</v>
      </c>
      <c r="C8" s="558"/>
      <c r="D8" s="271" t="s">
        <v>368</v>
      </c>
      <c r="E8" s="283">
        <v>2012</v>
      </c>
      <c r="F8" s="284">
        <v>24242.299999999999</v>
      </c>
      <c r="G8" s="283">
        <f>+Input!$C$14-E8+0.5</f>
        <v>10.5</v>
      </c>
      <c r="H8" s="284">
        <f t="shared" si="0"/>
        <v>254544.14999999999</v>
      </c>
      <c r="I8" s="286"/>
      <c r="J8" s="286"/>
    </row>
    <row r="9" spans="1:9" ht="15.75" customHeight="1" outlineLevel="1">
      <c r="A9" s="283" t="s">
        <v>174</v>
      </c>
      <c r="B9" s="558">
        <v>3921</v>
      </c>
      <c r="C9" s="558"/>
      <c r="D9" s="271" t="s">
        <v>667</v>
      </c>
      <c r="E9" s="283">
        <v>2021</v>
      </c>
      <c r="F9" s="284">
        <v>50091</v>
      </c>
      <c r="G9" s="283">
        <f>+Input!$C$14-E9+0.5</f>
        <v>1.5</v>
      </c>
      <c r="H9" s="284">
        <f t="shared" si="0"/>
        <v>75136.5</v>
      </c>
      <c r="I9" s="361"/>
    </row>
    <row r="10" spans="1:9" ht="15.75" customHeight="1" outlineLevel="1">
      <c r="A10" s="283" t="s">
        <v>172</v>
      </c>
      <c r="B10" s="558">
        <v>3921</v>
      </c>
      <c r="C10" s="558"/>
      <c r="D10" s="271" t="s">
        <v>374</v>
      </c>
      <c r="E10" s="283">
        <v>2018</v>
      </c>
      <c r="F10" s="284">
        <v>32194</v>
      </c>
      <c r="G10" s="283">
        <f>+Input!$C$14-E10+0.5</f>
        <v>4.5</v>
      </c>
      <c r="H10" s="284">
        <f t="shared" si="0"/>
        <v>144873</v>
      </c>
      <c r="I10" s="361"/>
    </row>
    <row r="11" spans="1:9" ht="15.75" customHeight="1" outlineLevel="1">
      <c r="A11" s="283" t="s">
        <v>172</v>
      </c>
      <c r="B11" s="558">
        <v>3921</v>
      </c>
      <c r="C11" s="558"/>
      <c r="D11" s="271" t="s">
        <v>375</v>
      </c>
      <c r="E11" s="283">
        <v>2018</v>
      </c>
      <c r="F11" s="284">
        <v>37000</v>
      </c>
      <c r="G11" s="283">
        <f>+Input!$C$14-E11+0.5</f>
        <v>4.5</v>
      </c>
      <c r="H11" s="284">
        <f t="shared" si="0"/>
        <v>166500</v>
      </c>
      <c r="I11" s="361"/>
    </row>
    <row r="12" spans="1:9" ht="15.75" customHeight="1" outlineLevel="1">
      <c r="A12" s="283" t="s">
        <v>172</v>
      </c>
      <c r="B12" s="558">
        <v>3921</v>
      </c>
      <c r="C12" s="558"/>
      <c r="D12" s="271" t="s">
        <v>376</v>
      </c>
      <c r="E12" s="283">
        <v>2018</v>
      </c>
      <c r="F12" s="284">
        <v>27551</v>
      </c>
      <c r="G12" s="283">
        <f>+Input!$C$14-E12+0.5</f>
        <v>4.5</v>
      </c>
      <c r="H12" s="284">
        <f t="shared" si="0"/>
        <v>123979.5</v>
      </c>
      <c r="I12" s="361"/>
    </row>
    <row r="13" spans="1:9" ht="15.75" customHeight="1" outlineLevel="1">
      <c r="A13" s="283" t="s">
        <v>172</v>
      </c>
      <c r="B13" s="558">
        <v>3921</v>
      </c>
      <c r="C13" s="558"/>
      <c r="D13" s="271" t="s">
        <v>377</v>
      </c>
      <c r="E13" s="283">
        <v>2018</v>
      </c>
      <c r="F13" s="284">
        <v>26893</v>
      </c>
      <c r="G13" s="283">
        <f>+Input!$C$14-E13+0.5</f>
        <v>4.5</v>
      </c>
      <c r="H13" s="284">
        <f t="shared" si="0"/>
        <v>121018.5</v>
      </c>
      <c r="I13" s="361"/>
    </row>
    <row r="14" spans="1:15" ht="15.75" customHeight="1" outlineLevel="1">
      <c r="A14" s="283" t="s">
        <v>172</v>
      </c>
      <c r="B14" s="558">
        <v>3921</v>
      </c>
      <c r="C14" s="558"/>
      <c r="D14" s="271" t="s">
        <v>378</v>
      </c>
      <c r="E14" s="283">
        <v>2019</v>
      </c>
      <c r="F14" s="284">
        <v>29608</v>
      </c>
      <c r="G14" s="283">
        <f>+Input!$C$14-E14+0.5</f>
        <v>3.5</v>
      </c>
      <c r="H14" s="284">
        <f t="shared" si="0"/>
        <v>103628</v>
      </c>
      <c r="I14" s="361"/>
      <c r="J14" s="288"/>
      <c r="K14" s="284"/>
      <c r="L14" s="284"/>
      <c r="M14" s="284"/>
      <c r="N14" s="284"/>
      <c r="O14" s="284"/>
    </row>
    <row r="15" spans="1:15" ht="15.75" customHeight="1" outlineLevel="1">
      <c r="A15" s="283" t="s">
        <v>172</v>
      </c>
      <c r="B15" s="558">
        <v>3921</v>
      </c>
      <c r="C15" s="558"/>
      <c r="D15" s="271" t="s">
        <v>379</v>
      </c>
      <c r="E15" s="283">
        <v>2020</v>
      </c>
      <c r="F15" s="284">
        <v>36577</v>
      </c>
      <c r="G15" s="283">
        <f>+Input!$C$14-E15+0.5</f>
        <v>2.5</v>
      </c>
      <c r="H15" s="284">
        <f t="shared" si="0"/>
        <v>91442.5</v>
      </c>
      <c r="I15" s="361"/>
      <c r="J15" s="288"/>
      <c r="K15" s="284"/>
      <c r="L15" s="284"/>
      <c r="M15" s="284"/>
      <c r="N15" s="284"/>
      <c r="O15" s="284"/>
    </row>
    <row r="16" spans="1:10" ht="15.75" customHeight="1" outlineLevel="1">
      <c r="A16" s="283" t="s">
        <v>172</v>
      </c>
      <c r="B16" s="558">
        <v>3921</v>
      </c>
      <c r="C16" s="558"/>
      <c r="D16" s="271" t="s">
        <v>371</v>
      </c>
      <c r="E16" s="283">
        <v>2011</v>
      </c>
      <c r="F16" s="284">
        <v>27389.060000000001</v>
      </c>
      <c r="G16" s="283">
        <f>+Input!$C$14-E16+0.5</f>
        <v>11.5</v>
      </c>
      <c r="H16" s="284">
        <f t="shared" si="0"/>
        <v>314974.19</v>
      </c>
      <c r="I16" s="284"/>
      <c r="J16" s="286"/>
    </row>
    <row r="17" spans="1:10" ht="15.75" customHeight="1" outlineLevel="1">
      <c r="A17" s="283" t="s">
        <v>172</v>
      </c>
      <c r="B17" s="558">
        <v>3921</v>
      </c>
      <c r="C17" s="558"/>
      <c r="D17" s="271" t="s">
        <v>372</v>
      </c>
      <c r="E17" s="283">
        <v>2014</v>
      </c>
      <c r="F17" s="284">
        <v>31204.400000000001</v>
      </c>
      <c r="G17" s="283">
        <f>+Input!$C$14-E17+0.5</f>
        <v>8.5</v>
      </c>
      <c r="H17" s="284">
        <f t="shared" si="0"/>
        <v>265237.40000000002</v>
      </c>
      <c r="I17" s="284"/>
      <c r="J17" s="286"/>
    </row>
    <row r="18" spans="1:10" ht="15.75" customHeight="1" outlineLevel="1">
      <c r="A18" s="283" t="s">
        <v>172</v>
      </c>
      <c r="B18" s="558">
        <v>3921</v>
      </c>
      <c r="C18" s="558"/>
      <c r="D18" s="271" t="s">
        <v>373</v>
      </c>
      <c r="E18" s="283">
        <v>2015</v>
      </c>
      <c r="F18" s="284">
        <v>25000</v>
      </c>
      <c r="G18" s="283">
        <f>+Input!$C$14-E18+0.5</f>
        <v>7.5</v>
      </c>
      <c r="H18" s="284">
        <f t="shared" si="0"/>
        <v>187500</v>
      </c>
      <c r="I18" s="284"/>
      <c r="J18" s="288"/>
    </row>
    <row r="19" spans="1:9" s="272" customFormat="1" ht="12.75" outlineLevel="1">
      <c r="A19" s="283" t="s">
        <v>172</v>
      </c>
      <c r="B19" s="558">
        <v>3921</v>
      </c>
      <c r="C19" s="559"/>
      <c r="D19" s="271" t="s">
        <v>380</v>
      </c>
      <c r="E19" s="283">
        <v>2020</v>
      </c>
      <c r="F19" s="284">
        <v>-7000</v>
      </c>
      <c r="G19" s="283">
        <f>+Input!$C$14-E19+0.5</f>
        <v>2.5</v>
      </c>
      <c r="H19" s="284">
        <f t="shared" si="0"/>
        <v>-17500</v>
      </c>
      <c r="I19" s="271"/>
    </row>
    <row r="20" spans="1:9" s="272" customFormat="1" ht="12.75" outlineLevel="1">
      <c r="A20" s="283" t="s">
        <v>172</v>
      </c>
      <c r="B20" s="558">
        <v>3921</v>
      </c>
      <c r="C20" s="559"/>
      <c r="D20" s="271" t="s">
        <v>380</v>
      </c>
      <c r="E20" s="283">
        <v>2019</v>
      </c>
      <c r="F20" s="284">
        <v>-8300</v>
      </c>
      <c r="G20" s="283">
        <f>+Input!$C$14-E20+0.5</f>
        <v>3.5</v>
      </c>
      <c r="H20" s="284">
        <f t="shared" si="0"/>
        <v>-29050</v>
      </c>
      <c r="I20" s="271"/>
    </row>
    <row r="21" spans="1:10" ht="15.75" customHeight="1" thickBot="1">
      <c r="A21" s="283"/>
      <c r="B21" s="558">
        <f>B18</f>
        <v>3921</v>
      </c>
      <c r="C21" s="558"/>
      <c r="D21" s="364" t="s">
        <v>496</v>
      </c>
      <c r="E21" s="316"/>
      <c r="F21" s="291">
        <f>SUM(F7:F20)</f>
        <v>367129.81</v>
      </c>
      <c r="G21" s="292">
        <f>+IFERROR(H21/F21,0)</f>
        <v>5.9009761833287255</v>
      </c>
      <c r="H21" s="291">
        <f>SUM(H7:H20)</f>
        <v>2166424.2650000001</v>
      </c>
      <c r="I21" s="284"/>
      <c r="J21" s="288"/>
    </row>
    <row r="22" spans="1:10" ht="15.75" customHeight="1" thickTop="1">
      <c r="A22" s="283"/>
      <c r="B22" s="558">
        <f>B21</f>
        <v>3921</v>
      </c>
      <c r="C22" s="558"/>
      <c r="D22" s="271" t="s">
        <v>497</v>
      </c>
      <c r="E22" s="283">
        <v>2022</v>
      </c>
      <c r="F22" s="284">
        <f>'Sch. H'!N37</f>
        <v>215000</v>
      </c>
      <c r="G22" s="283">
        <f>+Input!$C$14-E22+0.5</f>
        <v>0.5</v>
      </c>
      <c r="H22" s="284">
        <f>+F22*G22</f>
        <v>107500</v>
      </c>
      <c r="I22" s="284"/>
      <c r="J22" s="288"/>
    </row>
    <row r="23" spans="1:10" ht="15.75" customHeight="1">
      <c r="A23" s="283"/>
      <c r="B23" s="558">
        <f>B22</f>
        <v>3921</v>
      </c>
      <c r="C23" s="558"/>
      <c r="D23" s="271" t="s">
        <v>498</v>
      </c>
      <c r="E23" s="283">
        <v>2022</v>
      </c>
      <c r="F23" s="284">
        <f>-'Sch. F 2022'!AW90</f>
        <v>-58922.349999999999</v>
      </c>
      <c r="G23" s="363">
        <f>'Sch. F 2022'!AW92</f>
        <v>10.5</v>
      </c>
      <c r="H23" s="284">
        <f>+F23*G23</f>
        <v>-618684.67499999993</v>
      </c>
      <c r="I23" s="284"/>
      <c r="J23" s="288"/>
    </row>
    <row r="24" spans="1:10" ht="15.75" customHeight="1">
      <c r="A24" s="283"/>
      <c r="B24" s="558">
        <f>B23</f>
        <v>3921</v>
      </c>
      <c r="C24" s="558"/>
      <c r="D24" s="377" t="s">
        <v>499</v>
      </c>
      <c r="E24" s="283" t="s">
        <v>500</v>
      </c>
      <c r="F24" s="284">
        <f>-SUM(F9:F15,F19:F20)</f>
        <v>-224614</v>
      </c>
      <c r="G24" s="363">
        <f>H24/F24</f>
        <v>3.4727488046159189</v>
      </c>
      <c r="H24" s="284">
        <f>-SUM(H9:H15,H19:H20)</f>
        <v>-780028</v>
      </c>
      <c r="I24" s="284"/>
      <c r="J24" s="288"/>
    </row>
    <row r="25" spans="1:10" ht="15.75" customHeight="1" thickBot="1">
      <c r="A25" s="289"/>
      <c r="B25" s="558">
        <f>B24</f>
        <v>3921</v>
      </c>
      <c r="C25" s="560"/>
      <c r="D25" s="364" t="s">
        <v>557</v>
      </c>
      <c r="E25" s="305"/>
      <c r="F25" s="291">
        <f>SUM(F21:F24)</f>
        <v>298593.46000000008</v>
      </c>
      <c r="G25" s="292">
        <f>+IFERROR(H25/F25,0)</f>
        <v>2.9311143988217294</v>
      </c>
      <c r="H25" s="291">
        <f>SUM(H21:H24)</f>
        <v>875211.59000000032</v>
      </c>
      <c r="I25" s="290"/>
      <c r="J25" s="293"/>
    </row>
    <row r="26" spans="1:10" s="272" customFormat="1" ht="15.75" customHeight="1" thickTop="1">
      <c r="A26" s="283"/>
      <c r="B26" s="558"/>
      <c r="C26" s="558"/>
      <c r="D26" s="271"/>
      <c r="E26" s="283"/>
      <c r="F26" s="294"/>
      <c r="G26" s="271"/>
      <c r="H26" s="294"/>
      <c r="I26" s="271"/>
      <c r="J26" s="271"/>
    </row>
    <row r="27" spans="1:10" s="272" customFormat="1" ht="15.75" customHeight="1" outlineLevel="1">
      <c r="A27" s="283" t="s">
        <v>174</v>
      </c>
      <c r="B27" s="558">
        <v>3922</v>
      </c>
      <c r="C27" s="558"/>
      <c r="D27" s="271" t="s">
        <v>381</v>
      </c>
      <c r="E27" s="283">
        <v>2005</v>
      </c>
      <c r="F27" s="284">
        <v>39433</v>
      </c>
      <c r="G27" s="283">
        <f>Input!$C$14-E27+0.5</f>
        <v>17.5</v>
      </c>
      <c r="H27" s="284">
        <f t="shared" si="1" ref="H27:H92">+F27*G27</f>
        <v>690077.5</v>
      </c>
      <c r="I27" s="290"/>
      <c r="J27" s="290"/>
    </row>
    <row r="28" spans="1:9" ht="15.75" customHeight="1" outlineLevel="1">
      <c r="A28" s="283" t="s">
        <v>174</v>
      </c>
      <c r="B28" s="558">
        <v>3922</v>
      </c>
      <c r="C28" s="558"/>
      <c r="D28" s="271" t="s">
        <v>382</v>
      </c>
      <c r="E28" s="283">
        <v>2006</v>
      </c>
      <c r="F28" s="284">
        <v>21019</v>
      </c>
      <c r="G28" s="283">
        <f>Input!$C$14-E28+0.5</f>
        <v>16.5</v>
      </c>
      <c r="H28" s="284">
        <f t="shared" si="1"/>
        <v>346813.5</v>
      </c>
      <c r="I28" s="361"/>
    </row>
    <row r="29" spans="1:10" s="272" customFormat="1" ht="15.75" customHeight="1" outlineLevel="1">
      <c r="A29" s="283" t="s">
        <v>174</v>
      </c>
      <c r="B29" s="558">
        <v>3922</v>
      </c>
      <c r="C29" s="558"/>
      <c r="D29" s="271" t="s">
        <v>383</v>
      </c>
      <c r="E29" s="283">
        <v>2006</v>
      </c>
      <c r="F29" s="284">
        <v>22473</v>
      </c>
      <c r="G29" s="283">
        <f>Input!$C$14-E29+0.5</f>
        <v>16.5</v>
      </c>
      <c r="H29" s="284">
        <f t="shared" si="1"/>
        <v>370804.5</v>
      </c>
      <c r="I29" s="290"/>
      <c r="J29" s="290"/>
    </row>
    <row r="30" spans="1:9" ht="15.75" customHeight="1" outlineLevel="1">
      <c r="A30" s="283" t="s">
        <v>174</v>
      </c>
      <c r="B30" s="558">
        <v>3922</v>
      </c>
      <c r="C30" s="558"/>
      <c r="D30" s="271" t="s">
        <v>384</v>
      </c>
      <c r="E30" s="283">
        <v>2007</v>
      </c>
      <c r="F30" s="284">
        <v>35245</v>
      </c>
      <c r="G30" s="283">
        <f>Input!$C$14-E30+0.5</f>
        <v>15.5</v>
      </c>
      <c r="H30" s="284">
        <f t="shared" si="1"/>
        <v>546297.5</v>
      </c>
      <c r="I30" s="361"/>
    </row>
    <row r="31" spans="1:10" s="272" customFormat="1" ht="15.75" customHeight="1" outlineLevel="1">
      <c r="A31" s="283" t="s">
        <v>174</v>
      </c>
      <c r="B31" s="558">
        <v>3922</v>
      </c>
      <c r="C31" s="558"/>
      <c r="D31" s="271" t="s">
        <v>385</v>
      </c>
      <c r="E31" s="283">
        <v>2007</v>
      </c>
      <c r="F31" s="284">
        <v>22434</v>
      </c>
      <c r="G31" s="283">
        <f>Input!$C$14-E31+0.5</f>
        <v>15.5</v>
      </c>
      <c r="H31" s="284">
        <f t="shared" si="1"/>
        <v>347727</v>
      </c>
      <c r="I31" s="290"/>
      <c r="J31" s="290"/>
    </row>
    <row r="32" spans="1:10" s="272" customFormat="1" ht="15.75" customHeight="1" outlineLevel="1">
      <c r="A32" s="283" t="s">
        <v>174</v>
      </c>
      <c r="B32" s="558">
        <v>3922</v>
      </c>
      <c r="C32" s="558"/>
      <c r="D32" s="271" t="s">
        <v>386</v>
      </c>
      <c r="E32" s="283">
        <v>2007</v>
      </c>
      <c r="F32" s="284">
        <v>22187</v>
      </c>
      <c r="G32" s="283">
        <f>Input!$C$14-E32+0.5</f>
        <v>15.5</v>
      </c>
      <c r="H32" s="284">
        <f t="shared" si="1"/>
        <v>343898.5</v>
      </c>
      <c r="I32" s="271"/>
      <c r="J32" s="271"/>
    </row>
    <row r="33" spans="1:14" s="272" customFormat="1" ht="15.75" customHeight="1" outlineLevel="1">
      <c r="A33" s="283" t="s">
        <v>174</v>
      </c>
      <c r="B33" s="558">
        <v>3922</v>
      </c>
      <c r="C33" s="558"/>
      <c r="D33" s="271" t="s">
        <v>384</v>
      </c>
      <c r="E33" s="283">
        <v>2007</v>
      </c>
      <c r="F33" s="284">
        <v>36326</v>
      </c>
      <c r="G33" s="283">
        <f>Input!$C$14-E33+0.5</f>
        <v>15.5</v>
      </c>
      <c r="H33" s="284">
        <f t="shared" si="1"/>
        <v>563053</v>
      </c>
      <c r="I33" s="271"/>
      <c r="J33" s="271"/>
      <c r="L33" s="295"/>
      <c r="N33" s="295"/>
    </row>
    <row r="34" spans="1:14" s="272" customFormat="1" ht="15.75" customHeight="1" outlineLevel="1">
      <c r="A34" s="283" t="s">
        <v>174</v>
      </c>
      <c r="B34" s="558">
        <v>3922</v>
      </c>
      <c r="C34" s="558"/>
      <c r="D34" s="271" t="s">
        <v>387</v>
      </c>
      <c r="E34" s="283">
        <v>2008</v>
      </c>
      <c r="F34" s="284">
        <v>46952</v>
      </c>
      <c r="G34" s="283">
        <f>Input!$C$14-E34+0.5</f>
        <v>14.5</v>
      </c>
      <c r="H34" s="284">
        <f t="shared" si="1"/>
        <v>680804</v>
      </c>
      <c r="I34" s="271"/>
      <c r="J34" s="271"/>
      <c r="L34" s="295"/>
      <c r="N34" s="295"/>
    </row>
    <row r="35" spans="1:14" s="272" customFormat="1" ht="15.75" customHeight="1" outlineLevel="1">
      <c r="A35" s="283" t="s">
        <v>174</v>
      </c>
      <c r="B35" s="558">
        <v>3922</v>
      </c>
      <c r="C35" s="558"/>
      <c r="D35" s="271" t="s">
        <v>388</v>
      </c>
      <c r="E35" s="283">
        <v>2008</v>
      </c>
      <c r="F35" s="284">
        <v>14831</v>
      </c>
      <c r="G35" s="283">
        <f>Input!$C$14-E35+0.5</f>
        <v>14.5</v>
      </c>
      <c r="H35" s="284">
        <f t="shared" si="1"/>
        <v>215049.5</v>
      </c>
      <c r="I35" s="271"/>
      <c r="J35" s="271"/>
      <c r="L35" s="295"/>
      <c r="N35" s="295"/>
    </row>
    <row r="36" spans="1:14" s="272" customFormat="1" ht="15.75" customHeight="1" outlineLevel="1">
      <c r="A36" s="283" t="s">
        <v>174</v>
      </c>
      <c r="B36" s="558">
        <v>3922</v>
      </c>
      <c r="C36" s="558"/>
      <c r="D36" s="271" t="s">
        <v>389</v>
      </c>
      <c r="E36" s="283">
        <v>2009</v>
      </c>
      <c r="F36" s="284">
        <v>61961</v>
      </c>
      <c r="G36" s="283">
        <f>Input!$C$14-E36+0.5</f>
        <v>13.5</v>
      </c>
      <c r="H36" s="284">
        <f t="shared" si="1"/>
        <v>836473.5</v>
      </c>
      <c r="I36" s="271"/>
      <c r="J36" s="271"/>
      <c r="L36" s="295"/>
      <c r="N36" s="295"/>
    </row>
    <row r="37" spans="1:10" s="272" customFormat="1" ht="15.75" customHeight="1" outlineLevel="1">
      <c r="A37" s="283" t="s">
        <v>174</v>
      </c>
      <c r="B37" s="558">
        <v>3922</v>
      </c>
      <c r="C37" s="558"/>
      <c r="D37" s="271" t="s">
        <v>390</v>
      </c>
      <c r="E37" s="283">
        <v>2010</v>
      </c>
      <c r="F37" s="284">
        <v>31222</v>
      </c>
      <c r="G37" s="283">
        <f>Input!$C$14-E37+0.5</f>
        <v>12.5</v>
      </c>
      <c r="H37" s="284">
        <f t="shared" si="1"/>
        <v>390275</v>
      </c>
      <c r="I37" s="271"/>
      <c r="J37" s="271"/>
    </row>
    <row r="38" spans="1:10" s="272" customFormat="1" ht="15.75" customHeight="1" outlineLevel="1">
      <c r="A38" s="283" t="s">
        <v>174</v>
      </c>
      <c r="B38" s="558">
        <v>3922</v>
      </c>
      <c r="C38" s="558"/>
      <c r="D38" s="271" t="s">
        <v>391</v>
      </c>
      <c r="E38" s="283">
        <v>2010</v>
      </c>
      <c r="F38" s="284">
        <v>31596</v>
      </c>
      <c r="G38" s="283">
        <f>Input!$C$14-E38+0.5</f>
        <v>12.5</v>
      </c>
      <c r="H38" s="284">
        <f t="shared" si="1"/>
        <v>394950</v>
      </c>
      <c r="I38" s="271"/>
      <c r="J38" s="271"/>
    </row>
    <row r="39" spans="1:10" s="272" customFormat="1" ht="15.75" customHeight="1" outlineLevel="1">
      <c r="A39" s="283" t="s">
        <v>174</v>
      </c>
      <c r="B39" s="558">
        <v>3922</v>
      </c>
      <c r="C39" s="558"/>
      <c r="D39" s="271" t="s">
        <v>392</v>
      </c>
      <c r="E39" s="283">
        <v>2010</v>
      </c>
      <c r="F39" s="284">
        <v>26058</v>
      </c>
      <c r="G39" s="283">
        <f>Input!$C$14-E39+0.5</f>
        <v>12.5</v>
      </c>
      <c r="H39" s="284">
        <f t="shared" si="1"/>
        <v>325725</v>
      </c>
      <c r="I39" s="271"/>
      <c r="J39" s="271"/>
    </row>
    <row r="40" spans="1:10" s="272" customFormat="1" ht="15.75" customHeight="1" outlineLevel="1">
      <c r="A40" s="283" t="s">
        <v>174</v>
      </c>
      <c r="B40" s="558">
        <v>3922</v>
      </c>
      <c r="C40" s="558"/>
      <c r="D40" s="271" t="s">
        <v>390</v>
      </c>
      <c r="E40" s="283">
        <v>2010</v>
      </c>
      <c r="F40" s="284">
        <v>31209</v>
      </c>
      <c r="G40" s="283">
        <f>Input!$C$14-E40+0.5</f>
        <v>12.5</v>
      </c>
      <c r="H40" s="284">
        <f t="shared" si="1"/>
        <v>390112.5</v>
      </c>
      <c r="I40" s="271"/>
      <c r="J40" s="271"/>
    </row>
    <row r="41" spans="1:10" s="272" customFormat="1" ht="15.75" customHeight="1" outlineLevel="1">
      <c r="A41" s="283" t="s">
        <v>174</v>
      </c>
      <c r="B41" s="558">
        <v>3922</v>
      </c>
      <c r="C41" s="558"/>
      <c r="D41" s="271" t="s">
        <v>393</v>
      </c>
      <c r="E41" s="283">
        <v>2011</v>
      </c>
      <c r="F41" s="284">
        <v>35449</v>
      </c>
      <c r="G41" s="283">
        <f>Input!$C$14-E41+0.5</f>
        <v>11.5</v>
      </c>
      <c r="H41" s="284">
        <f t="shared" si="1"/>
        <v>407663.5</v>
      </c>
      <c r="I41" s="271"/>
      <c r="J41" s="271"/>
    </row>
    <row r="42" spans="1:10" s="272" customFormat="1" ht="15.75" customHeight="1" outlineLevel="1">
      <c r="A42" s="283" t="s">
        <v>174</v>
      </c>
      <c r="B42" s="558">
        <v>3922</v>
      </c>
      <c r="C42" s="558"/>
      <c r="D42" s="271" t="s">
        <v>394</v>
      </c>
      <c r="E42" s="283">
        <v>2011</v>
      </c>
      <c r="F42" s="284">
        <v>33528</v>
      </c>
      <c r="G42" s="283">
        <f>Input!$C$14-E42+0.5</f>
        <v>11.5</v>
      </c>
      <c r="H42" s="284">
        <f t="shared" si="1"/>
        <v>385572</v>
      </c>
      <c r="I42" s="271"/>
      <c r="J42" s="271"/>
    </row>
    <row r="43" spans="1:10" s="272" customFormat="1" ht="15.75" customHeight="1" outlineLevel="1">
      <c r="A43" s="283" t="s">
        <v>174</v>
      </c>
      <c r="B43" s="558">
        <v>3922</v>
      </c>
      <c r="C43" s="558"/>
      <c r="D43" s="271" t="s">
        <v>395</v>
      </c>
      <c r="E43" s="283">
        <v>2011</v>
      </c>
      <c r="F43" s="284">
        <v>42505</v>
      </c>
      <c r="G43" s="283">
        <f>Input!$C$14-E43+0.5</f>
        <v>11.5</v>
      </c>
      <c r="H43" s="284">
        <f t="shared" si="1"/>
        <v>488807.5</v>
      </c>
      <c r="I43" s="271"/>
      <c r="J43" s="271"/>
    </row>
    <row r="44" spans="1:10" s="272" customFormat="1" ht="15.75" customHeight="1" outlineLevel="1">
      <c r="A44" s="283" t="s">
        <v>174</v>
      </c>
      <c r="B44" s="558">
        <v>3922</v>
      </c>
      <c r="C44" s="558"/>
      <c r="D44" s="271" t="s">
        <v>396</v>
      </c>
      <c r="E44" s="283">
        <v>2011</v>
      </c>
      <c r="F44" s="284">
        <v>82830</v>
      </c>
      <c r="G44" s="283">
        <f>Input!$C$14-E44+0.5</f>
        <v>11.5</v>
      </c>
      <c r="H44" s="284">
        <f t="shared" si="1"/>
        <v>952545</v>
      </c>
      <c r="I44" s="271"/>
      <c r="J44" s="271"/>
    </row>
    <row r="45" spans="1:10" s="272" customFormat="1" ht="15.75" customHeight="1" outlineLevel="1">
      <c r="A45" s="283" t="s">
        <v>174</v>
      </c>
      <c r="B45" s="558">
        <v>3922</v>
      </c>
      <c r="C45" s="558"/>
      <c r="D45" s="271" t="s">
        <v>397</v>
      </c>
      <c r="E45" s="283">
        <v>2011</v>
      </c>
      <c r="F45" s="284">
        <v>21124</v>
      </c>
      <c r="G45" s="283">
        <f>Input!$C$14-E45+0.5</f>
        <v>11.5</v>
      </c>
      <c r="H45" s="284">
        <f t="shared" si="1"/>
        <v>242926</v>
      </c>
      <c r="I45" s="271"/>
      <c r="J45" s="271"/>
    </row>
    <row r="46" spans="1:10" s="272" customFormat="1" ht="15.75" customHeight="1" outlineLevel="1">
      <c r="A46" s="283" t="s">
        <v>174</v>
      </c>
      <c r="B46" s="558">
        <v>3922</v>
      </c>
      <c r="C46" s="558"/>
      <c r="D46" s="271" t="s">
        <v>398</v>
      </c>
      <c r="E46" s="283">
        <v>2012</v>
      </c>
      <c r="F46" s="284">
        <v>33575</v>
      </c>
      <c r="G46" s="283">
        <f>Input!$C$14-E46+0.5</f>
        <v>10.5</v>
      </c>
      <c r="H46" s="284">
        <f t="shared" si="1"/>
        <v>352537.5</v>
      </c>
      <c r="I46" s="271"/>
      <c r="J46" s="271"/>
    </row>
    <row r="47" spans="1:10" s="272" customFormat="1" ht="15.75" customHeight="1" outlineLevel="1">
      <c r="A47" s="283" t="s">
        <v>174</v>
      </c>
      <c r="B47" s="558">
        <v>3922</v>
      </c>
      <c r="C47" s="558"/>
      <c r="D47" s="271" t="s">
        <v>398</v>
      </c>
      <c r="E47" s="283">
        <v>2012</v>
      </c>
      <c r="F47" s="284">
        <v>29277</v>
      </c>
      <c r="G47" s="283">
        <f>Input!$C$14-E47+0.5</f>
        <v>10.5</v>
      </c>
      <c r="H47" s="284">
        <f t="shared" si="1"/>
        <v>307408.5</v>
      </c>
      <c r="I47" s="271"/>
      <c r="J47" s="271"/>
    </row>
    <row r="48" spans="1:10" s="272" customFormat="1" ht="15.75" customHeight="1" outlineLevel="1">
      <c r="A48" s="283" t="s">
        <v>174</v>
      </c>
      <c r="B48" s="558">
        <v>3922</v>
      </c>
      <c r="C48" s="558"/>
      <c r="D48" s="271" t="s">
        <v>398</v>
      </c>
      <c r="E48" s="283">
        <v>2012</v>
      </c>
      <c r="F48" s="284">
        <v>28903</v>
      </c>
      <c r="G48" s="283">
        <f>Input!$C$14-E48+0.5</f>
        <v>10.5</v>
      </c>
      <c r="H48" s="284">
        <f t="shared" si="1"/>
        <v>303481.5</v>
      </c>
      <c r="I48" s="271"/>
      <c r="J48" s="271"/>
    </row>
    <row r="49" spans="1:10" s="272" customFormat="1" ht="15.75" customHeight="1" outlineLevel="1">
      <c r="A49" s="283" t="s">
        <v>174</v>
      </c>
      <c r="B49" s="558">
        <v>3922</v>
      </c>
      <c r="C49" s="558"/>
      <c r="D49" s="271" t="s">
        <v>398</v>
      </c>
      <c r="E49" s="283">
        <v>2012</v>
      </c>
      <c r="F49" s="284">
        <v>27228</v>
      </c>
      <c r="G49" s="283">
        <f>Input!$C$14-E49+0.5</f>
        <v>10.5</v>
      </c>
      <c r="H49" s="284">
        <f t="shared" si="1"/>
        <v>285894</v>
      </c>
      <c r="I49" s="271"/>
      <c r="J49" s="271"/>
    </row>
    <row r="50" spans="1:10" s="272" customFormat="1" ht="15.75" customHeight="1" outlineLevel="1">
      <c r="A50" s="283" t="s">
        <v>174</v>
      </c>
      <c r="B50" s="558">
        <v>3922</v>
      </c>
      <c r="C50" s="558"/>
      <c r="D50" s="271" t="s">
        <v>398</v>
      </c>
      <c r="E50" s="283">
        <v>2012</v>
      </c>
      <c r="F50" s="284">
        <v>27871</v>
      </c>
      <c r="G50" s="283">
        <f>Input!$C$14-E50+0.5</f>
        <v>10.5</v>
      </c>
      <c r="H50" s="284">
        <f t="shared" si="1"/>
        <v>292645.5</v>
      </c>
      <c r="I50" s="271"/>
      <c r="J50" s="271"/>
    </row>
    <row r="51" spans="1:10" s="272" customFormat="1" ht="15.75" customHeight="1" outlineLevel="1">
      <c r="A51" s="283" t="s">
        <v>174</v>
      </c>
      <c r="B51" s="558">
        <v>3922</v>
      </c>
      <c r="C51" s="558"/>
      <c r="D51" s="271" t="s">
        <v>398</v>
      </c>
      <c r="E51" s="283">
        <v>2012</v>
      </c>
      <c r="F51" s="351">
        <v>27871</v>
      </c>
      <c r="G51" s="283">
        <f>Input!$C$14-E51+0.5</f>
        <v>10.5</v>
      </c>
      <c r="H51" s="284">
        <f t="shared" si="1"/>
        <v>292645.5</v>
      </c>
      <c r="I51" s="271"/>
      <c r="J51" s="271"/>
    </row>
    <row r="52" spans="1:12" s="272" customFormat="1" ht="15.75" customHeight="1" outlineLevel="1">
      <c r="A52" s="283" t="s">
        <v>174</v>
      </c>
      <c r="B52" s="558">
        <v>3922</v>
      </c>
      <c r="C52" s="558"/>
      <c r="D52" s="271" t="s">
        <v>398</v>
      </c>
      <c r="E52" s="283">
        <v>2012</v>
      </c>
      <c r="F52" s="284">
        <v>31990</v>
      </c>
      <c r="G52" s="283">
        <f>Input!$C$14-E52+0.5</f>
        <v>10.5</v>
      </c>
      <c r="H52" s="284">
        <f t="shared" si="1"/>
        <v>335895</v>
      </c>
      <c r="I52" s="271"/>
      <c r="J52" s="271"/>
      <c r="L52" s="295"/>
    </row>
    <row r="53" spans="1:12" s="272" customFormat="1" ht="15.75" customHeight="1" outlineLevel="1">
      <c r="A53" s="283" t="s">
        <v>174</v>
      </c>
      <c r="B53" s="558">
        <v>3922</v>
      </c>
      <c r="C53" s="558"/>
      <c r="D53" s="271" t="s">
        <v>398</v>
      </c>
      <c r="E53" s="283">
        <v>2012</v>
      </c>
      <c r="F53" s="284">
        <v>32283</v>
      </c>
      <c r="G53" s="283">
        <f>Input!$C$14-E53+0.5</f>
        <v>10.5</v>
      </c>
      <c r="H53" s="284">
        <f t="shared" si="1"/>
        <v>338971.5</v>
      </c>
      <c r="I53" s="271"/>
      <c r="J53" s="271"/>
      <c r="L53" s="295"/>
    </row>
    <row r="54" spans="1:12" s="272" customFormat="1" ht="15.75" customHeight="1" outlineLevel="1">
      <c r="A54" s="283" t="s">
        <v>174</v>
      </c>
      <c r="B54" s="558">
        <v>3922</v>
      </c>
      <c r="C54" s="558"/>
      <c r="D54" s="271" t="s">
        <v>399</v>
      </c>
      <c r="E54" s="283">
        <v>2012</v>
      </c>
      <c r="F54" s="284">
        <v>29071</v>
      </c>
      <c r="G54" s="283">
        <f>Input!$C$14-E54+0.5</f>
        <v>10.5</v>
      </c>
      <c r="H54" s="284">
        <f t="shared" si="1"/>
        <v>305245.5</v>
      </c>
      <c r="I54" s="360"/>
      <c r="J54" s="286"/>
      <c r="L54" s="295"/>
    </row>
    <row r="55" spans="1:12" s="272" customFormat="1" ht="15.75" customHeight="1" outlineLevel="1">
      <c r="A55" s="283" t="s">
        <v>174</v>
      </c>
      <c r="B55" s="558">
        <v>3922</v>
      </c>
      <c r="C55" s="558"/>
      <c r="D55" s="271" t="s">
        <v>400</v>
      </c>
      <c r="E55" s="283">
        <v>2012</v>
      </c>
      <c r="F55" s="284">
        <v>32969</v>
      </c>
      <c r="G55" s="283">
        <f>Input!$C$14-E55+0.5</f>
        <v>10.5</v>
      </c>
      <c r="H55" s="284">
        <f t="shared" si="1"/>
        <v>346174.5</v>
      </c>
      <c r="I55" s="360"/>
      <c r="J55" s="286"/>
      <c r="L55" s="295"/>
    </row>
    <row r="56" spans="1:10" ht="15.75" customHeight="1" outlineLevel="1">
      <c r="A56" s="283" t="s">
        <v>174</v>
      </c>
      <c r="B56" s="558">
        <v>3922</v>
      </c>
      <c r="C56" s="558"/>
      <c r="D56" s="271" t="s">
        <v>401</v>
      </c>
      <c r="E56" s="283">
        <v>2013</v>
      </c>
      <c r="F56" s="284">
        <v>30053</v>
      </c>
      <c r="G56" s="283">
        <f>Input!$C$14-E56+0.5</f>
        <v>9.5</v>
      </c>
      <c r="H56" s="284">
        <f t="shared" si="1"/>
        <v>285503.5</v>
      </c>
      <c r="I56" s="360"/>
      <c r="J56" s="286"/>
    </row>
    <row r="57" spans="1:9" ht="15.75" customHeight="1" outlineLevel="1">
      <c r="A57" s="283" t="s">
        <v>174</v>
      </c>
      <c r="B57" s="558">
        <v>3922</v>
      </c>
      <c r="C57" s="558"/>
      <c r="D57" s="271" t="s">
        <v>399</v>
      </c>
      <c r="E57" s="283">
        <v>2013</v>
      </c>
      <c r="F57" s="284">
        <v>33328</v>
      </c>
      <c r="G57" s="283">
        <f>Input!$C$14-E57+0.5</f>
        <v>9.5</v>
      </c>
      <c r="H57" s="284">
        <f t="shared" si="1"/>
        <v>316616</v>
      </c>
      <c r="I57" s="361"/>
    </row>
    <row r="58" spans="1:9" ht="15.75" customHeight="1" outlineLevel="1">
      <c r="A58" s="283" t="s">
        <v>174</v>
      </c>
      <c r="B58" s="558">
        <v>3922</v>
      </c>
      <c r="C58" s="558"/>
      <c r="D58" s="271" t="s">
        <v>402</v>
      </c>
      <c r="E58" s="283">
        <v>2013</v>
      </c>
      <c r="F58" s="284">
        <v>38163</v>
      </c>
      <c r="G58" s="283">
        <f>Input!$C$14-E58+0.5</f>
        <v>9.5</v>
      </c>
      <c r="H58" s="284">
        <f t="shared" si="1"/>
        <v>362548.5</v>
      </c>
      <c r="I58" s="361"/>
    </row>
    <row r="59" spans="1:9" ht="15.75" customHeight="1" outlineLevel="1">
      <c r="A59" s="283" t="s">
        <v>174</v>
      </c>
      <c r="B59" s="558">
        <v>3922</v>
      </c>
      <c r="C59" s="558"/>
      <c r="D59" s="271" t="s">
        <v>403</v>
      </c>
      <c r="E59" s="283">
        <v>2013</v>
      </c>
      <c r="F59" s="284">
        <v>36333</v>
      </c>
      <c r="G59" s="283">
        <f>Input!$C$14-E59+0.5</f>
        <v>9.5</v>
      </c>
      <c r="H59" s="284">
        <f t="shared" si="1"/>
        <v>345163.5</v>
      </c>
      <c r="I59" s="361"/>
    </row>
    <row r="60" spans="1:9" ht="15.75" customHeight="1" outlineLevel="1">
      <c r="A60" s="283" t="s">
        <v>174</v>
      </c>
      <c r="B60" s="558">
        <v>3922</v>
      </c>
      <c r="C60" s="558"/>
      <c r="D60" s="271" t="s">
        <v>403</v>
      </c>
      <c r="E60" s="283">
        <v>2013</v>
      </c>
      <c r="F60" s="284">
        <v>36058</v>
      </c>
      <c r="G60" s="283">
        <f>Input!$C$14-E60+0.5</f>
        <v>9.5</v>
      </c>
      <c r="H60" s="284">
        <f t="shared" si="1"/>
        <v>342551</v>
      </c>
      <c r="I60" s="361"/>
    </row>
    <row r="61" spans="1:9" ht="15.75" customHeight="1" outlineLevel="1">
      <c r="A61" s="283" t="s">
        <v>174</v>
      </c>
      <c r="B61" s="558">
        <v>3922</v>
      </c>
      <c r="C61" s="558"/>
      <c r="D61" s="271" t="s">
        <v>403</v>
      </c>
      <c r="E61" s="283">
        <v>2013</v>
      </c>
      <c r="F61" s="284">
        <v>36058</v>
      </c>
      <c r="G61" s="283">
        <f>Input!$C$14-E61+0.5</f>
        <v>9.5</v>
      </c>
      <c r="H61" s="284">
        <f t="shared" si="1"/>
        <v>342551</v>
      </c>
      <c r="I61" s="361"/>
    </row>
    <row r="62" spans="1:9" ht="15.75" customHeight="1" outlineLevel="1">
      <c r="A62" s="283" t="s">
        <v>174</v>
      </c>
      <c r="B62" s="558">
        <v>3922</v>
      </c>
      <c r="C62" s="558"/>
      <c r="D62" s="271" t="s">
        <v>403</v>
      </c>
      <c r="E62" s="283">
        <v>2013</v>
      </c>
      <c r="F62" s="284">
        <v>36058</v>
      </c>
      <c r="G62" s="283">
        <f>Input!$C$14-E62+0.5</f>
        <v>9.5</v>
      </c>
      <c r="H62" s="284">
        <f t="shared" si="1"/>
        <v>342551</v>
      </c>
      <c r="I62" s="361"/>
    </row>
    <row r="63" spans="1:9" ht="15.75" customHeight="1" outlineLevel="1">
      <c r="A63" s="283" t="s">
        <v>174</v>
      </c>
      <c r="B63" s="558">
        <v>3922</v>
      </c>
      <c r="C63" s="558"/>
      <c r="D63" s="271" t="s">
        <v>403</v>
      </c>
      <c r="E63" s="283">
        <v>2013</v>
      </c>
      <c r="F63" s="284">
        <v>36058</v>
      </c>
      <c r="G63" s="283">
        <f>Input!$C$14-E63+0.5</f>
        <v>9.5</v>
      </c>
      <c r="H63" s="284">
        <f t="shared" si="1"/>
        <v>342551</v>
      </c>
      <c r="I63" s="361"/>
    </row>
    <row r="64" spans="1:9" ht="15.75" customHeight="1" outlineLevel="1">
      <c r="A64" s="283" t="s">
        <v>174</v>
      </c>
      <c r="B64" s="558">
        <v>3922</v>
      </c>
      <c r="C64" s="558"/>
      <c r="D64" s="271" t="s">
        <v>404</v>
      </c>
      <c r="E64" s="283">
        <v>2013</v>
      </c>
      <c r="F64" s="284">
        <v>36058</v>
      </c>
      <c r="G64" s="283">
        <f>Input!$C$14-E64+0.5</f>
        <v>9.5</v>
      </c>
      <c r="H64" s="284">
        <f t="shared" si="1"/>
        <v>342551</v>
      </c>
      <c r="I64" s="361"/>
    </row>
    <row r="65" spans="1:9" ht="15.75" customHeight="1" outlineLevel="1">
      <c r="A65" s="283" t="s">
        <v>174</v>
      </c>
      <c r="B65" s="558">
        <v>3922</v>
      </c>
      <c r="C65" s="558"/>
      <c r="D65" s="271" t="s">
        <v>399</v>
      </c>
      <c r="E65" s="283">
        <v>2013</v>
      </c>
      <c r="F65" s="284">
        <v>29703</v>
      </c>
      <c r="G65" s="283">
        <f>Input!$C$14-E65+0.5</f>
        <v>9.5</v>
      </c>
      <c r="H65" s="284">
        <f t="shared" si="1"/>
        <v>282178.5</v>
      </c>
      <c r="I65" s="361"/>
    </row>
    <row r="66" spans="1:9" ht="15.75" customHeight="1" outlineLevel="1">
      <c r="A66" s="283" t="s">
        <v>174</v>
      </c>
      <c r="B66" s="558">
        <v>3922</v>
      </c>
      <c r="C66" s="558"/>
      <c r="D66" s="271" t="s">
        <v>405</v>
      </c>
      <c r="E66" s="283">
        <v>2013</v>
      </c>
      <c r="F66" s="284">
        <v>84808</v>
      </c>
      <c r="G66" s="283">
        <f>Input!$C$14-E66+0.5</f>
        <v>9.5</v>
      </c>
      <c r="H66" s="284">
        <f t="shared" si="1"/>
        <v>805676</v>
      </c>
      <c r="I66" s="361"/>
    </row>
    <row r="67" spans="1:9" ht="15.75" customHeight="1" outlineLevel="1">
      <c r="A67" s="283" t="s">
        <v>174</v>
      </c>
      <c r="B67" s="558">
        <v>3922</v>
      </c>
      <c r="C67" s="558"/>
      <c r="D67" s="271" t="s">
        <v>406</v>
      </c>
      <c r="E67" s="283">
        <v>2013</v>
      </c>
      <c r="F67" s="284">
        <v>33056</v>
      </c>
      <c r="G67" s="283">
        <f>Input!$C$14-E67+0.5</f>
        <v>9.5</v>
      </c>
      <c r="H67" s="284">
        <f t="shared" si="1"/>
        <v>314032</v>
      </c>
      <c r="I67" s="361"/>
    </row>
    <row r="68" spans="1:9" ht="15.75" customHeight="1" outlineLevel="1">
      <c r="A68" s="283" t="s">
        <v>174</v>
      </c>
      <c r="B68" s="558">
        <v>3922</v>
      </c>
      <c r="C68" s="558"/>
      <c r="D68" s="271" t="s">
        <v>407</v>
      </c>
      <c r="E68" s="283">
        <v>2013</v>
      </c>
      <c r="F68" s="284">
        <v>39668</v>
      </c>
      <c r="G68" s="283">
        <f>Input!$C$14-E68+0.5</f>
        <v>9.5</v>
      </c>
      <c r="H68" s="284">
        <f t="shared" si="1"/>
        <v>376846</v>
      </c>
      <c r="I68" s="361"/>
    </row>
    <row r="69" spans="1:9" ht="15.75" customHeight="1" outlineLevel="1">
      <c r="A69" s="283" t="s">
        <v>174</v>
      </c>
      <c r="B69" s="558">
        <v>3922</v>
      </c>
      <c r="C69" s="558"/>
      <c r="D69" s="271" t="s">
        <v>407</v>
      </c>
      <c r="E69" s="283">
        <v>2013</v>
      </c>
      <c r="F69" s="284">
        <v>36905</v>
      </c>
      <c r="G69" s="283">
        <f>Input!$C$14-E69+0.5</f>
        <v>9.5</v>
      </c>
      <c r="H69" s="284">
        <f t="shared" si="1"/>
        <v>350597.5</v>
      </c>
      <c r="I69" s="361"/>
    </row>
    <row r="70" spans="1:9" ht="15.75" customHeight="1" outlineLevel="1">
      <c r="A70" s="283" t="s">
        <v>174</v>
      </c>
      <c r="B70" s="558">
        <v>3922</v>
      </c>
      <c r="C70" s="558"/>
      <c r="D70" s="271" t="s">
        <v>399</v>
      </c>
      <c r="E70" s="283">
        <v>2013</v>
      </c>
      <c r="F70" s="284">
        <v>30014</v>
      </c>
      <c r="G70" s="283">
        <f>Input!$C$14-E70+0.5</f>
        <v>9.5</v>
      </c>
      <c r="H70" s="284">
        <f t="shared" si="1"/>
        <v>285133</v>
      </c>
      <c r="I70" s="361"/>
    </row>
    <row r="71" spans="1:9" ht="15.75" customHeight="1" outlineLevel="1">
      <c r="A71" s="283" t="s">
        <v>174</v>
      </c>
      <c r="B71" s="558">
        <v>3922</v>
      </c>
      <c r="C71" s="558"/>
      <c r="D71" s="271" t="s">
        <v>408</v>
      </c>
      <c r="E71" s="283">
        <v>2013</v>
      </c>
      <c r="F71" s="284">
        <v>26103</v>
      </c>
      <c r="G71" s="283">
        <f>Input!$C$14-E71+0.5</f>
        <v>9.5</v>
      </c>
      <c r="H71" s="284">
        <f t="shared" si="1"/>
        <v>247978.5</v>
      </c>
      <c r="I71" s="361"/>
    </row>
    <row r="72" spans="1:9" ht="15.75" customHeight="1" outlineLevel="1">
      <c r="A72" s="283" t="s">
        <v>174</v>
      </c>
      <c r="B72" s="558">
        <v>3922</v>
      </c>
      <c r="C72" s="558"/>
      <c r="D72" s="271" t="s">
        <v>408</v>
      </c>
      <c r="E72" s="283">
        <v>2013</v>
      </c>
      <c r="F72" s="284">
        <v>25968</v>
      </c>
      <c r="G72" s="283">
        <f>Input!$C$14-E72+0.5</f>
        <v>9.5</v>
      </c>
      <c r="H72" s="284">
        <f t="shared" si="1"/>
        <v>246696</v>
      </c>
      <c r="I72" s="361"/>
    </row>
    <row r="73" spans="1:9" ht="15.75" customHeight="1" outlineLevel="1">
      <c r="A73" s="283" t="s">
        <v>174</v>
      </c>
      <c r="B73" s="558">
        <v>3922</v>
      </c>
      <c r="C73" s="558"/>
      <c r="D73" s="271" t="s">
        <v>408</v>
      </c>
      <c r="E73" s="283">
        <v>2013</v>
      </c>
      <c r="F73" s="284">
        <v>24623</v>
      </c>
      <c r="G73" s="283">
        <f>Input!$C$14-E73+0.5</f>
        <v>9.5</v>
      </c>
      <c r="H73" s="284">
        <f t="shared" si="1"/>
        <v>233918.5</v>
      </c>
      <c r="I73" s="361"/>
    </row>
    <row r="74" spans="1:9" ht="15.75" customHeight="1" outlineLevel="1">
      <c r="A74" s="283" t="s">
        <v>174</v>
      </c>
      <c r="B74" s="558">
        <v>3922</v>
      </c>
      <c r="C74" s="558"/>
      <c r="D74" s="271" t="s">
        <v>405</v>
      </c>
      <c r="E74" s="283">
        <v>2013</v>
      </c>
      <c r="F74" s="284">
        <v>87440</v>
      </c>
      <c r="G74" s="283">
        <f>Input!$C$14-E74+0.5</f>
        <v>9.5</v>
      </c>
      <c r="H74" s="284">
        <f t="shared" si="1"/>
        <v>830680</v>
      </c>
      <c r="I74" s="361"/>
    </row>
    <row r="75" spans="1:9" ht="15.75" customHeight="1" outlineLevel="1">
      <c r="A75" s="283" t="s">
        <v>174</v>
      </c>
      <c r="B75" s="558">
        <v>3922</v>
      </c>
      <c r="C75" s="558"/>
      <c r="D75" s="271" t="s">
        <v>409</v>
      </c>
      <c r="E75" s="283">
        <v>2013</v>
      </c>
      <c r="F75" s="284">
        <v>36351</v>
      </c>
      <c r="G75" s="283">
        <f>Input!$C$14-E75+0.5</f>
        <v>9.5</v>
      </c>
      <c r="H75" s="284">
        <f t="shared" si="1"/>
        <v>345334.5</v>
      </c>
      <c r="I75" s="361"/>
    </row>
    <row r="76" spans="1:9" ht="15.75" customHeight="1" outlineLevel="1">
      <c r="A76" s="283" t="s">
        <v>174</v>
      </c>
      <c r="B76" s="558">
        <v>3922</v>
      </c>
      <c r="C76" s="558"/>
      <c r="D76" s="271" t="s">
        <v>410</v>
      </c>
      <c r="E76" s="283">
        <v>2014</v>
      </c>
      <c r="F76" s="284">
        <v>39565</v>
      </c>
      <c r="G76" s="283">
        <f>Input!$C$14-E76+0.5</f>
        <v>8.5</v>
      </c>
      <c r="H76" s="284">
        <f t="shared" si="1"/>
        <v>336302.5</v>
      </c>
      <c r="I76" s="361"/>
    </row>
    <row r="77" spans="1:9" ht="15.75" customHeight="1" outlineLevel="1">
      <c r="A77" s="283" t="s">
        <v>174</v>
      </c>
      <c r="B77" s="558">
        <v>3922</v>
      </c>
      <c r="C77" s="558"/>
      <c r="D77" s="271" t="s">
        <v>411</v>
      </c>
      <c r="E77" s="283">
        <v>2014</v>
      </c>
      <c r="F77" s="284">
        <v>82179</v>
      </c>
      <c r="G77" s="283">
        <f>Input!$C$14-E77+0.5</f>
        <v>8.5</v>
      </c>
      <c r="H77" s="284">
        <f t="shared" si="1"/>
        <v>698521.5</v>
      </c>
      <c r="I77" s="361"/>
    </row>
    <row r="78" spans="1:9" ht="15.75" customHeight="1" outlineLevel="1">
      <c r="A78" s="283" t="s">
        <v>174</v>
      </c>
      <c r="B78" s="558">
        <v>3922</v>
      </c>
      <c r="C78" s="558"/>
      <c r="D78" s="271" t="s">
        <v>412</v>
      </c>
      <c r="E78" s="283">
        <v>2014</v>
      </c>
      <c r="F78" s="284">
        <v>38111</v>
      </c>
      <c r="G78" s="283">
        <f>Input!$C$14-E78+0.5</f>
        <v>8.5</v>
      </c>
      <c r="H78" s="284">
        <f t="shared" si="1"/>
        <v>323943.5</v>
      </c>
      <c r="I78" s="361"/>
    </row>
    <row r="79" spans="1:9" ht="15.75" customHeight="1" outlineLevel="1">
      <c r="A79" s="283" t="s">
        <v>174</v>
      </c>
      <c r="B79" s="558">
        <v>3922</v>
      </c>
      <c r="C79" s="558"/>
      <c r="D79" s="271" t="s">
        <v>413</v>
      </c>
      <c r="E79" s="283">
        <v>2014</v>
      </c>
      <c r="F79" s="284">
        <v>38870</v>
      </c>
      <c r="G79" s="283">
        <f>Input!$C$14-E79+0.5</f>
        <v>8.5</v>
      </c>
      <c r="H79" s="284">
        <f t="shared" si="1"/>
        <v>330395</v>
      </c>
      <c r="I79" s="361"/>
    </row>
    <row r="80" spans="1:9" ht="15.75" customHeight="1" outlineLevel="1">
      <c r="A80" s="283" t="s">
        <v>174</v>
      </c>
      <c r="B80" s="558">
        <v>3922</v>
      </c>
      <c r="C80" s="558"/>
      <c r="D80" s="271" t="s">
        <v>413</v>
      </c>
      <c r="E80" s="283">
        <v>2014</v>
      </c>
      <c r="F80" s="284">
        <v>38870</v>
      </c>
      <c r="G80" s="283">
        <f>Input!$C$14-E80+0.5</f>
        <v>8.5</v>
      </c>
      <c r="H80" s="284">
        <f t="shared" si="1"/>
        <v>330395</v>
      </c>
      <c r="I80" s="361"/>
    </row>
    <row r="81" spans="1:9" ht="15.75" customHeight="1" outlineLevel="1">
      <c r="A81" s="283" t="s">
        <v>174</v>
      </c>
      <c r="B81" s="558">
        <v>3922</v>
      </c>
      <c r="C81" s="558"/>
      <c r="D81" s="271" t="s">
        <v>414</v>
      </c>
      <c r="E81" s="283">
        <v>2014</v>
      </c>
      <c r="F81" s="284">
        <v>38280</v>
      </c>
      <c r="G81" s="283">
        <f>Input!$C$14-E81+0.5</f>
        <v>8.5</v>
      </c>
      <c r="H81" s="284">
        <f t="shared" si="1"/>
        <v>325380</v>
      </c>
      <c r="I81" s="361"/>
    </row>
    <row r="82" spans="1:9" ht="15.75" customHeight="1" outlineLevel="1">
      <c r="A82" s="283" t="s">
        <v>174</v>
      </c>
      <c r="B82" s="558">
        <v>3922</v>
      </c>
      <c r="C82" s="558"/>
      <c r="D82" s="271" t="s">
        <v>415</v>
      </c>
      <c r="E82" s="283">
        <v>2014</v>
      </c>
      <c r="F82" s="284">
        <v>27916</v>
      </c>
      <c r="G82" s="283">
        <f>Input!$C$14-E82+0.5</f>
        <v>8.5</v>
      </c>
      <c r="H82" s="284">
        <f t="shared" si="1"/>
        <v>237286</v>
      </c>
      <c r="I82" s="361"/>
    </row>
    <row r="83" spans="1:9" ht="15.75" customHeight="1" outlineLevel="1">
      <c r="A83" s="283" t="s">
        <v>174</v>
      </c>
      <c r="B83" s="558">
        <v>3922</v>
      </c>
      <c r="C83" s="558"/>
      <c r="D83" s="271" t="s">
        <v>415</v>
      </c>
      <c r="E83" s="283">
        <v>2014</v>
      </c>
      <c r="F83" s="284">
        <v>27916</v>
      </c>
      <c r="G83" s="283">
        <f>Input!$C$14-E83+0.5</f>
        <v>8.5</v>
      </c>
      <c r="H83" s="284">
        <f t="shared" si="1"/>
        <v>237286</v>
      </c>
      <c r="I83" s="361"/>
    </row>
    <row r="84" spans="1:9" ht="15.75" customHeight="1" outlineLevel="1">
      <c r="A84" s="283" t="s">
        <v>174</v>
      </c>
      <c r="B84" s="558">
        <v>3922</v>
      </c>
      <c r="C84" s="558"/>
      <c r="D84" s="271" t="s">
        <v>416</v>
      </c>
      <c r="E84" s="283">
        <v>2015</v>
      </c>
      <c r="F84" s="284">
        <v>83693</v>
      </c>
      <c r="G84" s="283">
        <f>Input!$C$14-E84+0.5</f>
        <v>7.5</v>
      </c>
      <c r="H84" s="284">
        <f t="shared" si="1"/>
        <v>627697.5</v>
      </c>
      <c r="I84" s="361"/>
    </row>
    <row r="85" spans="1:9" ht="15.75" customHeight="1" outlineLevel="1">
      <c r="A85" s="283" t="s">
        <v>174</v>
      </c>
      <c r="B85" s="558">
        <v>3922</v>
      </c>
      <c r="C85" s="558"/>
      <c r="D85" s="271" t="s">
        <v>417</v>
      </c>
      <c r="E85" s="283">
        <v>2015</v>
      </c>
      <c r="F85" s="284">
        <v>37757</v>
      </c>
      <c r="G85" s="283">
        <f>Input!$C$14-E85+0.5</f>
        <v>7.5</v>
      </c>
      <c r="H85" s="284">
        <f t="shared" si="1"/>
        <v>283177.5</v>
      </c>
      <c r="I85" s="361"/>
    </row>
    <row r="86" spans="1:9" ht="15.75" customHeight="1" outlineLevel="1">
      <c r="A86" s="283" t="s">
        <v>174</v>
      </c>
      <c r="B86" s="558">
        <v>3922</v>
      </c>
      <c r="C86" s="558"/>
      <c r="D86" s="271" t="s">
        <v>418</v>
      </c>
      <c r="E86" s="283">
        <v>2015</v>
      </c>
      <c r="F86" s="284">
        <v>40444</v>
      </c>
      <c r="G86" s="283">
        <f>Input!$C$14-E86+0.5</f>
        <v>7.5</v>
      </c>
      <c r="H86" s="284">
        <f t="shared" si="1"/>
        <v>303330</v>
      </c>
      <c r="I86" s="361"/>
    </row>
    <row r="87" spans="1:9" ht="15.75" customHeight="1" outlineLevel="1">
      <c r="A87" s="283" t="s">
        <v>174</v>
      </c>
      <c r="B87" s="558">
        <v>3922</v>
      </c>
      <c r="C87" s="558"/>
      <c r="D87" s="271" t="s">
        <v>419</v>
      </c>
      <c r="E87" s="283">
        <v>2015</v>
      </c>
      <c r="F87" s="284">
        <v>37822</v>
      </c>
      <c r="G87" s="283">
        <f>Input!$C$14-E87+0.5</f>
        <v>7.5</v>
      </c>
      <c r="H87" s="284">
        <f t="shared" si="1"/>
        <v>283665</v>
      </c>
      <c r="I87" s="361"/>
    </row>
    <row r="88" spans="1:9" ht="15.75" customHeight="1" outlineLevel="1">
      <c r="A88" s="283" t="s">
        <v>174</v>
      </c>
      <c r="B88" s="558">
        <v>3922</v>
      </c>
      <c r="C88" s="558"/>
      <c r="D88" s="271" t="s">
        <v>420</v>
      </c>
      <c r="E88" s="283">
        <v>2015</v>
      </c>
      <c r="F88" s="284">
        <v>35299</v>
      </c>
      <c r="G88" s="283">
        <f>Input!$C$14-E88+0.5</f>
        <v>7.5</v>
      </c>
      <c r="H88" s="284">
        <f t="shared" si="1"/>
        <v>264742.5</v>
      </c>
      <c r="I88" s="361"/>
    </row>
    <row r="89" spans="1:9" ht="15.75" customHeight="1" outlineLevel="1">
      <c r="A89" s="283" t="s">
        <v>174</v>
      </c>
      <c r="B89" s="558">
        <v>3922</v>
      </c>
      <c r="C89" s="558"/>
      <c r="D89" s="271" t="s">
        <v>421</v>
      </c>
      <c r="E89" s="283">
        <v>2015</v>
      </c>
      <c r="F89" s="284">
        <v>38855</v>
      </c>
      <c r="G89" s="283">
        <f>Input!$C$14-E89+0.5</f>
        <v>7.5</v>
      </c>
      <c r="H89" s="284">
        <f t="shared" si="1"/>
        <v>291412.5</v>
      </c>
      <c r="I89" s="361"/>
    </row>
    <row r="90" spans="1:9" ht="15.75" customHeight="1" outlineLevel="1">
      <c r="A90" s="283" t="s">
        <v>174</v>
      </c>
      <c r="B90" s="558">
        <v>3922</v>
      </c>
      <c r="C90" s="558"/>
      <c r="D90" s="271" t="s">
        <v>421</v>
      </c>
      <c r="E90" s="283">
        <v>2015</v>
      </c>
      <c r="F90" s="284">
        <v>39481</v>
      </c>
      <c r="G90" s="283">
        <f>Input!$C$14-E90+0.5</f>
        <v>7.5</v>
      </c>
      <c r="H90" s="284">
        <f t="shared" si="1"/>
        <v>296107.5</v>
      </c>
      <c r="I90" s="361"/>
    </row>
    <row r="91" spans="1:9" ht="15.75" customHeight="1" outlineLevel="1">
      <c r="A91" s="283" t="s">
        <v>174</v>
      </c>
      <c r="B91" s="558">
        <v>3922</v>
      </c>
      <c r="C91" s="558"/>
      <c r="D91" s="271" t="s">
        <v>422</v>
      </c>
      <c r="E91" s="283">
        <v>2016</v>
      </c>
      <c r="F91" s="284">
        <v>59703</v>
      </c>
      <c r="G91" s="283">
        <f>Input!$C$14-E91+0.5</f>
        <v>6.5</v>
      </c>
      <c r="H91" s="284">
        <f t="shared" si="1"/>
        <v>388069.5</v>
      </c>
      <c r="I91" s="361"/>
    </row>
    <row r="92" spans="1:9" ht="15.75" customHeight="1" outlineLevel="1">
      <c r="A92" s="283" t="s">
        <v>174</v>
      </c>
      <c r="B92" s="558">
        <v>3922</v>
      </c>
      <c r="C92" s="558"/>
      <c r="D92" s="271" t="s">
        <v>422</v>
      </c>
      <c r="E92" s="283">
        <v>2016</v>
      </c>
      <c r="F92" s="284">
        <v>10703</v>
      </c>
      <c r="G92" s="283">
        <f>Input!$C$14-E92+0.5</f>
        <v>6.5</v>
      </c>
      <c r="H92" s="284">
        <f t="shared" si="1"/>
        <v>69569.5</v>
      </c>
      <c r="I92" s="361"/>
    </row>
    <row r="93" spans="1:9" ht="15.75" customHeight="1" outlineLevel="1">
      <c r="A93" s="283" t="s">
        <v>174</v>
      </c>
      <c r="B93" s="558">
        <v>3922</v>
      </c>
      <c r="C93" s="558"/>
      <c r="D93" s="271" t="s">
        <v>423</v>
      </c>
      <c r="E93" s="283">
        <v>2016</v>
      </c>
      <c r="F93" s="284">
        <v>32266</v>
      </c>
      <c r="G93" s="283">
        <f>Input!$C$14-E93+0.5</f>
        <v>6.5</v>
      </c>
      <c r="H93" s="284">
        <f t="shared" si="2" ref="H93:H156">+F93*G93</f>
        <v>209729</v>
      </c>
      <c r="I93" s="361"/>
    </row>
    <row r="94" spans="1:9" ht="15.75" customHeight="1" outlineLevel="1">
      <c r="A94" s="283" t="s">
        <v>174</v>
      </c>
      <c r="B94" s="558">
        <v>3922</v>
      </c>
      <c r="C94" s="558"/>
      <c r="D94" s="271" t="s">
        <v>422</v>
      </c>
      <c r="E94" s="283">
        <v>2016</v>
      </c>
      <c r="F94" s="284">
        <v>57741</v>
      </c>
      <c r="G94" s="283">
        <f>Input!$C$14-E94+0.5</f>
        <v>6.5</v>
      </c>
      <c r="H94" s="284">
        <f t="shared" si="2"/>
        <v>375316.5</v>
      </c>
      <c r="I94" s="361"/>
    </row>
    <row r="95" spans="1:9" ht="15.75" customHeight="1" outlineLevel="1">
      <c r="A95" s="283" t="s">
        <v>174</v>
      </c>
      <c r="B95" s="558">
        <v>3922</v>
      </c>
      <c r="C95" s="558"/>
      <c r="D95" s="271" t="s">
        <v>424</v>
      </c>
      <c r="E95" s="283">
        <v>2016</v>
      </c>
      <c r="F95" s="284">
        <v>38914</v>
      </c>
      <c r="G95" s="283">
        <f>Input!$C$14-E95+0.5</f>
        <v>6.5</v>
      </c>
      <c r="H95" s="284">
        <f t="shared" si="2"/>
        <v>252941</v>
      </c>
      <c r="I95" s="361"/>
    </row>
    <row r="96" spans="1:9" ht="15.75" customHeight="1" outlineLevel="1">
      <c r="A96" s="283" t="s">
        <v>174</v>
      </c>
      <c r="B96" s="558">
        <v>3922</v>
      </c>
      <c r="C96" s="558"/>
      <c r="D96" s="271" t="s">
        <v>425</v>
      </c>
      <c r="E96" s="283">
        <v>2016</v>
      </c>
      <c r="F96" s="284">
        <v>42093</v>
      </c>
      <c r="G96" s="283">
        <f>Input!$C$14-E96+0.5</f>
        <v>6.5</v>
      </c>
      <c r="H96" s="284">
        <f t="shared" si="2"/>
        <v>273604.5</v>
      </c>
      <c r="I96" s="361"/>
    </row>
    <row r="97" spans="1:9" ht="15.75" customHeight="1" outlineLevel="1">
      <c r="A97" s="283" t="s">
        <v>174</v>
      </c>
      <c r="B97" s="558">
        <v>3922</v>
      </c>
      <c r="C97" s="558"/>
      <c r="D97" s="271" t="s">
        <v>426</v>
      </c>
      <c r="E97" s="283">
        <v>2017</v>
      </c>
      <c r="F97" s="284">
        <v>65784</v>
      </c>
      <c r="G97" s="283">
        <f>Input!$C$14-E97+0.5</f>
        <v>5.5</v>
      </c>
      <c r="H97" s="284">
        <f t="shared" si="2"/>
        <v>361812</v>
      </c>
      <c r="I97" s="361"/>
    </row>
    <row r="98" spans="1:9" ht="15.75" customHeight="1" outlineLevel="1">
      <c r="A98" s="283" t="s">
        <v>174</v>
      </c>
      <c r="B98" s="558">
        <v>3922</v>
      </c>
      <c r="C98" s="558"/>
      <c r="D98" s="271" t="s">
        <v>426</v>
      </c>
      <c r="E98" s="283">
        <v>2017</v>
      </c>
      <c r="F98" s="284">
        <v>64707</v>
      </c>
      <c r="G98" s="283">
        <f>Input!$C$14-E98+0.5</f>
        <v>5.5</v>
      </c>
      <c r="H98" s="284">
        <f t="shared" si="2"/>
        <v>355888.5</v>
      </c>
      <c r="I98" s="361"/>
    </row>
    <row r="99" spans="1:9" ht="15.75" customHeight="1" outlineLevel="1">
      <c r="A99" s="283" t="s">
        <v>174</v>
      </c>
      <c r="B99" s="558">
        <v>3922</v>
      </c>
      <c r="C99" s="558"/>
      <c r="D99" s="271" t="s">
        <v>427</v>
      </c>
      <c r="E99" s="283">
        <v>2017</v>
      </c>
      <c r="F99" s="284">
        <v>59449</v>
      </c>
      <c r="G99" s="283">
        <f>Input!$C$14-E99+0.5</f>
        <v>5.5</v>
      </c>
      <c r="H99" s="284">
        <f t="shared" si="2"/>
        <v>326969.5</v>
      </c>
      <c r="I99" s="361"/>
    </row>
    <row r="100" spans="1:9" ht="15.75" customHeight="1" outlineLevel="1">
      <c r="A100" s="283" t="s">
        <v>174</v>
      </c>
      <c r="B100" s="558">
        <v>3922</v>
      </c>
      <c r="C100" s="558"/>
      <c r="D100" s="271" t="s">
        <v>668</v>
      </c>
      <c r="E100" s="283">
        <v>2018</v>
      </c>
      <c r="F100" s="284">
        <v>46954</v>
      </c>
      <c r="G100" s="283">
        <f>Input!$C$14-E100+0.5</f>
        <v>4.5</v>
      </c>
      <c r="H100" s="284">
        <f t="shared" si="2"/>
        <v>211293</v>
      </c>
      <c r="I100" s="361"/>
    </row>
    <row r="101" spans="1:9" ht="15.75" customHeight="1" outlineLevel="1">
      <c r="A101" s="283" t="s">
        <v>174</v>
      </c>
      <c r="B101" s="558">
        <v>3922</v>
      </c>
      <c r="C101" s="558"/>
      <c r="D101" s="271" t="s">
        <v>375</v>
      </c>
      <c r="E101" s="283">
        <v>2018</v>
      </c>
      <c r="F101" s="284">
        <v>46271</v>
      </c>
      <c r="G101" s="283">
        <f>Input!$C$14-E101+0.5</f>
        <v>4.5</v>
      </c>
      <c r="H101" s="284">
        <f t="shared" si="2"/>
        <v>208219.5</v>
      </c>
      <c r="I101" s="361"/>
    </row>
    <row r="102" spans="1:9" ht="15.75" customHeight="1" outlineLevel="1">
      <c r="A102" s="283" t="s">
        <v>174</v>
      </c>
      <c r="B102" s="558">
        <v>3922</v>
      </c>
      <c r="C102" s="558"/>
      <c r="D102" s="271" t="s">
        <v>428</v>
      </c>
      <c r="E102" s="283">
        <v>2018</v>
      </c>
      <c r="F102" s="284">
        <v>46282</v>
      </c>
      <c r="G102" s="283">
        <f>Input!$C$14-E102+0.5</f>
        <v>4.5</v>
      </c>
      <c r="H102" s="284">
        <f t="shared" si="2"/>
        <v>208269</v>
      </c>
      <c r="I102" s="361"/>
    </row>
    <row r="103" spans="1:9" ht="15.75" customHeight="1" outlineLevel="1">
      <c r="A103" s="283" t="s">
        <v>174</v>
      </c>
      <c r="B103" s="558">
        <v>3922</v>
      </c>
      <c r="C103" s="558"/>
      <c r="D103" s="271" t="s">
        <v>375</v>
      </c>
      <c r="E103" s="283">
        <v>2018</v>
      </c>
      <c r="F103" s="284">
        <v>47673</v>
      </c>
      <c r="G103" s="283">
        <f>Input!$C$14-E103+0.5</f>
        <v>4.5</v>
      </c>
      <c r="H103" s="284">
        <f t="shared" si="2"/>
        <v>214528.5</v>
      </c>
      <c r="I103" s="361"/>
    </row>
    <row r="104" spans="1:9" ht="15.75" customHeight="1" outlineLevel="1">
      <c r="A104" s="283" t="s">
        <v>174</v>
      </c>
      <c r="B104" s="558">
        <v>3922</v>
      </c>
      <c r="C104" s="558"/>
      <c r="D104" s="271" t="s">
        <v>429</v>
      </c>
      <c r="E104" s="283">
        <v>2018</v>
      </c>
      <c r="F104" s="284">
        <v>40826</v>
      </c>
      <c r="G104" s="283">
        <f>Input!$C$14-E104+0.5</f>
        <v>4.5</v>
      </c>
      <c r="H104" s="284">
        <f t="shared" si="2"/>
        <v>183717</v>
      </c>
      <c r="I104" s="361"/>
    </row>
    <row r="105" spans="1:9" ht="15.75" customHeight="1" outlineLevel="1">
      <c r="A105" s="283" t="s">
        <v>174</v>
      </c>
      <c r="B105" s="558">
        <v>3922</v>
      </c>
      <c r="C105" s="558"/>
      <c r="D105" s="271" t="s">
        <v>430</v>
      </c>
      <c r="E105" s="283">
        <v>2018</v>
      </c>
      <c r="F105" s="284">
        <v>3451</v>
      </c>
      <c r="G105" s="283">
        <f>Input!$C$14-E105+0.5</f>
        <v>4.5</v>
      </c>
      <c r="H105" s="284">
        <f t="shared" si="2"/>
        <v>15529.5</v>
      </c>
      <c r="I105" s="361"/>
    </row>
    <row r="106" spans="1:9" ht="15.75" customHeight="1" outlineLevel="1">
      <c r="A106" s="283" t="s">
        <v>174</v>
      </c>
      <c r="B106" s="558">
        <v>3922</v>
      </c>
      <c r="C106" s="558"/>
      <c r="D106" s="271" t="s">
        <v>375</v>
      </c>
      <c r="E106" s="283">
        <v>2018</v>
      </c>
      <c r="F106" s="284">
        <v>49151</v>
      </c>
      <c r="G106" s="283">
        <f>Input!$C$14-E106+0.5</f>
        <v>4.5</v>
      </c>
      <c r="H106" s="284">
        <f t="shared" si="2"/>
        <v>221179.5</v>
      </c>
      <c r="I106" s="361"/>
    </row>
    <row r="107" spans="1:9" ht="15.75" customHeight="1" outlineLevel="1">
      <c r="A107" s="283" t="s">
        <v>174</v>
      </c>
      <c r="B107" s="558">
        <v>3922</v>
      </c>
      <c r="C107" s="558"/>
      <c r="D107" s="271" t="s">
        <v>431</v>
      </c>
      <c r="E107" s="283">
        <v>2018</v>
      </c>
      <c r="F107" s="284">
        <v>53694</v>
      </c>
      <c r="G107" s="283">
        <f>Input!$C$14-E107+0.5</f>
        <v>4.5</v>
      </c>
      <c r="H107" s="284">
        <f t="shared" si="2"/>
        <v>241623</v>
      </c>
      <c r="I107" s="361"/>
    </row>
    <row r="108" spans="1:9" ht="15.75" customHeight="1" outlineLevel="1">
      <c r="A108" s="283" t="s">
        <v>174</v>
      </c>
      <c r="B108" s="558">
        <v>3922</v>
      </c>
      <c r="C108" s="558"/>
      <c r="D108" s="271" t="s">
        <v>432</v>
      </c>
      <c r="E108" s="283">
        <v>2018</v>
      </c>
      <c r="F108" s="284">
        <v>39979</v>
      </c>
      <c r="G108" s="283">
        <f>Input!$C$14-E108+0.5</f>
        <v>4.5</v>
      </c>
      <c r="H108" s="284">
        <f t="shared" si="2"/>
        <v>179905.5</v>
      </c>
      <c r="I108" s="361"/>
    </row>
    <row r="109" spans="1:9" ht="15.75" customHeight="1" outlineLevel="1">
      <c r="A109" s="283" t="s">
        <v>174</v>
      </c>
      <c r="B109" s="558">
        <v>3922</v>
      </c>
      <c r="C109" s="558"/>
      <c r="D109" s="271" t="s">
        <v>432</v>
      </c>
      <c r="E109" s="283">
        <v>2018</v>
      </c>
      <c r="F109" s="284">
        <v>40665</v>
      </c>
      <c r="G109" s="283">
        <f>Input!$C$14-E109+0.5</f>
        <v>4.5</v>
      </c>
      <c r="H109" s="284">
        <f t="shared" si="2"/>
        <v>182992.5</v>
      </c>
      <c r="I109" s="361"/>
    </row>
    <row r="110" spans="1:9" ht="15.75" customHeight="1" outlineLevel="1">
      <c r="A110" s="283" t="s">
        <v>174</v>
      </c>
      <c r="B110" s="558">
        <v>3922</v>
      </c>
      <c r="C110" s="558"/>
      <c r="D110" s="271" t="s">
        <v>432</v>
      </c>
      <c r="E110" s="283">
        <v>2018</v>
      </c>
      <c r="F110" s="284">
        <v>42729</v>
      </c>
      <c r="G110" s="283">
        <f>Input!$C$14-E110+0.5</f>
        <v>4.5</v>
      </c>
      <c r="H110" s="284">
        <f t="shared" si="2"/>
        <v>192280.5</v>
      </c>
      <c r="I110" s="361"/>
    </row>
    <row r="111" spans="1:9" ht="15.75" customHeight="1" outlineLevel="1">
      <c r="A111" s="283" t="s">
        <v>174</v>
      </c>
      <c r="B111" s="558">
        <v>3922</v>
      </c>
      <c r="C111" s="558"/>
      <c r="D111" s="271" t="s">
        <v>432</v>
      </c>
      <c r="E111" s="283">
        <v>2018</v>
      </c>
      <c r="F111" s="284">
        <v>43090</v>
      </c>
      <c r="G111" s="283">
        <f>Input!$C$14-E111+0.5</f>
        <v>4.5</v>
      </c>
      <c r="H111" s="284">
        <f t="shared" si="2"/>
        <v>193905</v>
      </c>
      <c r="I111" s="361"/>
    </row>
    <row r="112" spans="1:9" ht="15.75" customHeight="1" outlineLevel="1">
      <c r="A112" s="283" t="s">
        <v>174</v>
      </c>
      <c r="B112" s="558">
        <v>3922</v>
      </c>
      <c r="C112" s="558"/>
      <c r="D112" s="271" t="s">
        <v>669</v>
      </c>
      <c r="E112" s="283">
        <v>2019</v>
      </c>
      <c r="F112" s="284">
        <v>41531</v>
      </c>
      <c r="G112" s="283">
        <f>Input!$C$14-E112+0.5</f>
        <v>3.5</v>
      </c>
      <c r="H112" s="284">
        <f t="shared" si="2"/>
        <v>145358.5</v>
      </c>
      <c r="I112" s="361"/>
    </row>
    <row r="113" spans="1:9" ht="15.75" customHeight="1" outlineLevel="1">
      <c r="A113" s="283" t="s">
        <v>174</v>
      </c>
      <c r="B113" s="558">
        <v>3922</v>
      </c>
      <c r="C113" s="558"/>
      <c r="D113" s="271" t="s">
        <v>433</v>
      </c>
      <c r="E113" s="283">
        <v>2019</v>
      </c>
      <c r="F113" s="284">
        <v>51156</v>
      </c>
      <c r="G113" s="283">
        <f>Input!$C$14-E113+0.5</f>
        <v>3.5</v>
      </c>
      <c r="H113" s="284">
        <f t="shared" si="2"/>
        <v>179046</v>
      </c>
      <c r="I113" s="361"/>
    </row>
    <row r="114" spans="1:9" ht="15.75" customHeight="1" outlineLevel="1">
      <c r="A114" s="283" t="s">
        <v>174</v>
      </c>
      <c r="B114" s="558">
        <v>3922</v>
      </c>
      <c r="C114" s="558"/>
      <c r="D114" s="271" t="s">
        <v>670</v>
      </c>
      <c r="E114" s="283">
        <v>2019</v>
      </c>
      <c r="F114" s="284">
        <v>47430</v>
      </c>
      <c r="G114" s="283">
        <f>Input!$C$14-E114+0.5</f>
        <v>3.5</v>
      </c>
      <c r="H114" s="284">
        <f t="shared" si="2"/>
        <v>166005</v>
      </c>
      <c r="I114" s="361"/>
    </row>
    <row r="115" spans="1:9" ht="15.75" customHeight="1" outlineLevel="1">
      <c r="A115" s="283" t="s">
        <v>174</v>
      </c>
      <c r="B115" s="558">
        <v>3922</v>
      </c>
      <c r="C115" s="558"/>
      <c r="D115" s="271" t="s">
        <v>434</v>
      </c>
      <c r="E115" s="283">
        <v>2019</v>
      </c>
      <c r="F115" s="284">
        <v>4277</v>
      </c>
      <c r="G115" s="283">
        <f>Input!$C$14-E115+0.5</f>
        <v>3.5</v>
      </c>
      <c r="H115" s="284">
        <f t="shared" si="2"/>
        <v>14969.5</v>
      </c>
      <c r="I115" s="361"/>
    </row>
    <row r="116" spans="1:9" ht="15.75" customHeight="1" outlineLevel="1">
      <c r="A116" s="283" t="s">
        <v>174</v>
      </c>
      <c r="B116" s="558">
        <v>3922</v>
      </c>
      <c r="C116" s="558"/>
      <c r="D116" s="271" t="s">
        <v>435</v>
      </c>
      <c r="E116" s="283">
        <v>2019</v>
      </c>
      <c r="F116" s="284">
        <v>5580</v>
      </c>
      <c r="G116" s="283">
        <f>Input!$C$14-E116+0.5</f>
        <v>3.5</v>
      </c>
      <c r="H116" s="284">
        <f t="shared" si="2"/>
        <v>19530</v>
      </c>
      <c r="I116" s="361"/>
    </row>
    <row r="117" spans="1:9" ht="15.75" customHeight="1" outlineLevel="1">
      <c r="A117" s="283" t="s">
        <v>174</v>
      </c>
      <c r="B117" s="558">
        <v>3922</v>
      </c>
      <c r="C117" s="558"/>
      <c r="D117" s="271" t="s">
        <v>436</v>
      </c>
      <c r="E117" s="283">
        <v>2020</v>
      </c>
      <c r="F117" s="284">
        <v>43749</v>
      </c>
      <c r="G117" s="283">
        <f>Input!$C$14-E117+0.5</f>
        <v>2.5</v>
      </c>
      <c r="H117" s="284">
        <f t="shared" si="2"/>
        <v>109372.5</v>
      </c>
      <c r="I117" s="361"/>
    </row>
    <row r="118" spans="1:9" ht="15.75" customHeight="1" outlineLevel="1">
      <c r="A118" s="283" t="s">
        <v>174</v>
      </c>
      <c r="B118" s="558">
        <v>3922</v>
      </c>
      <c r="C118" s="558"/>
      <c r="D118" s="271" t="s">
        <v>437</v>
      </c>
      <c r="E118" s="283">
        <v>2020</v>
      </c>
      <c r="F118" s="284">
        <v>51084</v>
      </c>
      <c r="G118" s="283">
        <f>Input!$C$14-E118+0.5</f>
        <v>2.5</v>
      </c>
      <c r="H118" s="284">
        <f t="shared" si="2"/>
        <v>127710</v>
      </c>
      <c r="I118" s="361"/>
    </row>
    <row r="119" spans="1:9" ht="15.75" customHeight="1" outlineLevel="1">
      <c r="A119" s="283" t="s">
        <v>174</v>
      </c>
      <c r="B119" s="558">
        <v>3922</v>
      </c>
      <c r="C119" s="558"/>
      <c r="D119" s="271" t="s">
        <v>438</v>
      </c>
      <c r="E119" s="283">
        <v>2020</v>
      </c>
      <c r="F119" s="284">
        <v>49196</v>
      </c>
      <c r="G119" s="283">
        <f>Input!$C$14-E119+0.5</f>
        <v>2.5</v>
      </c>
      <c r="H119" s="284">
        <f t="shared" si="2"/>
        <v>122990</v>
      </c>
      <c r="I119" s="361"/>
    </row>
    <row r="120" spans="1:9" ht="15.75" customHeight="1" outlineLevel="1">
      <c r="A120" s="283" t="s">
        <v>174</v>
      </c>
      <c r="B120" s="558">
        <v>3922</v>
      </c>
      <c r="C120" s="558"/>
      <c r="D120" s="271" t="s">
        <v>438</v>
      </c>
      <c r="E120" s="283">
        <v>2020</v>
      </c>
      <c r="F120" s="284">
        <v>49248</v>
      </c>
      <c r="G120" s="283">
        <f>Input!$C$14-E120+0.5</f>
        <v>2.5</v>
      </c>
      <c r="H120" s="284">
        <f t="shared" si="2"/>
        <v>123120</v>
      </c>
      <c r="I120" s="361"/>
    </row>
    <row r="121" spans="1:9" ht="15.75" customHeight="1" outlineLevel="1">
      <c r="A121" s="283" t="s">
        <v>174</v>
      </c>
      <c r="B121" s="558">
        <v>3922</v>
      </c>
      <c r="C121" s="558"/>
      <c r="D121" s="271" t="s">
        <v>436</v>
      </c>
      <c r="E121" s="283">
        <v>2020</v>
      </c>
      <c r="F121" s="284">
        <v>49417</v>
      </c>
      <c r="G121" s="283">
        <f>Input!$C$14-E121+0.5</f>
        <v>2.5</v>
      </c>
      <c r="H121" s="284">
        <f t="shared" si="2"/>
        <v>123542.5</v>
      </c>
      <c r="I121" s="361"/>
    </row>
    <row r="122" spans="1:9" ht="15.75" customHeight="1" outlineLevel="1">
      <c r="A122" s="283" t="s">
        <v>174</v>
      </c>
      <c r="B122" s="558">
        <v>3922</v>
      </c>
      <c r="C122" s="558"/>
      <c r="D122" s="271" t="s">
        <v>671</v>
      </c>
      <c r="E122" s="283">
        <v>2020</v>
      </c>
      <c r="F122" s="284">
        <v>4650</v>
      </c>
      <c r="G122" s="283">
        <f>Input!$C$14-E122+0.5</f>
        <v>2.5</v>
      </c>
      <c r="H122" s="284">
        <f t="shared" si="2"/>
        <v>11625</v>
      </c>
      <c r="I122" s="361"/>
    </row>
    <row r="123" spans="1:9" ht="15.75" customHeight="1" outlineLevel="1">
      <c r="A123" s="283" t="s">
        <v>174</v>
      </c>
      <c r="B123" s="558">
        <v>3922</v>
      </c>
      <c r="C123" s="558"/>
      <c r="D123" s="271" t="s">
        <v>672</v>
      </c>
      <c r="E123" s="283">
        <v>2020</v>
      </c>
      <c r="F123" s="284">
        <v>4490</v>
      </c>
      <c r="G123" s="283">
        <f>Input!$C$14-E123+0.5</f>
        <v>2.5</v>
      </c>
      <c r="H123" s="284">
        <f t="shared" si="2"/>
        <v>11225</v>
      </c>
      <c r="I123" s="361"/>
    </row>
    <row r="124" spans="1:9" ht="15.75" customHeight="1" outlineLevel="1">
      <c r="A124" s="283" t="s">
        <v>174</v>
      </c>
      <c r="B124" s="558">
        <v>3922</v>
      </c>
      <c r="C124" s="558"/>
      <c r="D124" s="271" t="s">
        <v>437</v>
      </c>
      <c r="E124" s="283">
        <v>2020</v>
      </c>
      <c r="F124" s="284">
        <v>36286</v>
      </c>
      <c r="G124" s="283">
        <f>Input!$C$14-E124+0.5</f>
        <v>2.5</v>
      </c>
      <c r="H124" s="284">
        <f t="shared" si="2"/>
        <v>90715</v>
      </c>
      <c r="I124" s="361"/>
    </row>
    <row r="125" spans="1:9" ht="15.75" customHeight="1" outlineLevel="1">
      <c r="A125" s="283" t="s">
        <v>174</v>
      </c>
      <c r="B125" s="558">
        <v>3922</v>
      </c>
      <c r="C125" s="558"/>
      <c r="D125" s="271" t="s">
        <v>670</v>
      </c>
      <c r="E125" s="283">
        <v>2020</v>
      </c>
      <c r="F125" s="284">
        <v>46017</v>
      </c>
      <c r="G125" s="283">
        <f>Input!$C$14-E125+0.5</f>
        <v>2.5</v>
      </c>
      <c r="H125" s="284">
        <f t="shared" si="2"/>
        <v>115042.5</v>
      </c>
      <c r="I125" s="361"/>
    </row>
    <row r="126" spans="1:9" ht="15.75" customHeight="1" outlineLevel="1">
      <c r="A126" s="283" t="s">
        <v>174</v>
      </c>
      <c r="B126" s="558">
        <v>3922</v>
      </c>
      <c r="C126" s="558"/>
      <c r="D126" s="271" t="s">
        <v>439</v>
      </c>
      <c r="E126" s="283">
        <v>2020</v>
      </c>
      <c r="F126" s="284">
        <v>41966</v>
      </c>
      <c r="G126" s="283">
        <f>Input!$C$14-E126+0.5</f>
        <v>2.5</v>
      </c>
      <c r="H126" s="284">
        <f t="shared" si="2"/>
        <v>104915</v>
      </c>
      <c r="I126" s="361"/>
    </row>
    <row r="127" spans="1:9" ht="15.75" customHeight="1" outlineLevel="1">
      <c r="A127" s="283" t="s">
        <v>174</v>
      </c>
      <c r="B127" s="558">
        <v>3922</v>
      </c>
      <c r="C127" s="558"/>
      <c r="D127" s="271" t="s">
        <v>440</v>
      </c>
      <c r="E127" s="283">
        <v>2020</v>
      </c>
      <c r="F127" s="284">
        <v>18476</v>
      </c>
      <c r="G127" s="283">
        <f>Input!$C$14-E127+0.5</f>
        <v>2.5</v>
      </c>
      <c r="H127" s="284">
        <f t="shared" si="2"/>
        <v>46190</v>
      </c>
      <c r="I127" s="361"/>
    </row>
    <row r="128" spans="1:9" ht="15.75" customHeight="1" outlineLevel="1">
      <c r="A128" s="283" t="s">
        <v>174</v>
      </c>
      <c r="B128" s="558">
        <v>3922</v>
      </c>
      <c r="C128" s="558"/>
      <c r="D128" s="271" t="s">
        <v>441</v>
      </c>
      <c r="E128" s="283">
        <v>2021</v>
      </c>
      <c r="F128" s="284">
        <v>51345</v>
      </c>
      <c r="G128" s="283">
        <f>Input!$C$14-E128+0.5</f>
        <v>1.5</v>
      </c>
      <c r="H128" s="284">
        <f t="shared" si="2"/>
        <v>77017.5</v>
      </c>
      <c r="I128" s="361"/>
    </row>
    <row r="129" spans="1:12" s="272" customFormat="1" ht="15.75" customHeight="1" outlineLevel="1">
      <c r="A129" s="283" t="s">
        <v>174</v>
      </c>
      <c r="B129" s="558">
        <v>3922</v>
      </c>
      <c r="C129" s="558"/>
      <c r="D129" s="271" t="s">
        <v>442</v>
      </c>
      <c r="E129" s="283">
        <v>2021</v>
      </c>
      <c r="F129" s="284">
        <v>43860</v>
      </c>
      <c r="G129" s="283">
        <f>Input!$C$14-E129+0.5</f>
        <v>1.5</v>
      </c>
      <c r="H129" s="284">
        <f t="shared" si="2"/>
        <v>65790</v>
      </c>
      <c r="I129" s="361"/>
      <c r="J129" s="271"/>
      <c r="L129" s="295"/>
    </row>
    <row r="130" spans="1:12" s="272" customFormat="1" ht="15.75" customHeight="1" outlineLevel="1">
      <c r="A130" s="283" t="s">
        <v>174</v>
      </c>
      <c r="B130" s="558">
        <v>3922</v>
      </c>
      <c r="C130" s="558"/>
      <c r="D130" s="271" t="s">
        <v>443</v>
      </c>
      <c r="E130" s="283">
        <v>2021</v>
      </c>
      <c r="F130" s="284">
        <v>59470</v>
      </c>
      <c r="G130" s="283">
        <f>Input!$C$14-E130+0.5</f>
        <v>1.5</v>
      </c>
      <c r="H130" s="284">
        <f t="shared" si="2"/>
        <v>89205</v>
      </c>
      <c r="I130" s="361"/>
      <c r="J130" s="271"/>
      <c r="L130" s="295"/>
    </row>
    <row r="131" spans="1:9" ht="15.75" customHeight="1" outlineLevel="1">
      <c r="A131" s="283" t="s">
        <v>174</v>
      </c>
      <c r="B131" s="558">
        <v>3922</v>
      </c>
      <c r="C131" s="558"/>
      <c r="D131" s="271" t="s">
        <v>444</v>
      </c>
      <c r="E131" s="283">
        <v>2021</v>
      </c>
      <c r="F131" s="284">
        <v>8837</v>
      </c>
      <c r="G131" s="283">
        <f>Input!$C$14-E131+0.5</f>
        <v>1.5</v>
      </c>
      <c r="H131" s="284">
        <f t="shared" si="2"/>
        <v>13255.5</v>
      </c>
      <c r="I131" s="361"/>
    </row>
    <row r="132" spans="1:9" ht="15.75" customHeight="1" outlineLevel="1">
      <c r="A132" s="283" t="s">
        <v>174</v>
      </c>
      <c r="B132" s="558">
        <v>3922</v>
      </c>
      <c r="C132" s="558"/>
      <c r="D132" s="271" t="s">
        <v>443</v>
      </c>
      <c r="E132" s="283">
        <v>2021</v>
      </c>
      <c r="F132" s="284">
        <v>49963</v>
      </c>
      <c r="G132" s="283">
        <f>Input!$C$14-E132+0.5</f>
        <v>1.5</v>
      </c>
      <c r="H132" s="284">
        <f t="shared" si="2"/>
        <v>74944.5</v>
      </c>
      <c r="I132" s="361"/>
    </row>
    <row r="133" spans="1:9" ht="15.75" customHeight="1" outlineLevel="1">
      <c r="A133" s="283" t="s">
        <v>174</v>
      </c>
      <c r="B133" s="558">
        <v>3922</v>
      </c>
      <c r="C133" s="558"/>
      <c r="D133" s="271" t="s">
        <v>445</v>
      </c>
      <c r="E133" s="283">
        <v>2021</v>
      </c>
      <c r="F133" s="284">
        <v>7460</v>
      </c>
      <c r="G133" s="283">
        <f>Input!$C$14-E133+0.5</f>
        <v>1.5</v>
      </c>
      <c r="H133" s="284">
        <f t="shared" si="2"/>
        <v>11190</v>
      </c>
      <c r="I133" s="361"/>
    </row>
    <row r="134" spans="1:9" ht="15.75" customHeight="1" outlineLevel="1">
      <c r="A134" s="283" t="s">
        <v>174</v>
      </c>
      <c r="B134" s="558">
        <v>3922</v>
      </c>
      <c r="C134" s="558"/>
      <c r="D134" s="271" t="s">
        <v>436</v>
      </c>
      <c r="E134" s="283">
        <v>2020</v>
      </c>
      <c r="F134" s="284">
        <v>561</v>
      </c>
      <c r="G134" s="283">
        <f>Input!$C$14-E134+0.5</f>
        <v>2.5</v>
      </c>
      <c r="H134" s="284">
        <f t="shared" si="2"/>
        <v>1402.5</v>
      </c>
      <c r="I134" s="361"/>
    </row>
    <row r="135" spans="1:9" ht="15.75" customHeight="1" outlineLevel="1">
      <c r="A135" s="283" t="s">
        <v>174</v>
      </c>
      <c r="B135" s="558">
        <v>3922</v>
      </c>
      <c r="C135" s="558"/>
      <c r="D135" s="271" t="s">
        <v>438</v>
      </c>
      <c r="E135" s="283">
        <v>2020</v>
      </c>
      <c r="F135" s="284">
        <v>194</v>
      </c>
      <c r="G135" s="283">
        <f>Input!$C$14-E135+0.5</f>
        <v>2.5</v>
      </c>
      <c r="H135" s="284">
        <f t="shared" si="2"/>
        <v>485</v>
      </c>
      <c r="I135" s="361"/>
    </row>
    <row r="136" spans="1:9" ht="15.75" customHeight="1" outlineLevel="1">
      <c r="A136" s="283" t="s">
        <v>174</v>
      </c>
      <c r="B136" s="558">
        <v>3922</v>
      </c>
      <c r="C136" s="558"/>
      <c r="D136" s="271" t="s">
        <v>442</v>
      </c>
      <c r="E136" s="283">
        <v>2021</v>
      </c>
      <c r="F136" s="284">
        <v>52263</v>
      </c>
      <c r="G136" s="283">
        <f>Input!$C$14-E136+0.5</f>
        <v>1.5</v>
      </c>
      <c r="H136" s="284">
        <f t="shared" si="2"/>
        <v>78394.5</v>
      </c>
      <c r="I136" s="361"/>
    </row>
    <row r="137" spans="1:9" ht="15.75" customHeight="1" outlineLevel="1">
      <c r="A137" s="283" t="s">
        <v>174</v>
      </c>
      <c r="B137" s="558">
        <v>3922</v>
      </c>
      <c r="C137" s="558"/>
      <c r="D137" s="271" t="s">
        <v>442</v>
      </c>
      <c r="E137" s="283">
        <v>2021</v>
      </c>
      <c r="F137" s="284">
        <v>52147</v>
      </c>
      <c r="G137" s="283">
        <f>Input!$C$14-E137+0.5</f>
        <v>1.5</v>
      </c>
      <c r="H137" s="284">
        <f t="shared" si="2"/>
        <v>78220.5</v>
      </c>
      <c r="I137" s="361"/>
    </row>
    <row r="138" spans="1:9" ht="15.75" customHeight="1" outlineLevel="1">
      <c r="A138" s="283" t="s">
        <v>174</v>
      </c>
      <c r="B138" s="558">
        <v>3922</v>
      </c>
      <c r="C138" s="558"/>
      <c r="D138" s="271" t="s">
        <v>673</v>
      </c>
      <c r="E138" s="283">
        <v>2021</v>
      </c>
      <c r="F138" s="284">
        <v>49596</v>
      </c>
      <c r="G138" s="283">
        <f>Input!$C$14-E138+0.5</f>
        <v>1.5</v>
      </c>
      <c r="H138" s="284">
        <f t="shared" si="2"/>
        <v>74394</v>
      </c>
      <c r="I138" s="361"/>
    </row>
    <row r="139" spans="1:9" ht="15.75" customHeight="1" outlineLevel="1">
      <c r="A139" s="283" t="s">
        <v>174</v>
      </c>
      <c r="B139" s="558">
        <v>3922</v>
      </c>
      <c r="C139" s="558"/>
      <c r="D139" s="271" t="s">
        <v>446</v>
      </c>
      <c r="E139" s="283">
        <v>2021</v>
      </c>
      <c r="F139" s="284">
        <v>55970</v>
      </c>
      <c r="G139" s="283">
        <f>Input!$C$14-E139+0.5</f>
        <v>1.5</v>
      </c>
      <c r="H139" s="284">
        <f t="shared" si="2"/>
        <v>83955</v>
      </c>
      <c r="I139" s="361"/>
    </row>
    <row r="140" spans="1:9" ht="15.75" customHeight="1" outlineLevel="1">
      <c r="A140" s="283" t="s">
        <v>174</v>
      </c>
      <c r="B140" s="558">
        <v>3922</v>
      </c>
      <c r="C140" s="558"/>
      <c r="D140" s="271" t="s">
        <v>447</v>
      </c>
      <c r="E140" s="283">
        <v>2021</v>
      </c>
      <c r="F140" s="284">
        <v>37867</v>
      </c>
      <c r="G140" s="283">
        <f>Input!$C$14-E140+0.5</f>
        <v>1.5</v>
      </c>
      <c r="H140" s="284">
        <f t="shared" si="2"/>
        <v>56800.5</v>
      </c>
      <c r="I140" s="361"/>
    </row>
    <row r="141" spans="1:9" ht="15.75" customHeight="1" outlineLevel="1">
      <c r="A141" s="283" t="s">
        <v>174</v>
      </c>
      <c r="B141" s="558">
        <v>3922</v>
      </c>
      <c r="C141" s="558"/>
      <c r="D141" s="271" t="s">
        <v>448</v>
      </c>
      <c r="E141" s="283">
        <v>2021</v>
      </c>
      <c r="F141" s="351">
        <v>56267</v>
      </c>
      <c r="G141" s="283">
        <f>Input!$C$14-E141+0.5</f>
        <v>1.5</v>
      </c>
      <c r="H141" s="284">
        <f t="shared" si="2"/>
        <v>84400.5</v>
      </c>
      <c r="I141" s="361"/>
    </row>
    <row r="142" spans="1:9" ht="15.75" customHeight="1" outlineLevel="1">
      <c r="A142" s="283" t="s">
        <v>174</v>
      </c>
      <c r="B142" s="558">
        <v>3922</v>
      </c>
      <c r="C142" s="558"/>
      <c r="D142" s="271" t="s">
        <v>449</v>
      </c>
      <c r="E142" s="283">
        <v>2021</v>
      </c>
      <c r="F142" s="284">
        <v>4582</v>
      </c>
      <c r="G142" s="283">
        <f>Input!$C$14-E142+0.5</f>
        <v>1.5</v>
      </c>
      <c r="H142" s="284">
        <f t="shared" si="2"/>
        <v>6873</v>
      </c>
      <c r="I142" s="361"/>
    </row>
    <row r="143" spans="1:9" ht="15.75" customHeight="1" outlineLevel="1">
      <c r="A143" s="283" t="s">
        <v>173</v>
      </c>
      <c r="B143" s="558">
        <v>3922</v>
      </c>
      <c r="C143" s="558"/>
      <c r="D143" s="271" t="s">
        <v>450</v>
      </c>
      <c r="E143" s="283">
        <v>2002</v>
      </c>
      <c r="F143" s="284">
        <v>28000</v>
      </c>
      <c r="G143" s="283">
        <f>Input!$C$14-E143+0.5</f>
        <v>20.5</v>
      </c>
      <c r="H143" s="284">
        <f t="shared" si="2"/>
        <v>574000</v>
      </c>
      <c r="I143" s="360"/>
    </row>
    <row r="144" spans="1:9" ht="15.75" customHeight="1" outlineLevel="1">
      <c r="A144" s="283" t="s">
        <v>9</v>
      </c>
      <c r="B144" s="558">
        <v>3922</v>
      </c>
      <c r="C144" s="558"/>
      <c r="D144" s="271" t="s">
        <v>451</v>
      </c>
      <c r="E144" s="283">
        <v>2005</v>
      </c>
      <c r="F144" s="284">
        <v>44305</v>
      </c>
      <c r="G144" s="283">
        <f>Input!$C$14-E144+0.5</f>
        <v>17.5</v>
      </c>
      <c r="H144" s="284">
        <f t="shared" si="2"/>
        <v>775337.5</v>
      </c>
      <c r="I144" s="284"/>
    </row>
    <row r="145" spans="1:9" ht="15.75" customHeight="1" outlineLevel="1">
      <c r="A145" s="283" t="s">
        <v>9</v>
      </c>
      <c r="B145" s="558">
        <v>3922</v>
      </c>
      <c r="C145" s="558"/>
      <c r="D145" s="271" t="s">
        <v>383</v>
      </c>
      <c r="E145" s="283">
        <v>2006</v>
      </c>
      <c r="F145" s="284">
        <v>22473</v>
      </c>
      <c r="G145" s="283">
        <f>Input!$C$14-E145+0.5</f>
        <v>16.5</v>
      </c>
      <c r="H145" s="284">
        <f t="shared" si="2"/>
        <v>370804.5</v>
      </c>
      <c r="I145" s="284"/>
    </row>
    <row r="146" spans="1:9" ht="15.75" customHeight="1" outlineLevel="1">
      <c r="A146" s="283" t="s">
        <v>9</v>
      </c>
      <c r="B146" s="558">
        <v>3922</v>
      </c>
      <c r="C146" s="558"/>
      <c r="D146" s="271" t="s">
        <v>452</v>
      </c>
      <c r="E146" s="283">
        <v>2009</v>
      </c>
      <c r="F146" s="284">
        <v>29606</v>
      </c>
      <c r="G146" s="283">
        <f>Input!$C$14-E146+0.5</f>
        <v>13.5</v>
      </c>
      <c r="H146" s="284">
        <f t="shared" si="2"/>
        <v>399681</v>
      </c>
      <c r="I146" s="284"/>
    </row>
    <row r="147" spans="1:10" ht="15.75" customHeight="1" outlineLevel="1">
      <c r="A147" s="283" t="s">
        <v>9</v>
      </c>
      <c r="B147" s="558">
        <v>3922</v>
      </c>
      <c r="C147" s="558"/>
      <c r="D147" s="271" t="s">
        <v>453</v>
      </c>
      <c r="E147" s="283">
        <v>2011</v>
      </c>
      <c r="F147" s="284">
        <v>32829</v>
      </c>
      <c r="G147" s="283">
        <f>Input!$C$14-E147+0.5</f>
        <v>11.5</v>
      </c>
      <c r="H147" s="284">
        <f t="shared" si="2"/>
        <v>377533.5</v>
      </c>
      <c r="I147" s="284"/>
      <c r="J147" s="286"/>
    </row>
    <row r="148" spans="1:9" ht="15.75" customHeight="1" outlineLevel="1">
      <c r="A148" s="283" t="s">
        <v>9</v>
      </c>
      <c r="B148" s="558">
        <v>3922</v>
      </c>
      <c r="C148" s="558"/>
      <c r="D148" s="271" t="s">
        <v>454</v>
      </c>
      <c r="E148" s="283">
        <v>2011</v>
      </c>
      <c r="F148" s="284">
        <v>34653</v>
      </c>
      <c r="G148" s="283">
        <f>Input!$C$14-E148+0.5</f>
        <v>11.5</v>
      </c>
      <c r="H148" s="284">
        <f t="shared" si="2"/>
        <v>398509.5</v>
      </c>
      <c r="I148" s="284"/>
    </row>
    <row r="149" spans="1:9" ht="15.75" customHeight="1" outlineLevel="1">
      <c r="A149" s="283" t="s">
        <v>9</v>
      </c>
      <c r="B149" s="558">
        <v>3922</v>
      </c>
      <c r="C149" s="558"/>
      <c r="D149" s="271" t="s">
        <v>398</v>
      </c>
      <c r="E149" s="283">
        <v>2012</v>
      </c>
      <c r="F149" s="284">
        <v>30472</v>
      </c>
      <c r="G149" s="283">
        <f>Input!$C$14-E149+0.5</f>
        <v>10.5</v>
      </c>
      <c r="H149" s="284">
        <f t="shared" si="2"/>
        <v>319956</v>
      </c>
      <c r="I149" s="284"/>
    </row>
    <row r="150" spans="1:9" ht="15.75" customHeight="1" outlineLevel="1">
      <c r="A150" s="283" t="s">
        <v>9</v>
      </c>
      <c r="B150" s="558">
        <v>3922</v>
      </c>
      <c r="C150" s="558"/>
      <c r="D150" s="271" t="s">
        <v>455</v>
      </c>
      <c r="E150" s="283">
        <v>2012</v>
      </c>
      <c r="F150" s="284">
        <v>24826</v>
      </c>
      <c r="G150" s="283">
        <f>Input!$C$14-E150+0.5</f>
        <v>10.5</v>
      </c>
      <c r="H150" s="284">
        <f t="shared" si="2"/>
        <v>260673</v>
      </c>
      <c r="I150" s="284"/>
    </row>
    <row r="151" spans="1:9" ht="15.75" customHeight="1" outlineLevel="1">
      <c r="A151" s="283" t="s">
        <v>9</v>
      </c>
      <c r="B151" s="558">
        <v>3922</v>
      </c>
      <c r="C151" s="558"/>
      <c r="D151" s="271" t="s">
        <v>399</v>
      </c>
      <c r="E151" s="283">
        <v>2013</v>
      </c>
      <c r="F151" s="284">
        <v>34070</v>
      </c>
      <c r="G151" s="283">
        <f>Input!$C$14-E151+0.5</f>
        <v>9.5</v>
      </c>
      <c r="H151" s="284">
        <f t="shared" si="2"/>
        <v>323665</v>
      </c>
      <c r="I151" s="284"/>
    </row>
    <row r="152" spans="1:9" ht="15.75" customHeight="1" outlineLevel="1">
      <c r="A152" s="283" t="s">
        <v>9</v>
      </c>
      <c r="B152" s="558">
        <v>3922</v>
      </c>
      <c r="C152" s="558"/>
      <c r="D152" s="271" t="s">
        <v>399</v>
      </c>
      <c r="E152" s="283">
        <v>2013</v>
      </c>
      <c r="F152" s="284">
        <v>34557</v>
      </c>
      <c r="G152" s="283">
        <f>Input!$C$14-E152+0.5</f>
        <v>9.5</v>
      </c>
      <c r="H152" s="284">
        <f t="shared" si="2"/>
        <v>328291.5</v>
      </c>
      <c r="I152" s="352"/>
    </row>
    <row r="153" spans="1:9" ht="15.75" customHeight="1" outlineLevel="1">
      <c r="A153" s="283" t="s">
        <v>9</v>
      </c>
      <c r="B153" s="558">
        <v>3922</v>
      </c>
      <c r="C153" s="558"/>
      <c r="D153" s="271" t="s">
        <v>456</v>
      </c>
      <c r="E153" s="283">
        <v>2014</v>
      </c>
      <c r="F153" s="284">
        <v>32628</v>
      </c>
      <c r="G153" s="283">
        <f>Input!$C$14-E153+0.5</f>
        <v>8.5</v>
      </c>
      <c r="H153" s="284">
        <f t="shared" si="2"/>
        <v>277338</v>
      </c>
      <c r="I153" s="284"/>
    </row>
    <row r="154" spans="1:9" ht="15.75" customHeight="1" outlineLevel="1">
      <c r="A154" s="283" t="s">
        <v>9</v>
      </c>
      <c r="B154" s="558">
        <v>3922</v>
      </c>
      <c r="C154" s="558"/>
      <c r="D154" s="271" t="s">
        <v>456</v>
      </c>
      <c r="E154" s="283">
        <v>2014</v>
      </c>
      <c r="F154" s="284">
        <v>37896</v>
      </c>
      <c r="G154" s="283">
        <f>Input!$C$14-E154+0.5</f>
        <v>8.5</v>
      </c>
      <c r="H154" s="284">
        <f t="shared" si="2"/>
        <v>322116</v>
      </c>
      <c r="I154" s="284"/>
    </row>
    <row r="155" spans="1:9" ht="15.75" customHeight="1" outlineLevel="1">
      <c r="A155" s="283" t="s">
        <v>9</v>
      </c>
      <c r="B155" s="558">
        <v>3922</v>
      </c>
      <c r="C155" s="558"/>
      <c r="D155" s="271" t="s">
        <v>456</v>
      </c>
      <c r="E155" s="283">
        <v>2014</v>
      </c>
      <c r="F155" s="284">
        <v>34702</v>
      </c>
      <c r="G155" s="283">
        <f>Input!$C$14-E155+0.5</f>
        <v>8.5</v>
      </c>
      <c r="H155" s="284">
        <f t="shared" si="2"/>
        <v>294967</v>
      </c>
      <c r="I155" s="284"/>
    </row>
    <row r="156" spans="1:9" ht="15.75" customHeight="1" outlineLevel="1">
      <c r="A156" s="283" t="s">
        <v>9</v>
      </c>
      <c r="B156" s="558">
        <v>3922</v>
      </c>
      <c r="C156" s="558"/>
      <c r="D156" s="271" t="s">
        <v>414</v>
      </c>
      <c r="E156" s="283">
        <v>2015</v>
      </c>
      <c r="F156" s="284">
        <v>38216</v>
      </c>
      <c r="G156" s="283">
        <f>Input!$C$14-E156+0.5</f>
        <v>7.5</v>
      </c>
      <c r="H156" s="284">
        <f t="shared" si="2"/>
        <v>286620</v>
      </c>
      <c r="I156" s="284"/>
    </row>
    <row r="157" spans="1:9" ht="15.75" customHeight="1" outlineLevel="1">
      <c r="A157" s="283" t="s">
        <v>9</v>
      </c>
      <c r="B157" s="558">
        <v>3922</v>
      </c>
      <c r="C157" s="558"/>
      <c r="D157" s="271" t="s">
        <v>457</v>
      </c>
      <c r="E157" s="283">
        <v>2015</v>
      </c>
      <c r="F157" s="284">
        <v>38285</v>
      </c>
      <c r="G157" s="283">
        <f>Input!$C$14-E157+0.5</f>
        <v>7.5</v>
      </c>
      <c r="H157" s="284">
        <f t="shared" si="3" ref="H157:H193">+F157*G157</f>
        <v>287137.5</v>
      </c>
      <c r="I157" s="284"/>
    </row>
    <row r="158" spans="1:9" ht="15.75" customHeight="1" outlineLevel="1">
      <c r="A158" s="283" t="s">
        <v>9</v>
      </c>
      <c r="B158" s="558">
        <v>3922</v>
      </c>
      <c r="C158" s="558"/>
      <c r="D158" s="271" t="s">
        <v>457</v>
      </c>
      <c r="E158" s="283">
        <v>2015</v>
      </c>
      <c r="F158" s="284">
        <v>41194</v>
      </c>
      <c r="G158" s="283">
        <f>Input!$C$14-E158+0.5</f>
        <v>7.5</v>
      </c>
      <c r="H158" s="284">
        <f t="shared" si="3"/>
        <v>308955</v>
      </c>
      <c r="I158" s="284"/>
    </row>
    <row r="159" spans="1:9" ht="15.75" customHeight="1" outlineLevel="1">
      <c r="A159" s="283" t="s">
        <v>9</v>
      </c>
      <c r="B159" s="558">
        <v>3922</v>
      </c>
      <c r="C159" s="558"/>
      <c r="D159" s="271" t="s">
        <v>458</v>
      </c>
      <c r="E159" s="283">
        <v>2016</v>
      </c>
      <c r="F159" s="284">
        <v>42207</v>
      </c>
      <c r="G159" s="283">
        <f>Input!$C$14-E159+0.5</f>
        <v>6.5</v>
      </c>
      <c r="H159" s="284">
        <f t="shared" si="3"/>
        <v>274345.5</v>
      </c>
      <c r="I159" s="284"/>
    </row>
    <row r="160" spans="1:9" ht="15.75" customHeight="1" outlineLevel="1">
      <c r="A160" s="283" t="s">
        <v>9</v>
      </c>
      <c r="B160" s="558">
        <v>3922</v>
      </c>
      <c r="C160" s="558"/>
      <c r="D160" s="271" t="s">
        <v>457</v>
      </c>
      <c r="E160" s="283">
        <v>2016</v>
      </c>
      <c r="F160" s="284">
        <v>39099</v>
      </c>
      <c r="G160" s="283">
        <f>Input!$C$14-E160+0.5</f>
        <v>6.5</v>
      </c>
      <c r="H160" s="284">
        <f t="shared" si="3"/>
        <v>254143.5</v>
      </c>
      <c r="I160" s="284"/>
    </row>
    <row r="161" spans="1:9" ht="15.75" customHeight="1" outlineLevel="1">
      <c r="A161" s="283" t="s">
        <v>9</v>
      </c>
      <c r="B161" s="558">
        <v>3922</v>
      </c>
      <c r="C161" s="558"/>
      <c r="D161" s="271" t="s">
        <v>459</v>
      </c>
      <c r="E161" s="283">
        <v>2017</v>
      </c>
      <c r="F161" s="284">
        <v>38995</v>
      </c>
      <c r="G161" s="283">
        <f>Input!$C$14-E161+0.5</f>
        <v>5.5</v>
      </c>
      <c r="H161" s="284">
        <f t="shared" si="3"/>
        <v>214472.5</v>
      </c>
      <c r="I161" s="284"/>
    </row>
    <row r="162" spans="1:10" ht="15.75" customHeight="1" outlineLevel="1">
      <c r="A162" s="283" t="s">
        <v>9</v>
      </c>
      <c r="B162" s="558">
        <v>3922</v>
      </c>
      <c r="C162" s="558"/>
      <c r="D162" s="271" t="s">
        <v>460</v>
      </c>
      <c r="E162" s="283">
        <v>2019</v>
      </c>
      <c r="F162" s="284">
        <v>1563</v>
      </c>
      <c r="G162" s="283">
        <f>Input!$C$14-E162+0.5</f>
        <v>3.5</v>
      </c>
      <c r="H162" s="284">
        <f t="shared" si="3"/>
        <v>5470.5</v>
      </c>
      <c r="I162" s="284"/>
      <c r="J162" s="286"/>
    </row>
    <row r="163" spans="1:10" ht="15.75" customHeight="1" outlineLevel="1">
      <c r="A163" s="283" t="s">
        <v>9</v>
      </c>
      <c r="B163" s="558">
        <v>3922</v>
      </c>
      <c r="C163" s="558"/>
      <c r="D163" s="271" t="s">
        <v>461</v>
      </c>
      <c r="E163" s="283">
        <v>2021</v>
      </c>
      <c r="F163" s="284">
        <v>42766</v>
      </c>
      <c r="G163" s="283">
        <f>Input!$C$14-E163+0.5</f>
        <v>1.5</v>
      </c>
      <c r="H163" s="284">
        <f t="shared" si="3"/>
        <v>64149</v>
      </c>
      <c r="I163" s="284"/>
      <c r="J163" s="286"/>
    </row>
    <row r="164" spans="1:10" ht="15.75" customHeight="1" outlineLevel="1">
      <c r="A164" s="283" t="s">
        <v>9</v>
      </c>
      <c r="B164" s="558">
        <v>3922</v>
      </c>
      <c r="C164" s="558"/>
      <c r="D164" s="271" t="s">
        <v>461</v>
      </c>
      <c r="E164" s="283">
        <v>2021</v>
      </c>
      <c r="F164" s="284">
        <v>43558</v>
      </c>
      <c r="G164" s="283">
        <f>Input!$C$14-E164+0.5</f>
        <v>1.5</v>
      </c>
      <c r="H164" s="284">
        <f t="shared" si="3"/>
        <v>65337</v>
      </c>
      <c r="I164" s="284"/>
      <c r="J164" s="286"/>
    </row>
    <row r="165" spans="1:10" ht="15.75" customHeight="1" outlineLevel="1">
      <c r="A165" s="283" t="s">
        <v>9</v>
      </c>
      <c r="B165" s="558">
        <v>3922</v>
      </c>
      <c r="C165" s="558"/>
      <c r="D165" s="271" t="s">
        <v>448</v>
      </c>
      <c r="E165" s="283">
        <v>2021</v>
      </c>
      <c r="F165" s="284">
        <v>50000</v>
      </c>
      <c r="G165" s="283">
        <f>Input!$C$14-E165+0.5</f>
        <v>1.5</v>
      </c>
      <c r="H165" s="284">
        <f t="shared" si="3"/>
        <v>75000</v>
      </c>
      <c r="I165" s="284"/>
      <c r="J165" s="286"/>
    </row>
    <row r="166" spans="1:9" ht="15.75" customHeight="1" outlineLevel="1">
      <c r="A166" s="283" t="s">
        <v>172</v>
      </c>
      <c r="B166" s="558">
        <v>3922</v>
      </c>
      <c r="C166" s="558"/>
      <c r="D166" s="271" t="s">
        <v>462</v>
      </c>
      <c r="E166" s="283">
        <v>2013</v>
      </c>
      <c r="F166" s="284">
        <v>43626</v>
      </c>
      <c r="G166" s="283">
        <f>Input!$C$14-E166+0.5</f>
        <v>9.5</v>
      </c>
      <c r="H166" s="284">
        <f t="shared" si="3"/>
        <v>414447</v>
      </c>
      <c r="I166" s="425"/>
    </row>
    <row r="167" spans="1:9" ht="15.75" customHeight="1" outlineLevel="1">
      <c r="A167" s="283" t="s">
        <v>172</v>
      </c>
      <c r="B167" s="558">
        <v>3922</v>
      </c>
      <c r="C167" s="558"/>
      <c r="D167" s="271" t="s">
        <v>462</v>
      </c>
      <c r="E167" s="283">
        <v>2013</v>
      </c>
      <c r="F167" s="284">
        <v>37314</v>
      </c>
      <c r="G167" s="283">
        <f>Input!$C$14-E167+0.5</f>
        <v>9.5</v>
      </c>
      <c r="H167" s="284">
        <f t="shared" si="3"/>
        <v>354483</v>
      </c>
      <c r="I167" s="425"/>
    </row>
    <row r="168" spans="1:9" ht="15.75" customHeight="1" outlineLevel="1">
      <c r="A168" s="283" t="s">
        <v>172</v>
      </c>
      <c r="B168" s="558">
        <v>3922</v>
      </c>
      <c r="C168" s="558"/>
      <c r="D168" s="271" t="s">
        <v>463</v>
      </c>
      <c r="E168" s="283">
        <v>2014</v>
      </c>
      <c r="F168" s="284">
        <v>28580</v>
      </c>
      <c r="G168" s="283">
        <f>Input!$C$14-E168+0.5</f>
        <v>8.5</v>
      </c>
      <c r="H168" s="284">
        <f t="shared" si="3"/>
        <v>242930</v>
      </c>
      <c r="I168" s="284"/>
    </row>
    <row r="169" spans="1:9" ht="15.75" customHeight="1" outlineLevel="1">
      <c r="A169" s="283" t="s">
        <v>172</v>
      </c>
      <c r="B169" s="558">
        <v>3922</v>
      </c>
      <c r="C169" s="558"/>
      <c r="D169" s="271" t="s">
        <v>463</v>
      </c>
      <c r="E169" s="283">
        <v>2014</v>
      </c>
      <c r="F169" s="284">
        <v>28920</v>
      </c>
      <c r="G169" s="283">
        <f>Input!$C$14-E169+0.5</f>
        <v>8.5</v>
      </c>
      <c r="H169" s="284">
        <f t="shared" si="3"/>
        <v>245820</v>
      </c>
      <c r="I169" s="284"/>
    </row>
    <row r="170" spans="1:9" ht="15.75" customHeight="1" outlineLevel="1">
      <c r="A170" s="283" t="s">
        <v>172</v>
      </c>
      <c r="B170" s="558">
        <v>3922</v>
      </c>
      <c r="C170" s="558"/>
      <c r="D170" s="271" t="s">
        <v>464</v>
      </c>
      <c r="E170" s="283">
        <v>2013</v>
      </c>
      <c r="F170" s="284">
        <v>26791</v>
      </c>
      <c r="G170" s="283">
        <f>Input!$C$14-E170+0.5</f>
        <v>9.5</v>
      </c>
      <c r="H170" s="284">
        <f t="shared" si="3"/>
        <v>254514.5</v>
      </c>
      <c r="I170" s="284"/>
    </row>
    <row r="171" spans="1:9" ht="15.75" customHeight="1" outlineLevel="1">
      <c r="A171" s="283" t="s">
        <v>172</v>
      </c>
      <c r="B171" s="558">
        <v>3922</v>
      </c>
      <c r="C171" s="558"/>
      <c r="D171" s="271" t="s">
        <v>463</v>
      </c>
      <c r="E171" s="283">
        <v>2014</v>
      </c>
      <c r="F171" s="284">
        <v>28809</v>
      </c>
      <c r="G171" s="283">
        <f>Input!$C$14-E171+0.5</f>
        <v>8.5</v>
      </c>
      <c r="H171" s="284">
        <f t="shared" si="3"/>
        <v>244876.5</v>
      </c>
      <c r="I171" s="284"/>
    </row>
    <row r="172" spans="1:9" ht="15.75" customHeight="1" outlineLevel="1">
      <c r="A172" s="283" t="s">
        <v>172</v>
      </c>
      <c r="B172" s="558">
        <v>3922</v>
      </c>
      <c r="C172" s="558"/>
      <c r="D172" s="271" t="s">
        <v>463</v>
      </c>
      <c r="E172" s="283">
        <v>2014</v>
      </c>
      <c r="F172" s="284">
        <v>28580</v>
      </c>
      <c r="G172" s="283">
        <f>Input!$C$14-E172+0.5</f>
        <v>8.5</v>
      </c>
      <c r="H172" s="284">
        <f t="shared" si="3"/>
        <v>242930</v>
      </c>
      <c r="I172" s="284"/>
    </row>
    <row r="173" spans="1:9" ht="15.75" customHeight="1" outlineLevel="1">
      <c r="A173" s="283" t="s">
        <v>172</v>
      </c>
      <c r="B173" s="558">
        <v>3922</v>
      </c>
      <c r="C173" s="558"/>
      <c r="D173" s="271" t="s">
        <v>465</v>
      </c>
      <c r="E173" s="283">
        <v>2014</v>
      </c>
      <c r="F173" s="284">
        <v>37826</v>
      </c>
      <c r="G173" s="283">
        <f>Input!$C$14-E173+0.5</f>
        <v>8.5</v>
      </c>
      <c r="H173" s="284">
        <f t="shared" si="3"/>
        <v>321521</v>
      </c>
      <c r="I173" s="284"/>
    </row>
    <row r="174" spans="1:9" ht="15.75" customHeight="1" outlineLevel="1">
      <c r="A174" s="283" t="s">
        <v>172</v>
      </c>
      <c r="B174" s="558">
        <v>3922</v>
      </c>
      <c r="C174" s="558"/>
      <c r="D174" s="271" t="s">
        <v>463</v>
      </c>
      <c r="E174" s="283">
        <v>2014</v>
      </c>
      <c r="F174" s="284">
        <v>28877</v>
      </c>
      <c r="G174" s="283">
        <f>Input!$C$14-E174+0.5</f>
        <v>8.5</v>
      </c>
      <c r="H174" s="284">
        <f t="shared" si="3"/>
        <v>245454.5</v>
      </c>
      <c r="I174" s="284"/>
    </row>
    <row r="175" spans="1:9" ht="15.75" customHeight="1" outlineLevel="1">
      <c r="A175" s="283" t="s">
        <v>172</v>
      </c>
      <c r="B175" s="558">
        <v>3922</v>
      </c>
      <c r="C175" s="558"/>
      <c r="D175" s="271" t="s">
        <v>414</v>
      </c>
      <c r="E175" s="283">
        <v>2014</v>
      </c>
      <c r="F175" s="284">
        <v>36820</v>
      </c>
      <c r="G175" s="283">
        <f>Input!$C$14-E175+0.5</f>
        <v>8.5</v>
      </c>
      <c r="H175" s="284">
        <f t="shared" si="3"/>
        <v>312970</v>
      </c>
      <c r="I175" s="284"/>
    </row>
    <row r="176" spans="1:9" ht="15.75" customHeight="1" outlineLevel="1">
      <c r="A176" s="283" t="s">
        <v>172</v>
      </c>
      <c r="B176" s="558">
        <v>3922</v>
      </c>
      <c r="C176" s="558"/>
      <c r="D176" s="271" t="s">
        <v>414</v>
      </c>
      <c r="E176" s="283">
        <v>2014</v>
      </c>
      <c r="F176" s="284">
        <v>31214</v>
      </c>
      <c r="G176" s="283">
        <f>Input!$C$14-E176+0.5</f>
        <v>8.5</v>
      </c>
      <c r="H176" s="284">
        <f t="shared" si="3"/>
        <v>265319</v>
      </c>
      <c r="I176" s="284"/>
    </row>
    <row r="177" spans="1:9" ht="15.75" customHeight="1" outlineLevel="1">
      <c r="A177" s="283" t="s">
        <v>172</v>
      </c>
      <c r="B177" s="558">
        <v>3922</v>
      </c>
      <c r="C177" s="558"/>
      <c r="D177" s="271" t="s">
        <v>466</v>
      </c>
      <c r="E177" s="283">
        <v>2014</v>
      </c>
      <c r="F177" s="284">
        <v>36695</v>
      </c>
      <c r="G177" s="283">
        <f>Input!$C$14-E177+0.5</f>
        <v>8.5</v>
      </c>
      <c r="H177" s="284">
        <f t="shared" si="3"/>
        <v>311907.5</v>
      </c>
      <c r="I177" s="284"/>
    </row>
    <row r="178" spans="1:9" ht="15.75" customHeight="1" outlineLevel="1">
      <c r="A178" s="283" t="s">
        <v>172</v>
      </c>
      <c r="B178" s="558">
        <v>3922</v>
      </c>
      <c r="C178" s="558"/>
      <c r="D178" s="271" t="s">
        <v>467</v>
      </c>
      <c r="E178" s="283">
        <v>2015</v>
      </c>
      <c r="F178" s="284">
        <v>37337</v>
      </c>
      <c r="G178" s="283">
        <f>Input!$C$14-E178+0.5</f>
        <v>7.5</v>
      </c>
      <c r="H178" s="284">
        <f t="shared" si="3"/>
        <v>280027.5</v>
      </c>
      <c r="I178" s="284"/>
    </row>
    <row r="179" spans="1:9" ht="15.75" customHeight="1" outlineLevel="1">
      <c r="A179" s="283" t="s">
        <v>172</v>
      </c>
      <c r="B179" s="558">
        <v>3922</v>
      </c>
      <c r="C179" s="558"/>
      <c r="D179" s="271" t="s">
        <v>463</v>
      </c>
      <c r="E179" s="283">
        <v>2015</v>
      </c>
      <c r="F179" s="284">
        <v>28718</v>
      </c>
      <c r="G179" s="283">
        <f>Input!$C$14-E179+0.5</f>
        <v>7.5</v>
      </c>
      <c r="H179" s="284">
        <f t="shared" si="3"/>
        <v>215385</v>
      </c>
      <c r="I179" s="284"/>
    </row>
    <row r="180" spans="1:9" ht="15.75" customHeight="1" outlineLevel="1">
      <c r="A180" s="283" t="s">
        <v>172</v>
      </c>
      <c r="B180" s="558">
        <v>3922</v>
      </c>
      <c r="C180" s="558"/>
      <c r="D180" s="271" t="s">
        <v>468</v>
      </c>
      <c r="E180" s="283">
        <v>2016</v>
      </c>
      <c r="F180" s="284">
        <v>26902</v>
      </c>
      <c r="G180" s="283">
        <f>Input!$C$14-E180+0.5</f>
        <v>6.5</v>
      </c>
      <c r="H180" s="284">
        <f t="shared" si="3"/>
        <v>174863</v>
      </c>
      <c r="I180" s="284"/>
    </row>
    <row r="181" spans="1:9" ht="15.75" customHeight="1" outlineLevel="1">
      <c r="A181" s="283" t="s">
        <v>172</v>
      </c>
      <c r="B181" s="558">
        <v>3922</v>
      </c>
      <c r="C181" s="558"/>
      <c r="D181" s="271" t="s">
        <v>469</v>
      </c>
      <c r="E181" s="283">
        <v>2016</v>
      </c>
      <c r="F181" s="284">
        <v>35970</v>
      </c>
      <c r="G181" s="283">
        <f>Input!$C$14-E181+0.5</f>
        <v>6.5</v>
      </c>
      <c r="H181" s="284">
        <f t="shared" si="3"/>
        <v>233805</v>
      </c>
      <c r="I181" s="284"/>
    </row>
    <row r="182" spans="1:9" ht="15.75" customHeight="1" outlineLevel="1">
      <c r="A182" s="283" t="s">
        <v>172</v>
      </c>
      <c r="B182" s="558">
        <v>3922</v>
      </c>
      <c r="C182" s="558"/>
      <c r="D182" s="271" t="s">
        <v>470</v>
      </c>
      <c r="E182" s="283">
        <v>2016</v>
      </c>
      <c r="F182" s="284">
        <v>36761</v>
      </c>
      <c r="G182" s="283">
        <f>Input!$C$14-E182+0.5</f>
        <v>6.5</v>
      </c>
      <c r="H182" s="284">
        <f t="shared" si="3"/>
        <v>238946.5</v>
      </c>
      <c r="I182" s="284"/>
    </row>
    <row r="183" spans="1:9" ht="15.75" customHeight="1" outlineLevel="1">
      <c r="A183" s="283" t="s">
        <v>172</v>
      </c>
      <c r="B183" s="558">
        <v>3922</v>
      </c>
      <c r="C183" s="558"/>
      <c r="D183" s="271" t="s">
        <v>471</v>
      </c>
      <c r="E183" s="283">
        <v>2016</v>
      </c>
      <c r="F183" s="284">
        <v>27738</v>
      </c>
      <c r="G183" s="283">
        <f>Input!$C$14-E183+0.5</f>
        <v>6.5</v>
      </c>
      <c r="H183" s="284">
        <f t="shared" si="3"/>
        <v>180297</v>
      </c>
      <c r="I183" s="284"/>
    </row>
    <row r="184" spans="1:9" ht="15.75" customHeight="1" outlineLevel="1">
      <c r="A184" s="283" t="s">
        <v>172</v>
      </c>
      <c r="B184" s="558">
        <v>3922</v>
      </c>
      <c r="C184" s="558"/>
      <c r="D184" s="271" t="s">
        <v>472</v>
      </c>
      <c r="E184" s="283">
        <v>2017</v>
      </c>
      <c r="F184" s="284">
        <v>29874</v>
      </c>
      <c r="G184" s="283">
        <f>Input!$C$14-E184+0.5</f>
        <v>5.5</v>
      </c>
      <c r="H184" s="284">
        <f t="shared" si="3"/>
        <v>164307</v>
      </c>
      <c r="I184" s="284"/>
    </row>
    <row r="185" spans="1:9" ht="15.75" customHeight="1" outlineLevel="1">
      <c r="A185" s="283" t="s">
        <v>172</v>
      </c>
      <c r="B185" s="558">
        <v>3922</v>
      </c>
      <c r="C185" s="558"/>
      <c r="D185" s="271" t="s">
        <v>471</v>
      </c>
      <c r="E185" s="283">
        <v>2017</v>
      </c>
      <c r="F185" s="284">
        <v>32536</v>
      </c>
      <c r="G185" s="283">
        <f>Input!$C$14-E185+0.5</f>
        <v>5.5</v>
      </c>
      <c r="H185" s="284">
        <f t="shared" si="3"/>
        <v>178948</v>
      </c>
      <c r="I185" s="284"/>
    </row>
    <row r="186" spans="1:9" ht="15.75" customHeight="1" outlineLevel="1">
      <c r="A186" s="283" t="s">
        <v>172</v>
      </c>
      <c r="B186" s="558">
        <v>3922</v>
      </c>
      <c r="C186" s="558"/>
      <c r="D186" s="271" t="s">
        <v>473</v>
      </c>
      <c r="E186" s="283">
        <v>2019</v>
      </c>
      <c r="F186" s="284">
        <v>39509</v>
      </c>
      <c r="G186" s="283">
        <f>Input!$C$14-E186+0.5</f>
        <v>3.5</v>
      </c>
      <c r="H186" s="284">
        <f t="shared" si="3"/>
        <v>138281.5</v>
      </c>
      <c r="I186" s="284"/>
    </row>
    <row r="187" spans="1:9" ht="15.75" customHeight="1" outlineLevel="1">
      <c r="A187" s="283" t="s">
        <v>172</v>
      </c>
      <c r="B187" s="558">
        <v>3922</v>
      </c>
      <c r="C187" s="558"/>
      <c r="D187" s="271" t="s">
        <v>369</v>
      </c>
      <c r="E187" s="283">
        <v>2019</v>
      </c>
      <c r="F187" s="284">
        <v>30978</v>
      </c>
      <c r="G187" s="283">
        <f>Input!$C$14-E187+0.5</f>
        <v>3.5</v>
      </c>
      <c r="H187" s="284">
        <f t="shared" si="3"/>
        <v>108423</v>
      </c>
      <c r="I187" s="284"/>
    </row>
    <row r="188" spans="1:9" ht="15.75" customHeight="1" outlineLevel="1">
      <c r="A188" s="283" t="s">
        <v>172</v>
      </c>
      <c r="B188" s="558">
        <v>3922</v>
      </c>
      <c r="C188" s="558"/>
      <c r="D188" s="271" t="s">
        <v>474</v>
      </c>
      <c r="E188" s="283">
        <v>2018</v>
      </c>
      <c r="F188" s="284">
        <v>43391</v>
      </c>
      <c r="G188" s="283">
        <f>Input!$C$14-E188+0.5</f>
        <v>4.5</v>
      </c>
      <c r="H188" s="284">
        <f t="shared" si="3"/>
        <v>195259.5</v>
      </c>
      <c r="I188" s="284"/>
    </row>
    <row r="189" spans="1:10" ht="15.75" customHeight="1" outlineLevel="1">
      <c r="A189" s="283" t="s">
        <v>9</v>
      </c>
      <c r="B189" s="558">
        <v>3920</v>
      </c>
      <c r="C189" s="558"/>
      <c r="D189" s="271" t="s">
        <v>369</v>
      </c>
      <c r="E189" s="283">
        <v>2020</v>
      </c>
      <c r="F189" s="284">
        <v>38460</v>
      </c>
      <c r="G189" s="283">
        <f>+Input!$C$14-E189+0.5</f>
        <v>2.5</v>
      </c>
      <c r="H189" s="284">
        <f>+F189*G189</f>
        <v>96150</v>
      </c>
      <c r="I189" s="361"/>
      <c r="J189" s="286"/>
    </row>
    <row r="190" spans="1:10" ht="15.75" customHeight="1" outlineLevel="1">
      <c r="A190" s="283" t="s">
        <v>9</v>
      </c>
      <c r="B190" s="558">
        <v>3920</v>
      </c>
      <c r="C190" s="558"/>
      <c r="D190" s="271" t="s">
        <v>370</v>
      </c>
      <c r="E190" s="283">
        <v>2020</v>
      </c>
      <c r="F190" s="284">
        <v>47607</v>
      </c>
      <c r="G190" s="283">
        <f>+Input!$C$14-E190+0.5</f>
        <v>2.5</v>
      </c>
      <c r="H190" s="284">
        <f>+F190*G190</f>
        <v>119017.5</v>
      </c>
      <c r="I190" s="361"/>
      <c r="J190" s="286"/>
    </row>
    <row r="191" spans="1:10" s="272" customFormat="1" ht="12.75" outlineLevel="1">
      <c r="A191" s="283" t="s">
        <v>174</v>
      </c>
      <c r="B191" s="558">
        <v>3922</v>
      </c>
      <c r="C191" s="559"/>
      <c r="D191" s="271" t="s">
        <v>475</v>
      </c>
      <c r="E191" s="283">
        <v>2019</v>
      </c>
      <c r="F191" s="376">
        <v>9737</v>
      </c>
      <c r="G191" s="283">
        <f>Input!$C$14-E191+0.5</f>
        <v>3.5</v>
      </c>
      <c r="H191" s="284">
        <f t="shared" si="3"/>
        <v>34079.5</v>
      </c>
      <c r="I191" s="271"/>
      <c r="J191" s="271"/>
    </row>
    <row r="192" spans="1:9" s="272" customFormat="1" ht="15.75" customHeight="1" outlineLevel="1">
      <c r="A192" s="283" t="s">
        <v>174</v>
      </c>
      <c r="B192" s="558">
        <v>3922</v>
      </c>
      <c r="C192" s="559"/>
      <c r="D192" s="271" t="s">
        <v>476</v>
      </c>
      <c r="E192" s="283">
        <v>2021</v>
      </c>
      <c r="F192" s="376">
        <v>18988</v>
      </c>
      <c r="G192" s="283">
        <f>Input!$C$14-E192+0.5</f>
        <v>1.5</v>
      </c>
      <c r="H192" s="284">
        <f t="shared" si="3"/>
        <v>28482</v>
      </c>
      <c r="I192" s="271"/>
    </row>
    <row r="193" spans="1:9" s="272" customFormat="1" ht="12.75" outlineLevel="1">
      <c r="A193" s="283" t="s">
        <v>174</v>
      </c>
      <c r="B193" s="558">
        <v>3922</v>
      </c>
      <c r="C193" s="559"/>
      <c r="D193" s="271" t="s">
        <v>477</v>
      </c>
      <c r="E193" s="283">
        <v>2021</v>
      </c>
      <c r="F193" s="376">
        <v>-113155</v>
      </c>
      <c r="G193" s="283">
        <f>Input!$C$14-E193+0.5</f>
        <v>1.5</v>
      </c>
      <c r="H193" s="284">
        <f t="shared" si="3"/>
        <v>-169732.5</v>
      </c>
      <c r="I193" s="271"/>
    </row>
    <row r="194" spans="1:9" ht="15.75" customHeight="1" thickBot="1">
      <c r="A194" s="283"/>
      <c r="B194" s="558">
        <f>B188</f>
        <v>3922</v>
      </c>
      <c r="C194" s="558"/>
      <c r="D194" s="364" t="s">
        <v>496</v>
      </c>
      <c r="E194" s="316"/>
      <c r="F194" s="291">
        <f>SUM(F27:F193)</f>
        <v>5946647</v>
      </c>
      <c r="G194" s="292">
        <f>+IFERROR(H194/F194,0)</f>
        <v>7.4494106510778257</v>
      </c>
      <c r="H194" s="291">
        <f>SUM(H27:H193)</f>
        <v>44299015.5</v>
      </c>
      <c r="I194" s="284"/>
    </row>
    <row r="195" spans="1:10" ht="15.75" customHeight="1" thickTop="1">
      <c r="A195" s="283"/>
      <c r="B195" s="558">
        <f>B194</f>
        <v>3922</v>
      </c>
      <c r="C195" s="558"/>
      <c r="D195" s="271" t="s">
        <v>497</v>
      </c>
      <c r="E195" s="283">
        <v>2022</v>
      </c>
      <c r="F195" s="284">
        <f>'Sch. H'!N38</f>
        <v>773892.57000000007</v>
      </c>
      <c r="G195" s="283">
        <f>Input!$C$14-E195+0.5</f>
        <v>0.5</v>
      </c>
      <c r="H195" s="284">
        <f>+F195*G195</f>
        <v>386946.28500000003</v>
      </c>
      <c r="I195" s="284"/>
      <c r="J195" s="288"/>
    </row>
    <row r="196" spans="1:10" ht="15.75" customHeight="1">
      <c r="A196" s="283"/>
      <c r="B196" s="558">
        <f>B195</f>
        <v>3922</v>
      </c>
      <c r="C196" s="558"/>
      <c r="D196" s="271" t="s">
        <v>498</v>
      </c>
      <c r="E196" s="283">
        <v>2022</v>
      </c>
      <c r="F196" s="284">
        <f>-'Sch. F 2022'!AY90</f>
        <v>-287324</v>
      </c>
      <c r="G196" s="363">
        <f>'Sch. F 2022'!AY92</f>
        <v>15.720000000000001</v>
      </c>
      <c r="H196" s="284">
        <f>+F196*G196</f>
        <v>-4516733.2800000003</v>
      </c>
      <c r="I196" s="284"/>
      <c r="J196" s="288"/>
    </row>
    <row r="197" spans="1:10" ht="15.75" customHeight="1">
      <c r="A197" s="283"/>
      <c r="B197" s="558">
        <f>B196</f>
        <v>3922</v>
      </c>
      <c r="C197" s="558"/>
      <c r="D197" s="377" t="s">
        <v>499</v>
      </c>
      <c r="E197" s="283" t="s">
        <v>500</v>
      </c>
      <c r="F197" s="284">
        <f>SUM(F9:F15)-SUM(F191:F193,F166:F167)+F215</f>
        <v>259003.01999999999</v>
      </c>
      <c r="G197" s="363">
        <f>H197/F197</f>
        <v>1.2687447042123292</v>
      </c>
      <c r="H197" s="284">
        <f>SUM(H9:H15)-SUM(H191:H193,H166:H167)+H215</f>
        <v>328608.70999999996</v>
      </c>
      <c r="I197" s="284"/>
      <c r="J197" s="288"/>
    </row>
    <row r="198" spans="1:9" ht="15.75" customHeight="1" thickBot="1">
      <c r="A198" s="289"/>
      <c r="B198" s="558">
        <f>B197</f>
        <v>3922</v>
      </c>
      <c r="C198" s="560"/>
      <c r="D198" s="364" t="s">
        <v>557</v>
      </c>
      <c r="E198" s="305"/>
      <c r="F198" s="291">
        <f>SUM(F194:F197)</f>
        <v>6692218.5899999999</v>
      </c>
      <c r="G198" s="292">
        <f>+IFERROR(H198/F198,0)</f>
        <v>6.0514815334207421</v>
      </c>
      <c r="H198" s="291">
        <f>SUM(H194:H197)</f>
        <v>40497837.214999996</v>
      </c>
      <c r="I198" s="286"/>
    </row>
    <row r="199" spans="1:9" ht="18.75" thickTop="1">
      <c r="A199" s="283"/>
      <c r="B199" s="558"/>
      <c r="C199" s="558"/>
      <c r="D199" s="271"/>
      <c r="E199" s="283"/>
      <c r="F199" s="294"/>
      <c r="G199" s="271"/>
      <c r="H199" s="294"/>
      <c r="I199" s="271"/>
    </row>
    <row r="200" spans="1:7" ht="18" outlineLevel="1">
      <c r="A200" s="297"/>
      <c r="B200" s="561">
        <v>3923</v>
      </c>
      <c r="C200" s="562"/>
      <c r="D200" s="297"/>
      <c r="E200" s="298"/>
      <c r="F200" s="297"/>
      <c r="G200" s="298"/>
    </row>
    <row r="201" spans="1:9" ht="18.75" thickBot="1">
      <c r="A201" s="289"/>
      <c r="B201" s="558">
        <f>B200</f>
        <v>3923</v>
      </c>
      <c r="C201" s="558"/>
      <c r="D201" s="364" t="s">
        <v>496</v>
      </c>
      <c r="E201" s="289"/>
      <c r="F201" s="291">
        <v>0</v>
      </c>
      <c r="G201" s="292">
        <f>+IFERROR(H201/F201,0)</f>
        <v>0</v>
      </c>
      <c r="H201" s="291">
        <v>0</v>
      </c>
      <c r="I201" s="286"/>
    </row>
    <row r="202" spans="1:10" ht="15.75" customHeight="1" thickTop="1">
      <c r="A202" s="283"/>
      <c r="B202" s="558">
        <f>B201</f>
        <v>3923</v>
      </c>
      <c r="C202" s="558"/>
      <c r="D202" s="271" t="s">
        <v>497</v>
      </c>
      <c r="E202" s="283">
        <v>2022</v>
      </c>
      <c r="F202" s="284">
        <v>0</v>
      </c>
      <c r="G202" s="283">
        <f>Input!$C$14-E202+0.5</f>
        <v>0.5</v>
      </c>
      <c r="H202" s="284">
        <f>+F202*G202</f>
        <v>0</v>
      </c>
      <c r="I202" s="284"/>
      <c r="J202" s="288"/>
    </row>
    <row r="203" spans="1:10" ht="15.75" customHeight="1">
      <c r="A203" s="283"/>
      <c r="B203" s="558">
        <f>B202</f>
        <v>3923</v>
      </c>
      <c r="C203" s="558"/>
      <c r="D203" s="271" t="s">
        <v>498</v>
      </c>
      <c r="E203" s="283">
        <v>2022</v>
      </c>
      <c r="F203" s="284">
        <f>-'Sch. F 2022'!BA90</f>
        <v>0</v>
      </c>
      <c r="G203" s="363">
        <f>'Sch. F 2022'!BA92</f>
        <v>0</v>
      </c>
      <c r="H203" s="284">
        <f>+F203*G203</f>
        <v>0</v>
      </c>
      <c r="I203" s="284"/>
      <c r="J203" s="288"/>
    </row>
    <row r="204" spans="1:10" ht="15.75" customHeight="1">
      <c r="A204" s="283"/>
      <c r="B204" s="558">
        <f>B203</f>
        <v>3923</v>
      </c>
      <c r="C204" s="558"/>
      <c r="D204" s="377" t="s">
        <v>499</v>
      </c>
      <c r="E204" s="283" t="s">
        <v>500</v>
      </c>
      <c r="F204" s="284">
        <v>0</v>
      </c>
      <c r="G204" s="363">
        <v>0</v>
      </c>
      <c r="H204" s="284">
        <v>0</v>
      </c>
      <c r="I204" s="284"/>
      <c r="J204" s="288"/>
    </row>
    <row r="205" spans="1:9" ht="15.75" customHeight="1" thickBot="1">
      <c r="A205" s="289"/>
      <c r="B205" s="558">
        <f>B204</f>
        <v>3923</v>
      </c>
      <c r="C205" s="560"/>
      <c r="D205" s="364" t="s">
        <v>557</v>
      </c>
      <c r="E205" s="305"/>
      <c r="F205" s="291">
        <f>SUM(F201:F204)</f>
        <v>0</v>
      </c>
      <c r="G205" s="292">
        <f>+IFERROR(H205/F205,0)</f>
        <v>0</v>
      </c>
      <c r="H205" s="291">
        <f>SUM(H201:H204)</f>
        <v>0</v>
      </c>
      <c r="I205" s="286"/>
    </row>
    <row r="206" spans="1:10" ht="18.75" thickTop="1">
      <c r="A206" s="283"/>
      <c r="B206" s="558"/>
      <c r="C206" s="558"/>
      <c r="D206" s="271"/>
      <c r="E206" s="283"/>
      <c r="F206" s="294"/>
      <c r="G206" s="283"/>
      <c r="H206" s="299"/>
      <c r="I206" s="271"/>
      <c r="J206" s="296"/>
    </row>
    <row r="207" spans="1:10" ht="18" outlineLevel="1">
      <c r="A207" s="283" t="s">
        <v>174</v>
      </c>
      <c r="B207" s="558">
        <v>3924</v>
      </c>
      <c r="C207" s="558"/>
      <c r="D207" s="271" t="s">
        <v>478</v>
      </c>
      <c r="E207" s="283" t="s">
        <v>479</v>
      </c>
      <c r="F207" s="284">
        <v>10384.24</v>
      </c>
      <c r="G207" s="283">
        <f>Input!$C$14-E207+0.5</f>
        <v>28.5</v>
      </c>
      <c r="H207" s="284">
        <f t="shared" si="4" ref="H207:H220">+F207*G207</f>
        <v>295950.83999999997</v>
      </c>
      <c r="I207" s="286"/>
      <c r="J207" s="271"/>
    </row>
    <row r="208" spans="1:9" ht="18" outlineLevel="1">
      <c r="A208" s="283" t="s">
        <v>174</v>
      </c>
      <c r="B208" s="558">
        <v>3924</v>
      </c>
      <c r="C208" s="558"/>
      <c r="D208" s="271" t="s">
        <v>480</v>
      </c>
      <c r="E208" s="283" t="s">
        <v>481</v>
      </c>
      <c r="F208" s="284">
        <v>3274.77</v>
      </c>
      <c r="G208" s="283">
        <f>Input!$C$14-E208+0.5</f>
        <v>18.5</v>
      </c>
      <c r="H208" s="284">
        <f t="shared" si="4"/>
        <v>60583.245000000003</v>
      </c>
      <c r="I208" s="286"/>
    </row>
    <row r="209" spans="1:10" ht="18" outlineLevel="1">
      <c r="A209" s="283" t="s">
        <v>174</v>
      </c>
      <c r="B209" s="558">
        <v>3924</v>
      </c>
      <c r="C209" s="558"/>
      <c r="D209" s="271" t="s">
        <v>482</v>
      </c>
      <c r="E209" s="283" t="s">
        <v>483</v>
      </c>
      <c r="F209" s="284">
        <v>3382.52</v>
      </c>
      <c r="G209" s="283">
        <f>Input!$C$14-E209+0.5</f>
        <v>16.5</v>
      </c>
      <c r="H209" s="284">
        <f t="shared" si="4"/>
        <v>55811.580000000002</v>
      </c>
      <c r="I209" s="286"/>
      <c r="J209" s="286"/>
    </row>
    <row r="210" spans="1:10" ht="18" outlineLevel="1">
      <c r="A210" s="283" t="s">
        <v>174</v>
      </c>
      <c r="B210" s="558">
        <v>3924</v>
      </c>
      <c r="C210" s="558"/>
      <c r="D210" s="271" t="s">
        <v>482</v>
      </c>
      <c r="E210" s="283" t="s">
        <v>483</v>
      </c>
      <c r="F210" s="284">
        <v>3591.0999999999999</v>
      </c>
      <c r="G210" s="283">
        <f>Input!$C$14-E210+0.5</f>
        <v>16.5</v>
      </c>
      <c r="H210" s="284">
        <f t="shared" si="4"/>
        <v>59253.150000000001</v>
      </c>
      <c r="I210" s="286"/>
      <c r="J210" s="271"/>
    </row>
    <row r="211" spans="1:10" ht="18" outlineLevel="1">
      <c r="A211" s="283" t="s">
        <v>174</v>
      </c>
      <c r="B211" s="558">
        <v>3924</v>
      </c>
      <c r="C211" s="558"/>
      <c r="D211" s="271" t="s">
        <v>482</v>
      </c>
      <c r="E211" s="283" t="s">
        <v>483</v>
      </c>
      <c r="F211" s="284">
        <v>3591.0999999999999</v>
      </c>
      <c r="G211" s="283">
        <f>Input!$C$14-E211+0.5</f>
        <v>16.5</v>
      </c>
      <c r="H211" s="284">
        <f t="shared" si="4"/>
        <v>59253.150000000001</v>
      </c>
      <c r="I211" s="286"/>
      <c r="J211" s="286"/>
    </row>
    <row r="212" spans="1:10" ht="18" outlineLevel="1">
      <c r="A212" s="283" t="s">
        <v>174</v>
      </c>
      <c r="B212" s="558">
        <v>3924</v>
      </c>
      <c r="C212" s="558"/>
      <c r="D212" s="271" t="s">
        <v>484</v>
      </c>
      <c r="E212" s="283" t="s">
        <v>485</v>
      </c>
      <c r="F212" s="284">
        <v>3568.2399999999998</v>
      </c>
      <c r="G212" s="283">
        <f>Input!$C$14-E212+0.5</f>
        <v>15.5</v>
      </c>
      <c r="H212" s="284">
        <f t="shared" si="4"/>
        <v>55307.719999999994</v>
      </c>
      <c r="I212" s="286"/>
      <c r="J212" s="286"/>
    </row>
    <row r="213" spans="1:10" ht="18" outlineLevel="1">
      <c r="A213" s="283" t="s">
        <v>174</v>
      </c>
      <c r="B213" s="558">
        <v>3924</v>
      </c>
      <c r="C213" s="558"/>
      <c r="D213" s="271" t="s">
        <v>486</v>
      </c>
      <c r="E213" s="283" t="s">
        <v>485</v>
      </c>
      <c r="F213" s="284">
        <v>5323.1199999999999</v>
      </c>
      <c r="G213" s="283">
        <f>Input!$C$14-E213+0.5</f>
        <v>15.5</v>
      </c>
      <c r="H213" s="284">
        <f t="shared" si="4"/>
        <v>82508.360000000001</v>
      </c>
      <c r="I213" s="286"/>
      <c r="J213" s="286"/>
    </row>
    <row r="214" spans="1:10" ht="18" outlineLevel="1">
      <c r="A214" s="283" t="s">
        <v>174</v>
      </c>
      <c r="B214" s="558">
        <v>3924</v>
      </c>
      <c r="C214" s="558"/>
      <c r="D214" s="271" t="s">
        <v>487</v>
      </c>
      <c r="E214" s="283">
        <v>2011</v>
      </c>
      <c r="F214" s="284">
        <v>9559.7000000000007</v>
      </c>
      <c r="G214" s="283">
        <f>Input!$C$14-E214+0.5</f>
        <v>11.5</v>
      </c>
      <c r="H214" s="284">
        <f t="shared" si="4"/>
        <v>109936.55</v>
      </c>
      <c r="I214" s="271"/>
      <c r="J214" s="286"/>
    </row>
    <row r="215" spans="1:10" ht="18" outlineLevel="1">
      <c r="A215" s="283" t="s">
        <v>174</v>
      </c>
      <c r="B215" s="558">
        <v>3924</v>
      </c>
      <c r="C215" s="558"/>
      <c r="D215" s="271" t="s">
        <v>488</v>
      </c>
      <c r="E215" s="283">
        <v>2012</v>
      </c>
      <c r="F215" s="284">
        <v>15599.02</v>
      </c>
      <c r="G215" s="283">
        <f>Input!$C$14-E215+0.5</f>
        <v>10.5</v>
      </c>
      <c r="H215" s="284">
        <f t="shared" si="4"/>
        <v>163789.70999999999</v>
      </c>
      <c r="I215" s="271"/>
      <c r="J215" s="286"/>
    </row>
    <row r="216" spans="1:10" ht="18" outlineLevel="1">
      <c r="A216" s="283" t="s">
        <v>174</v>
      </c>
      <c r="B216" s="558">
        <v>3924</v>
      </c>
      <c r="C216" s="558"/>
      <c r="D216" s="271" t="s">
        <v>489</v>
      </c>
      <c r="E216" s="283">
        <v>2014</v>
      </c>
      <c r="F216" s="284">
        <v>2864.0900000000001</v>
      </c>
      <c r="G216" s="283">
        <f>Input!$C$14-E216+0.5</f>
        <v>8.5</v>
      </c>
      <c r="H216" s="284">
        <f t="shared" si="4"/>
        <v>24344.764999999999</v>
      </c>
      <c r="I216" s="286"/>
      <c r="J216" s="286"/>
    </row>
    <row r="217" spans="1:10" ht="18" outlineLevel="1">
      <c r="A217" s="283" t="s">
        <v>174</v>
      </c>
      <c r="B217" s="558">
        <v>3924</v>
      </c>
      <c r="C217" s="558"/>
      <c r="D217" s="271" t="s">
        <v>490</v>
      </c>
      <c r="E217" s="283">
        <v>2015</v>
      </c>
      <c r="F217" s="284">
        <v>8186.6799999999994</v>
      </c>
      <c r="G217" s="283">
        <f>Input!$C$14-E217+0.5</f>
        <v>7.5</v>
      </c>
      <c r="H217" s="284">
        <f t="shared" si="4"/>
        <v>61400.099999999999</v>
      </c>
      <c r="I217" s="286"/>
      <c r="J217" s="286"/>
    </row>
    <row r="218" spans="1:10" ht="18" outlineLevel="1">
      <c r="A218" s="283" t="s">
        <v>9</v>
      </c>
      <c r="B218" s="558">
        <v>3922</v>
      </c>
      <c r="C218" s="558"/>
      <c r="D218" s="271" t="s">
        <v>491</v>
      </c>
      <c r="E218" s="283">
        <v>1993</v>
      </c>
      <c r="F218" s="284">
        <v>2837.8899999999999</v>
      </c>
      <c r="G218" s="283">
        <f>Input!$C$14-E218+0.5</f>
        <v>29.5</v>
      </c>
      <c r="H218" s="284">
        <f t="shared" si="4"/>
        <v>83717.75499999999</v>
      </c>
      <c r="I218" s="286"/>
      <c r="J218" s="288"/>
    </row>
    <row r="219" spans="1:10" ht="18" outlineLevel="1">
      <c r="A219" s="283" t="s">
        <v>9</v>
      </c>
      <c r="B219" s="558">
        <v>3924</v>
      </c>
      <c r="C219" s="558"/>
      <c r="D219" s="271" t="s">
        <v>492</v>
      </c>
      <c r="E219" s="283">
        <v>2017</v>
      </c>
      <c r="F219" s="284">
        <v>4017.8900000000003</v>
      </c>
      <c r="G219" s="283">
        <f>Input!$C$14-E219+0.5</f>
        <v>5.5</v>
      </c>
      <c r="H219" s="284">
        <f t="shared" si="4"/>
        <v>22098.395</v>
      </c>
      <c r="I219" s="286"/>
      <c r="J219" s="286"/>
    </row>
    <row r="220" spans="1:10" ht="18" outlineLevel="1">
      <c r="A220" s="283" t="s">
        <v>9</v>
      </c>
      <c r="B220" s="558">
        <v>3924</v>
      </c>
      <c r="C220" s="558"/>
      <c r="D220" s="271" t="s">
        <v>674</v>
      </c>
      <c r="E220" s="283">
        <v>2017</v>
      </c>
      <c r="F220" s="284">
        <v>2883.6999999999998</v>
      </c>
      <c r="G220" s="283">
        <f>Input!$C$14-E220+0.5</f>
        <v>5.5</v>
      </c>
      <c r="H220" s="284">
        <f t="shared" si="4"/>
        <v>15860.349999999999</v>
      </c>
      <c r="I220" s="286"/>
      <c r="J220" s="286"/>
    </row>
    <row r="221" spans="1:9" ht="18.75" thickBot="1">
      <c r="A221" s="289"/>
      <c r="B221" s="558">
        <f>B220</f>
        <v>3924</v>
      </c>
      <c r="C221" s="558"/>
      <c r="D221" s="364" t="s">
        <v>496</v>
      </c>
      <c r="E221" s="289"/>
      <c r="F221" s="291">
        <f>SUM(F207:F220)</f>
        <v>79064.059999999983</v>
      </c>
      <c r="G221" s="292">
        <f>+IFERROR(H221/F221,0)</f>
        <v>14.54283615083769</v>
      </c>
      <c r="H221" s="291">
        <f>SUM(H207:H220)</f>
        <v>1149815.6699999999</v>
      </c>
      <c r="I221" s="286"/>
    </row>
    <row r="222" spans="1:10" ht="15.75" customHeight="1" thickTop="1">
      <c r="A222" s="283"/>
      <c r="B222" s="283">
        <f>B221</f>
        <v>3924</v>
      </c>
      <c r="C222" s="283"/>
      <c r="D222" s="271" t="s">
        <v>497</v>
      </c>
      <c r="E222" s="283">
        <v>2022</v>
      </c>
      <c r="F222" s="284">
        <v>0</v>
      </c>
      <c r="G222" s="283">
        <f>Input!$C$14-E222+0.5</f>
        <v>0.5</v>
      </c>
      <c r="H222" s="284">
        <f>+F222*G222</f>
        <v>0</v>
      </c>
      <c r="I222" s="284"/>
      <c r="J222" s="288"/>
    </row>
    <row r="223" spans="1:10" ht="15.75" customHeight="1">
      <c r="A223" s="283"/>
      <c r="B223" s="283">
        <f>B222</f>
        <v>3924</v>
      </c>
      <c r="C223" s="283"/>
      <c r="D223" s="271" t="s">
        <v>498</v>
      </c>
      <c r="E223" s="283">
        <v>2022</v>
      </c>
      <c r="F223" s="284">
        <f>-'Sch. F 2022'!BC90</f>
        <v>0</v>
      </c>
      <c r="G223" s="363">
        <f>'Sch. F 2022'!BC92</f>
        <v>0</v>
      </c>
      <c r="H223" s="284">
        <f>+F223*G223</f>
        <v>0</v>
      </c>
      <c r="I223" s="284"/>
      <c r="J223" s="288"/>
    </row>
    <row r="224" spans="1:10" ht="15.75" customHeight="1">
      <c r="A224" s="283"/>
      <c r="B224" s="283">
        <f>B223</f>
        <v>3924</v>
      </c>
      <c r="C224" s="283"/>
      <c r="D224" s="377" t="s">
        <v>499</v>
      </c>
      <c r="E224" s="283" t="s">
        <v>500</v>
      </c>
      <c r="F224" s="284">
        <f>-F215</f>
        <v>-15599.02</v>
      </c>
      <c r="G224" s="363">
        <v>0</v>
      </c>
      <c r="H224" s="284">
        <f>-H215</f>
        <v>-163789.70999999999</v>
      </c>
      <c r="I224" s="284"/>
      <c r="J224" s="288"/>
    </row>
    <row r="225" spans="1:9" ht="15.75" customHeight="1" thickBot="1">
      <c r="A225" s="289"/>
      <c r="B225" s="283">
        <f>B224</f>
        <v>3924</v>
      </c>
      <c r="C225" s="289"/>
      <c r="D225" s="364" t="s">
        <v>557</v>
      </c>
      <c r="E225" s="305"/>
      <c r="F225" s="291">
        <f>SUM(F221:F224)</f>
        <v>63465.039999999979</v>
      </c>
      <c r="G225" s="292">
        <f>+IFERROR(H225/F225,0)</f>
        <v>15.536521524291173</v>
      </c>
      <c r="H225" s="291">
        <f>SUM(H221:H224)</f>
        <v>986025.95999999996</v>
      </c>
      <c r="I225" s="286"/>
    </row>
    <row r="226" spans="1:10" ht="15.75" customHeight="1" thickTop="1">
      <c r="A226" s="286"/>
      <c r="B226" s="286"/>
      <c r="C226" s="286"/>
      <c r="D226" s="286"/>
      <c r="E226" s="286"/>
      <c r="F226" s="300"/>
      <c r="G226" s="286"/>
      <c r="H226" s="300"/>
      <c r="I226" s="286"/>
      <c r="J226" s="286"/>
    </row>
    <row r="227" spans="1:10" s="368" customFormat="1" ht="15.75" customHeight="1">
      <c r="A227" s="285"/>
      <c r="B227" s="285"/>
      <c r="C227" s="285"/>
      <c r="D227" s="369" t="s">
        <v>501</v>
      </c>
      <c r="E227" s="370"/>
      <c r="F227" s="366" t="s">
        <v>502</v>
      </c>
      <c r="G227" s="285"/>
      <c r="H227" s="367"/>
      <c r="I227" s="285"/>
      <c r="J227" s="285"/>
    </row>
    <row r="228" spans="1:10" ht="15.75" customHeight="1">
      <c r="A228" s="286"/>
      <c r="B228" s="286"/>
      <c r="C228" s="286"/>
      <c r="D228" s="365" t="s">
        <v>496</v>
      </c>
      <c r="E228" s="286"/>
      <c r="F228" s="284">
        <f>+F221+F201+F194+F21</f>
        <v>6392840.8699999992</v>
      </c>
      <c r="G228" s="363">
        <f>H228/F228</f>
        <v>7.4482153401387592</v>
      </c>
      <c r="H228" s="284">
        <f>+H221+H201+H194+H21</f>
        <v>47615255.435000002</v>
      </c>
      <c r="I228" s="286"/>
      <c r="J228" s="286"/>
    </row>
    <row r="229" spans="1:10" ht="15.75" customHeight="1">
      <c r="A229" s="286"/>
      <c r="B229" s="286"/>
      <c r="C229" s="286"/>
      <c r="D229" s="365" t="s">
        <v>497</v>
      </c>
      <c r="E229" s="286"/>
      <c r="F229" s="284">
        <f>+F222+F202+F195+F22</f>
        <v>988892.57000000007</v>
      </c>
      <c r="G229" s="363">
        <f>H229/F229</f>
        <v>0.5</v>
      </c>
      <c r="H229" s="284">
        <f>+H222+H202+H195+H22</f>
        <v>494446.28500000003</v>
      </c>
      <c r="I229" s="286"/>
      <c r="J229" s="286"/>
    </row>
    <row r="230" spans="1:10" ht="15.75" customHeight="1">
      <c r="A230" s="286"/>
      <c r="B230" s="286"/>
      <c r="C230" s="286"/>
      <c r="D230" s="365" t="s">
        <v>498</v>
      </c>
      <c r="E230" s="283"/>
      <c r="F230" s="284">
        <f>+F223+F203+F196+F23</f>
        <v>-346246.34999999998</v>
      </c>
      <c r="G230" s="363">
        <f>H230/F230</f>
        <v>14.831688348483675</v>
      </c>
      <c r="H230" s="284">
        <f>+H223+H203+H196+H23</f>
        <v>-5135417.9550000001</v>
      </c>
      <c r="I230" s="286"/>
      <c r="J230" s="286"/>
    </row>
    <row r="231" spans="1:10" s="272" customFormat="1" ht="15.75" customHeight="1">
      <c r="A231" s="287"/>
      <c r="B231" s="302"/>
      <c r="C231" s="303"/>
      <c r="D231" s="365" t="s">
        <v>499</v>
      </c>
      <c r="E231" s="283"/>
      <c r="F231" s="284">
        <f>+F224+F204+F197+F24</f>
        <v>18790</v>
      </c>
      <c r="G231" s="363">
        <f>H231/F231</f>
        <v>-32.741298563065463</v>
      </c>
      <c r="H231" s="284">
        <f>+H224+H204+H197+H24</f>
        <v>-615209</v>
      </c>
      <c r="I231" s="287"/>
      <c r="J231" s="286"/>
    </row>
    <row r="232" spans="1:10" s="272" customFormat="1" ht="15.75" customHeight="1" thickBot="1">
      <c r="A232" s="287"/>
      <c r="B232" s="302"/>
      <c r="C232" s="303"/>
      <c r="D232" s="364" t="s">
        <v>664</v>
      </c>
      <c r="E232" s="283"/>
      <c r="F232" s="291">
        <f>+F225+F205+F198+F25</f>
        <v>7054277.0899999999</v>
      </c>
      <c r="G232" s="292">
        <f>+IFERROR(H232/F232,0)</f>
        <v>6.0047364491887292</v>
      </c>
      <c r="H232" s="291">
        <f>+H225+H205+H198+H25</f>
        <v>42359074.765000001</v>
      </c>
      <c r="I232" s="287"/>
      <c r="J232" s="286"/>
    </row>
    <row r="233" spans="1:10" s="272" customFormat="1" ht="15.75" customHeight="1" thickTop="1">
      <c r="A233" s="287"/>
      <c r="B233" s="302"/>
      <c r="C233" s="303"/>
      <c r="D233" s="365"/>
      <c r="E233" s="283"/>
      <c r="F233" s="284"/>
      <c r="G233" s="304"/>
      <c r="H233" s="287"/>
      <c r="I233" s="287"/>
      <c r="J233" s="286"/>
    </row>
    <row r="234" spans="1:10" s="272" customFormat="1" ht="15.75" customHeight="1">
      <c r="A234" s="287"/>
      <c r="B234" s="302"/>
      <c r="C234" s="303"/>
      <c r="D234" s="365" t="s">
        <v>663</v>
      </c>
      <c r="E234" s="305"/>
      <c r="F234" s="284">
        <f>SUM('Sch. G 2022'!H37:H40)</f>
        <v>7054283</v>
      </c>
      <c r="G234" s="304"/>
      <c r="H234" s="287"/>
      <c r="I234" s="287"/>
      <c r="J234" s="286"/>
    </row>
    <row r="235" spans="4:10" ht="18.75" thickBot="1">
      <c r="D235" s="301" t="s">
        <v>493</v>
      </c>
      <c r="E235" s="301"/>
      <c r="F235" s="291">
        <f>+F232-F234</f>
        <v>-5.9100000001490116</v>
      </c>
      <c r="G235" s="362" t="s">
        <v>494</v>
      </c>
      <c r="J235" s="286"/>
    </row>
    <row r="236" spans="1:9" s="272" customFormat="1" ht="15.75" customHeight="1" thickTop="1">
      <c r="A236" s="287"/>
      <c r="B236" s="302"/>
      <c r="C236" s="303"/>
      <c r="D236" s="287"/>
      <c r="E236" s="304"/>
      <c r="F236" s="287"/>
      <c r="G236" s="304"/>
      <c r="H236" s="287"/>
      <c r="I236" s="287"/>
    </row>
  </sheetData>
  <mergeCells count="4">
    <mergeCell ref="A2:H2"/>
    <mergeCell ref="A3:H3"/>
    <mergeCell ref="A4:H4"/>
    <mergeCell ref="A1:H1"/>
  </mergeCells>
  <printOptions horizontalCentered="1"/>
  <pageMargins left="0.5" right="0.5" top="1.05" bottom="0.5" header="0.5" footer="0.2"/>
  <pageSetup fitToHeight="0" orientation="portrait" scale="93" r:id="rId1"/>
  <headerFooter>
    <oddHeader xml:space="preserve">&amp;L&amp;"Arial,Bold"&amp;12Florida Public Utilities Natural Gas Division
2023 Consolidated Depreciation Study Workbook
Docket No. 20220067&amp;R&amp;"Arial,Bold"&amp;12Revised Exhibit PSL-2
Page &amp;P of 93
Schedule L </oddHeader>
    <oddFooter>&amp;C&amp;A</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Z1019"/>
  <sheetViews>
    <sheetView workbookViewId="0" topLeftCell="A95">
      <selection pane="topLeft" activeCell="B6" sqref="B6"/>
    </sheetView>
  </sheetViews>
  <sheetFormatPr defaultColWidth="8.71428571428571" defaultRowHeight="14.25" outlineLevelRow="1"/>
  <cols>
    <col min="1" max="1" width="11.2857142857143" style="581" customWidth="1"/>
    <col min="2" max="2" width="30.4285714285714" style="575" customWidth="1"/>
    <col min="3" max="3" width="9" style="575" customWidth="1"/>
    <col min="4" max="4" width="12.7142857142857" style="582" customWidth="1"/>
    <col min="5" max="5" width="8.57142857142857" style="575" bestFit="1" customWidth="1"/>
    <col min="6" max="6" width="13.8571428571429" style="575" bestFit="1" customWidth="1"/>
    <col min="7" max="7" width="2.42857142857143" style="575" customWidth="1"/>
    <col min="8" max="8" width="2.42857142857143" style="316" hidden="1" customWidth="1"/>
    <col min="9" max="9" width="13" style="575" bestFit="1" customWidth="1"/>
    <col min="10" max="10" width="13.8571428571429" style="575" bestFit="1" customWidth="1"/>
    <col min="11" max="11" width="17.7142857142857" style="575" bestFit="1" customWidth="1"/>
    <col min="12" max="12" width="11.1428571428571" style="575" bestFit="1" customWidth="1"/>
    <col min="13" max="13" width="11.1428571428571" style="575" customWidth="1"/>
    <col min="14" max="14" width="13.1428571428571" style="575" bestFit="1" customWidth="1"/>
    <col min="15" max="15" width="12.5714285714286" style="575" bestFit="1" customWidth="1"/>
    <col min="16" max="16" width="8.85714285714286" style="603" bestFit="1" customWidth="1"/>
    <col min="17" max="17" width="13.8571428571429" style="575" bestFit="1" customWidth="1"/>
    <col min="18" max="18" width="6" style="575" customWidth="1"/>
    <col min="19" max="19" width="15.1428571428571" style="575" customWidth="1"/>
    <col min="20" max="20" width="7.28571428571429" style="677" bestFit="1" customWidth="1"/>
    <col min="21" max="21" width="8.71428571428571" style="575"/>
    <col min="22" max="22" width="11.7142857142857" style="575" bestFit="1" customWidth="1"/>
    <col min="23" max="23" width="10.7142857142857" style="575" bestFit="1" customWidth="1"/>
    <col min="24" max="25" width="8.71428571428571" style="575"/>
    <col min="26" max="26" width="10.7142857142857" style="575" bestFit="1" customWidth="1"/>
    <col min="27" max="16384" width="8.71428571428571" style="575"/>
  </cols>
  <sheetData>
    <row r="1" spans="1:20" s="607" customFormat="1" ht="15.75">
      <c r="A1" s="984" t="s">
        <v>56</v>
      </c>
      <c r="B1" s="984"/>
      <c r="C1" s="984"/>
      <c r="D1" s="984"/>
      <c r="E1" s="984"/>
      <c r="F1" s="984"/>
      <c r="G1" s="984"/>
      <c r="H1" s="984"/>
      <c r="I1" s="984"/>
      <c r="J1" s="984"/>
      <c r="K1" s="984"/>
      <c r="L1" s="984"/>
      <c r="M1" s="984"/>
      <c r="N1" s="984"/>
      <c r="O1" s="984"/>
      <c r="P1" s="984"/>
      <c r="Q1" s="984"/>
      <c r="T1" s="675"/>
    </row>
    <row r="2" spans="1:20" s="576" customFormat="1" ht="15.75">
      <c r="A2" s="983" t="str">
        <f>Input!B3</f>
        <v>FPUC, FPUC - Common, FPUC - Indiantown, Florida Division of Chesapeake Utilities Corporation, FPUC - Ft Meade</v>
      </c>
      <c r="B2" s="983"/>
      <c r="C2" s="983"/>
      <c r="D2" s="983"/>
      <c r="E2" s="983"/>
      <c r="F2" s="983"/>
      <c r="G2" s="983"/>
      <c r="H2" s="983"/>
      <c r="I2" s="983"/>
      <c r="J2" s="983"/>
      <c r="K2" s="983"/>
      <c r="L2" s="983"/>
      <c r="M2" s="983"/>
      <c r="N2" s="983"/>
      <c r="O2" s="983"/>
      <c r="P2" s="983"/>
      <c r="Q2" s="983"/>
      <c r="T2" s="676"/>
    </row>
    <row r="3" spans="1:20" s="576" customFormat="1" ht="15.75">
      <c r="A3" s="983" t="s">
        <v>548</v>
      </c>
      <c r="B3" s="983"/>
      <c r="C3" s="983"/>
      <c r="D3" s="983"/>
      <c r="E3" s="983"/>
      <c r="F3" s="983"/>
      <c r="G3" s="983"/>
      <c r="H3" s="983"/>
      <c r="I3" s="983"/>
      <c r="J3" s="983"/>
      <c r="K3" s="983"/>
      <c r="L3" s="983"/>
      <c r="M3" s="983"/>
      <c r="N3" s="983"/>
      <c r="O3" s="983"/>
      <c r="P3" s="983"/>
      <c r="Q3" s="983"/>
      <c r="T3" s="676"/>
    </row>
    <row r="4" spans="1:17" ht="15.75">
      <c r="A4" s="983">
        <f>'Sch. L'!A4</f>
        <v>44926</v>
      </c>
      <c r="B4" s="983"/>
      <c r="C4" s="983"/>
      <c r="D4" s="983"/>
      <c r="E4" s="983"/>
      <c r="F4" s="983"/>
      <c r="G4" s="983"/>
      <c r="H4" s="983"/>
      <c r="I4" s="983"/>
      <c r="J4" s="983"/>
      <c r="K4" s="983"/>
      <c r="L4" s="983"/>
      <c r="M4" s="983"/>
      <c r="N4" s="983"/>
      <c r="O4" s="983"/>
      <c r="P4" s="983"/>
      <c r="Q4" s="983"/>
    </row>
    <row r="6" spans="1:20" s="374" customFormat="1" ht="51.75" thickBot="1">
      <c r="A6" s="593" t="s">
        <v>362</v>
      </c>
      <c r="B6" s="594" t="s">
        <v>334</v>
      </c>
      <c r="C6" s="594" t="s">
        <v>503</v>
      </c>
      <c r="D6" s="595" t="s">
        <v>504</v>
      </c>
      <c r="E6" s="596" t="s">
        <v>72</v>
      </c>
      <c r="F6" s="595" t="s">
        <v>366</v>
      </c>
      <c r="G6" s="595"/>
      <c r="H6" s="373"/>
      <c r="I6" s="596" t="s">
        <v>549</v>
      </c>
      <c r="J6" s="596" t="s">
        <v>550</v>
      </c>
      <c r="K6" s="596" t="s">
        <v>551</v>
      </c>
      <c r="L6" s="596" t="s">
        <v>552</v>
      </c>
      <c r="M6" s="596" t="s">
        <v>676</v>
      </c>
      <c r="N6" s="596" t="s">
        <v>553</v>
      </c>
      <c r="O6" s="596" t="s">
        <v>554</v>
      </c>
      <c r="P6" s="596" t="s">
        <v>555</v>
      </c>
      <c r="Q6" s="595" t="s">
        <v>556</v>
      </c>
      <c r="S6" s="374" t="s">
        <v>678</v>
      </c>
      <c r="T6" s="678"/>
    </row>
    <row r="7" spans="1:17" s="598" customFormat="1" ht="15" outlineLevel="1">
      <c r="A7" s="597">
        <v>3741</v>
      </c>
      <c r="B7" s="598" t="s">
        <v>80</v>
      </c>
      <c r="C7" s="598">
        <v>1990</v>
      </c>
      <c r="D7" s="599">
        <v>909.52999999999997</v>
      </c>
      <c r="E7" s="598">
        <f>Input!$C$14-C7+0.5</f>
        <v>32.5</v>
      </c>
      <c r="F7" s="600">
        <f>D7*E7</f>
        <v>29559.724999999999</v>
      </c>
      <c r="G7" s="600"/>
      <c r="H7" s="317"/>
      <c r="I7" s="600"/>
      <c r="J7" s="600"/>
      <c r="K7" s="600"/>
      <c r="L7" s="600"/>
      <c r="M7" s="600"/>
      <c r="N7" s="600"/>
      <c r="O7" s="600">
        <f>SUM(D7,I7:N7)</f>
        <v>909.52999999999997</v>
      </c>
      <c r="P7" s="601">
        <f>E7</f>
        <v>32.5</v>
      </c>
      <c r="Q7" s="600">
        <f>O7*P7</f>
        <v>29559.724999999999</v>
      </c>
    </row>
    <row r="8" spans="1:17" s="598" customFormat="1" ht="15" outlineLevel="1">
      <c r="A8" s="597">
        <v>3741</v>
      </c>
      <c r="B8" s="598" t="s">
        <v>80</v>
      </c>
      <c r="C8" s="598">
        <v>1991</v>
      </c>
      <c r="D8" s="599">
        <v>12000</v>
      </c>
      <c r="E8" s="598">
        <f>Input!$C$14-C8+0.5</f>
        <v>31.5</v>
      </c>
      <c r="F8" s="600">
        <f t="shared" si="0" ref="F8:F13">D8*E8</f>
        <v>378000</v>
      </c>
      <c r="G8" s="600"/>
      <c r="H8" s="317"/>
      <c r="I8" s="600"/>
      <c r="J8" s="600"/>
      <c r="K8" s="600"/>
      <c r="L8" s="600"/>
      <c r="M8" s="600"/>
      <c r="N8" s="600"/>
      <c r="O8" s="600">
        <f t="shared" si="1" ref="O8:O10">SUM(D8,I8:N8)</f>
        <v>12000</v>
      </c>
      <c r="P8" s="601">
        <f t="shared" si="2" ref="P8:P71">E8</f>
        <v>31.5</v>
      </c>
      <c r="Q8" s="600">
        <f t="shared" si="3" ref="Q8:Q71">O8*P8</f>
        <v>378000</v>
      </c>
    </row>
    <row r="9" spans="1:20" s="598" customFormat="1" ht="15" outlineLevel="1">
      <c r="A9" s="597">
        <v>3741</v>
      </c>
      <c r="B9" s="598" t="s">
        <v>80</v>
      </c>
      <c r="C9" s="598">
        <v>2011</v>
      </c>
      <c r="D9" s="599">
        <v>17000</v>
      </c>
      <c r="E9" s="598">
        <f>Input!$C$14-C9+0.5</f>
        <v>11.5</v>
      </c>
      <c r="F9" s="600">
        <f t="shared" si="0"/>
        <v>195500</v>
      </c>
      <c r="G9" s="600"/>
      <c r="H9" s="317"/>
      <c r="I9" s="600"/>
      <c r="J9" s="600"/>
      <c r="K9" s="600"/>
      <c r="L9" s="600"/>
      <c r="M9" s="600"/>
      <c r="N9" s="600"/>
      <c r="O9" s="600">
        <f t="shared" si="1"/>
        <v>17000</v>
      </c>
      <c r="P9" s="601">
        <f t="shared" si="2"/>
        <v>11.5</v>
      </c>
      <c r="Q9" s="600">
        <f t="shared" si="3"/>
        <v>195500</v>
      </c>
      <c r="S9" s="598" t="s">
        <v>680</v>
      </c>
      <c r="T9" s="598" t="s">
        <v>682</v>
      </c>
    </row>
    <row r="10" spans="1:20" s="598" customFormat="1" ht="15" outlineLevel="1">
      <c r="A10" s="597">
        <v>3741</v>
      </c>
      <c r="B10" s="598" t="s">
        <v>80</v>
      </c>
      <c r="C10" s="598">
        <v>2012</v>
      </c>
      <c r="D10" s="599">
        <v>3500</v>
      </c>
      <c r="E10" s="598">
        <f>Input!$C$14-C10+0.5</f>
        <v>10.5</v>
      </c>
      <c r="F10" s="600">
        <f t="shared" si="0"/>
        <v>36750</v>
      </c>
      <c r="G10" s="600"/>
      <c r="H10" s="317"/>
      <c r="I10" s="600"/>
      <c r="J10" s="600"/>
      <c r="K10" s="600"/>
      <c r="L10" s="600"/>
      <c r="M10" s="600"/>
      <c r="N10" s="600"/>
      <c r="O10" s="600">
        <f t="shared" si="1"/>
        <v>3500</v>
      </c>
      <c r="P10" s="601">
        <f t="shared" si="2"/>
        <v>10.5</v>
      </c>
      <c r="Q10" s="600">
        <f t="shared" si="3"/>
        <v>36750</v>
      </c>
      <c r="S10" s="714" t="s">
        <v>681</v>
      </c>
      <c r="T10" s="714" t="s">
        <v>682</v>
      </c>
    </row>
    <row r="11" spans="1:20" s="598" customFormat="1" ht="13.5" thickBot="1">
      <c r="A11" s="563">
        <f>A10</f>
        <v>3741</v>
      </c>
      <c r="B11" s="564" t="s">
        <v>496</v>
      </c>
      <c r="D11" s="357">
        <f>SUM(D7:D10)</f>
        <v>33409.529999999999</v>
      </c>
      <c r="E11" s="565">
        <f>ROUND(F11/D11,1)</f>
        <v>19.199999999999999</v>
      </c>
      <c r="F11" s="357">
        <f>SUM(F7:F10)</f>
        <v>639809.72499999998</v>
      </c>
      <c r="G11" s="358"/>
      <c r="H11" s="318"/>
      <c r="I11" s="357">
        <f>SUM(I7:I10)</f>
        <v>0</v>
      </c>
      <c r="J11" s="357">
        <f>SUM(J7:J10)</f>
        <v>0</v>
      </c>
      <c r="K11" s="357">
        <f t="shared" si="4" ref="K11:N11">SUM(K7:K10)</f>
        <v>0</v>
      </c>
      <c r="L11" s="357">
        <f t="shared" si="4"/>
        <v>0</v>
      </c>
      <c r="M11" s="357">
        <f t="shared" si="4"/>
        <v>0</v>
      </c>
      <c r="N11" s="357">
        <f t="shared" si="4"/>
        <v>0</v>
      </c>
      <c r="O11" s="357">
        <f>SUM(O7:O10)</f>
        <v>33409.529999999999</v>
      </c>
      <c r="P11" s="565">
        <f>ROUND(Q11/O11,1)</f>
        <v>19.199999999999999</v>
      </c>
      <c r="Q11" s="357">
        <f>SUM(Q7:Q10)</f>
        <v>639809.72499999998</v>
      </c>
      <c r="S11" s="604">
        <f>'Sch. G 2021'!H13</f>
        <v>33410</v>
      </c>
      <c r="T11" s="679">
        <f>D11-S11</f>
        <v>-0.47000000000116415</v>
      </c>
    </row>
    <row r="12" spans="1:20" s="598" customFormat="1" ht="15.75" thickTop="1">
      <c r="A12" s="566">
        <f>A10</f>
        <v>3741</v>
      </c>
      <c r="B12" s="490" t="str">
        <f>B10&amp;" - Additions"</f>
        <v>Land Rights - Additions</v>
      </c>
      <c r="C12" s="490">
        <v>2022</v>
      </c>
      <c r="D12" s="567">
        <f>'Sch. H'!N13</f>
        <v>0</v>
      </c>
      <c r="E12" s="601">
        <f>Input!$C$14-C12+0.5</f>
        <v>0.5</v>
      </c>
      <c r="F12" s="600">
        <f t="shared" si="0"/>
        <v>0</v>
      </c>
      <c r="G12" s="600"/>
      <c r="H12" s="317"/>
      <c r="I12" s="600"/>
      <c r="J12" s="600"/>
      <c r="K12" s="600"/>
      <c r="L12" s="600"/>
      <c r="M12" s="600"/>
      <c r="N12" s="600"/>
      <c r="O12" s="600">
        <f t="shared" si="5" ref="O12:O13">SUM(D12,I12:N12)</f>
        <v>0</v>
      </c>
      <c r="P12" s="601">
        <f t="shared" si="2"/>
        <v>0.5</v>
      </c>
      <c r="Q12" s="600">
        <f t="shared" si="3"/>
        <v>0</v>
      </c>
      <c r="T12" s="679"/>
    </row>
    <row r="13" spans="1:20" s="598" customFormat="1" ht="15">
      <c r="A13" s="566">
        <f>A12</f>
        <v>3741</v>
      </c>
      <c r="B13" s="490" t="str">
        <f>B10&amp;" - Retirements"</f>
        <v>Land Rights - Retirements</v>
      </c>
      <c r="C13" s="490">
        <v>2022</v>
      </c>
      <c r="D13" s="567">
        <f>-'Sch. F 2022'!C90</f>
        <v>0</v>
      </c>
      <c r="E13" s="601">
        <f>'Sch. F 2022'!C92</f>
        <v>0</v>
      </c>
      <c r="F13" s="600">
        <f t="shared" si="0"/>
        <v>0</v>
      </c>
      <c r="G13" s="600"/>
      <c r="H13" s="317"/>
      <c r="I13" s="600"/>
      <c r="J13" s="600"/>
      <c r="K13" s="600"/>
      <c r="L13" s="600"/>
      <c r="M13" s="600"/>
      <c r="N13" s="600"/>
      <c r="O13" s="600">
        <f t="shared" si="5"/>
        <v>0</v>
      </c>
      <c r="P13" s="601">
        <f t="shared" si="2"/>
        <v>0</v>
      </c>
      <c r="Q13" s="600">
        <f t="shared" si="3"/>
        <v>0</v>
      </c>
      <c r="T13" s="679"/>
    </row>
    <row r="14" spans="1:20" s="598" customFormat="1" ht="13.5" thickBot="1">
      <c r="A14" s="566"/>
      <c r="B14" s="564" t="s">
        <v>557</v>
      </c>
      <c r="C14" s="490"/>
      <c r="D14" s="568">
        <f>SUM(D11:D13)</f>
        <v>33409.529999999999</v>
      </c>
      <c r="E14" s="565">
        <f>ROUND(F14/D14,1)</f>
        <v>19.199999999999999</v>
      </c>
      <c r="F14" s="569">
        <f>SUM(F11:F13)</f>
        <v>639809.72499999998</v>
      </c>
      <c r="G14" s="570"/>
      <c r="H14" s="372"/>
      <c r="I14" s="568">
        <f>SUM(I11:I13)</f>
        <v>0</v>
      </c>
      <c r="J14" s="568">
        <f>SUM(J11:J13)</f>
        <v>0</v>
      </c>
      <c r="K14" s="568">
        <f t="shared" si="6" ref="K14:N14">SUM(K11:K13)</f>
        <v>0</v>
      </c>
      <c r="L14" s="568">
        <f t="shared" si="6"/>
        <v>0</v>
      </c>
      <c r="M14" s="568">
        <f t="shared" si="6"/>
        <v>0</v>
      </c>
      <c r="N14" s="568">
        <f t="shared" si="6"/>
        <v>0</v>
      </c>
      <c r="O14" s="568">
        <f>SUM(O11:O13)</f>
        <v>33409.529999999999</v>
      </c>
      <c r="P14" s="565">
        <f>ROUND(Q14/O14,1)</f>
        <v>19.199999999999999</v>
      </c>
      <c r="Q14" s="569">
        <f>SUM(Q11:Q13)</f>
        <v>639809.72499999998</v>
      </c>
      <c r="S14" s="604">
        <f>'Sch. G 2022'!H13</f>
        <v>33410</v>
      </c>
      <c r="T14" s="679">
        <f>O14-S14</f>
        <v>-0.47000000000116415</v>
      </c>
    </row>
    <row r="15" spans="1:20" s="598" customFormat="1" ht="15" thickTop="1">
      <c r="A15" s="563"/>
      <c r="B15" s="571"/>
      <c r="D15" s="358"/>
      <c r="E15" s="572"/>
      <c r="F15" s="358"/>
      <c r="G15" s="358"/>
      <c r="H15" s="318"/>
      <c r="I15" s="358"/>
      <c r="J15" s="358"/>
      <c r="K15" s="358"/>
      <c r="L15" s="358"/>
      <c r="M15" s="358"/>
      <c r="N15" s="358"/>
      <c r="O15" s="600"/>
      <c r="P15" s="601"/>
      <c r="Q15" s="600"/>
      <c r="T15" s="679"/>
    </row>
    <row r="16" spans="1:17" s="598" customFormat="1" ht="15" outlineLevel="1">
      <c r="A16" s="597">
        <v>3750</v>
      </c>
      <c r="B16" s="598" t="s">
        <v>505</v>
      </c>
      <c r="C16" s="598">
        <v>1960</v>
      </c>
      <c r="D16" s="599">
        <v>838.07000000000005</v>
      </c>
      <c r="E16" s="601">
        <f>Input!$C$14-C16+0.5</f>
        <v>62.5</v>
      </c>
      <c r="F16" s="600">
        <f t="shared" si="7" ref="F16:F43">D16*E16</f>
        <v>52379.375</v>
      </c>
      <c r="G16" s="600"/>
      <c r="H16" s="317"/>
      <c r="I16" s="600"/>
      <c r="J16" s="600"/>
      <c r="K16" s="600"/>
      <c r="L16" s="600"/>
      <c r="M16" s="600"/>
      <c r="N16" s="600"/>
      <c r="O16" s="600">
        <f t="shared" si="8" ref="O16:O43">SUM(D16,I16:N16)</f>
        <v>838.07000000000005</v>
      </c>
      <c r="P16" s="601">
        <f t="shared" si="2"/>
        <v>62.5</v>
      </c>
      <c r="Q16" s="600">
        <f t="shared" si="3"/>
        <v>52379.375</v>
      </c>
    </row>
    <row r="17" spans="1:17" s="598" customFormat="1" ht="15" outlineLevel="1">
      <c r="A17" s="597">
        <v>3750</v>
      </c>
      <c r="B17" s="598" t="s">
        <v>505</v>
      </c>
      <c r="C17" s="598">
        <v>1968</v>
      </c>
      <c r="D17" s="599">
        <v>1249.01</v>
      </c>
      <c r="E17" s="601">
        <f>Input!$C$14-C17+0.5</f>
        <v>54.5</v>
      </c>
      <c r="F17" s="600">
        <f t="shared" si="7"/>
        <v>68071.044999999998</v>
      </c>
      <c r="G17" s="600"/>
      <c r="H17" s="317"/>
      <c r="I17" s="600"/>
      <c r="J17" s="600"/>
      <c r="K17" s="600"/>
      <c r="L17" s="600"/>
      <c r="M17" s="600"/>
      <c r="N17" s="600"/>
      <c r="O17" s="600">
        <f t="shared" si="8"/>
        <v>1249.01</v>
      </c>
      <c r="P17" s="601">
        <f t="shared" si="2"/>
        <v>54.5</v>
      </c>
      <c r="Q17" s="600">
        <f t="shared" si="3"/>
        <v>68071.044999999998</v>
      </c>
    </row>
    <row r="18" spans="1:17" s="598" customFormat="1" ht="15" outlineLevel="1">
      <c r="A18" s="597">
        <v>3750</v>
      </c>
      <c r="B18" s="598" t="s">
        <v>505</v>
      </c>
      <c r="C18" s="598">
        <v>1978</v>
      </c>
      <c r="D18" s="599">
        <v>32533.299999999999</v>
      </c>
      <c r="E18" s="601">
        <f>Input!$C$14-C18+0.5</f>
        <v>44.5</v>
      </c>
      <c r="F18" s="600">
        <f t="shared" si="7"/>
        <v>1447731.8499999999</v>
      </c>
      <c r="G18" s="600"/>
      <c r="H18" s="317"/>
      <c r="I18" s="600"/>
      <c r="J18" s="600"/>
      <c r="K18" s="600"/>
      <c r="L18" s="600"/>
      <c r="M18" s="600"/>
      <c r="N18" s="600"/>
      <c r="O18" s="600">
        <f t="shared" si="8"/>
        <v>32533.299999999999</v>
      </c>
      <c r="P18" s="601">
        <f t="shared" si="2"/>
        <v>44.5</v>
      </c>
      <c r="Q18" s="600">
        <f t="shared" si="3"/>
        <v>1447731.8499999999</v>
      </c>
    </row>
    <row r="19" spans="1:17" s="598" customFormat="1" ht="15" outlineLevel="1">
      <c r="A19" s="597">
        <v>3750</v>
      </c>
      <c r="B19" s="598" t="s">
        <v>505</v>
      </c>
      <c r="C19" s="598">
        <v>1979</v>
      </c>
      <c r="D19" s="599">
        <v>24732.779999999999</v>
      </c>
      <c r="E19" s="601">
        <f>Input!$C$14-C19+0.5</f>
        <v>43.5</v>
      </c>
      <c r="F19" s="600">
        <f t="shared" si="7"/>
        <v>1075875.9299999999</v>
      </c>
      <c r="G19" s="600"/>
      <c r="H19" s="317"/>
      <c r="I19" s="600"/>
      <c r="J19" s="600"/>
      <c r="K19" s="600"/>
      <c r="L19" s="600"/>
      <c r="M19" s="600"/>
      <c r="N19" s="600"/>
      <c r="O19" s="600">
        <f t="shared" si="8"/>
        <v>24732.779999999999</v>
      </c>
      <c r="P19" s="601">
        <f t="shared" si="2"/>
        <v>43.5</v>
      </c>
      <c r="Q19" s="600">
        <f t="shared" si="3"/>
        <v>1075875.9299999999</v>
      </c>
    </row>
    <row r="20" spans="1:17" s="598" customFormat="1" ht="15" outlineLevel="1">
      <c r="A20" s="597">
        <v>3750</v>
      </c>
      <c r="B20" s="598" t="s">
        <v>505</v>
      </c>
      <c r="C20" s="598">
        <v>1980</v>
      </c>
      <c r="D20" s="599">
        <v>369.36000000000001</v>
      </c>
      <c r="E20" s="601">
        <f>Input!$C$14-C20+0.5</f>
        <v>42.5</v>
      </c>
      <c r="F20" s="600">
        <f t="shared" si="7"/>
        <v>15697.800000000001</v>
      </c>
      <c r="G20" s="600"/>
      <c r="H20" s="317"/>
      <c r="I20" s="600"/>
      <c r="J20" s="600"/>
      <c r="K20" s="600"/>
      <c r="L20" s="600"/>
      <c r="M20" s="600"/>
      <c r="N20" s="600"/>
      <c r="O20" s="600">
        <f t="shared" si="8"/>
        <v>369.36000000000001</v>
      </c>
      <c r="P20" s="601">
        <f t="shared" si="2"/>
        <v>42.5</v>
      </c>
      <c r="Q20" s="600">
        <f t="shared" si="3"/>
        <v>15697.800000000001</v>
      </c>
    </row>
    <row r="21" spans="1:17" s="598" customFormat="1" ht="15" outlineLevel="1">
      <c r="A21" s="597">
        <v>3750</v>
      </c>
      <c r="B21" s="598" t="s">
        <v>505</v>
      </c>
      <c r="C21" s="598">
        <v>1981</v>
      </c>
      <c r="D21" s="599">
        <v>17400.959999999999</v>
      </c>
      <c r="E21" s="601">
        <f>Input!$C$14-C21+0.5</f>
        <v>41.5</v>
      </c>
      <c r="F21" s="600">
        <f t="shared" si="7"/>
        <v>722139.83999999997</v>
      </c>
      <c r="G21" s="600"/>
      <c r="H21" s="317"/>
      <c r="I21" s="600"/>
      <c r="J21" s="600"/>
      <c r="K21" s="600"/>
      <c r="L21" s="600"/>
      <c r="M21" s="600"/>
      <c r="N21" s="600"/>
      <c r="O21" s="600">
        <f t="shared" si="8"/>
        <v>17400.959999999999</v>
      </c>
      <c r="P21" s="601">
        <f t="shared" si="2"/>
        <v>41.5</v>
      </c>
      <c r="Q21" s="600">
        <f t="shared" si="3"/>
        <v>722139.83999999997</v>
      </c>
    </row>
    <row r="22" spans="1:17" s="598" customFormat="1" ht="15" outlineLevel="1">
      <c r="A22" s="597">
        <v>3750</v>
      </c>
      <c r="B22" s="598" t="s">
        <v>505</v>
      </c>
      <c r="C22" s="598">
        <v>1986</v>
      </c>
      <c r="D22" s="599">
        <v>665.47000000000003</v>
      </c>
      <c r="E22" s="601">
        <f>Input!$C$14-C22+0.5</f>
        <v>36.5</v>
      </c>
      <c r="F22" s="600">
        <f t="shared" si="7"/>
        <v>24289.655000000002</v>
      </c>
      <c r="G22" s="600"/>
      <c r="H22" s="317"/>
      <c r="I22" s="600"/>
      <c r="J22" s="600"/>
      <c r="K22" s="600"/>
      <c r="L22" s="600"/>
      <c r="M22" s="600"/>
      <c r="N22" s="600"/>
      <c r="O22" s="600">
        <f t="shared" si="8"/>
        <v>665.47000000000003</v>
      </c>
      <c r="P22" s="601">
        <f t="shared" si="2"/>
        <v>36.5</v>
      </c>
      <c r="Q22" s="600">
        <f t="shared" si="3"/>
        <v>24289.655000000002</v>
      </c>
    </row>
    <row r="23" spans="1:17" s="598" customFormat="1" ht="15" outlineLevel="1">
      <c r="A23" s="597">
        <v>3750</v>
      </c>
      <c r="B23" s="598" t="s">
        <v>505</v>
      </c>
      <c r="C23" s="598">
        <v>1991</v>
      </c>
      <c r="D23" s="599">
        <v>151042.23000000001</v>
      </c>
      <c r="E23" s="601">
        <f>Input!$C$14-C23+0.5</f>
        <v>31.5</v>
      </c>
      <c r="F23" s="600">
        <f t="shared" si="7"/>
        <v>4757830.2450000001</v>
      </c>
      <c r="G23" s="600"/>
      <c r="H23" s="317"/>
      <c r="I23" s="600"/>
      <c r="J23" s="600"/>
      <c r="K23" s="600"/>
      <c r="L23" s="600"/>
      <c r="M23" s="600"/>
      <c r="N23" s="600"/>
      <c r="O23" s="600">
        <f t="shared" si="8"/>
        <v>151042.23000000001</v>
      </c>
      <c r="P23" s="601">
        <f t="shared" si="2"/>
        <v>31.5</v>
      </c>
      <c r="Q23" s="600">
        <f t="shared" si="3"/>
        <v>4757830.2450000001</v>
      </c>
    </row>
    <row r="24" spans="1:17" s="598" customFormat="1" ht="15" outlineLevel="1">
      <c r="A24" s="597">
        <v>3750</v>
      </c>
      <c r="B24" s="598" t="s">
        <v>505</v>
      </c>
      <c r="C24" s="598">
        <v>1992</v>
      </c>
      <c r="D24" s="599">
        <v>12980.459999999999</v>
      </c>
      <c r="E24" s="601">
        <f>Input!$C$14-C24+0.5</f>
        <v>30.5</v>
      </c>
      <c r="F24" s="600">
        <f t="shared" si="7"/>
        <v>395904.02999999997</v>
      </c>
      <c r="G24" s="600"/>
      <c r="H24" s="317"/>
      <c r="I24" s="600"/>
      <c r="J24" s="600"/>
      <c r="K24" s="600"/>
      <c r="L24" s="600"/>
      <c r="M24" s="600"/>
      <c r="N24" s="600"/>
      <c r="O24" s="600">
        <f t="shared" si="8"/>
        <v>12980.459999999999</v>
      </c>
      <c r="P24" s="601">
        <f t="shared" si="2"/>
        <v>30.5</v>
      </c>
      <c r="Q24" s="600">
        <f t="shared" si="3"/>
        <v>395904.02999999997</v>
      </c>
    </row>
    <row r="25" spans="1:17" s="598" customFormat="1" ht="15" outlineLevel="1">
      <c r="A25" s="597">
        <v>3750</v>
      </c>
      <c r="B25" s="598" t="s">
        <v>505</v>
      </c>
      <c r="C25" s="598">
        <v>1994</v>
      </c>
      <c r="D25" s="599">
        <v>13997.5</v>
      </c>
      <c r="E25" s="601">
        <f>Input!$C$14-C25+0.5</f>
        <v>28.5</v>
      </c>
      <c r="F25" s="600">
        <f t="shared" si="7"/>
        <v>398928.75</v>
      </c>
      <c r="G25" s="600"/>
      <c r="H25" s="317"/>
      <c r="I25" s="600"/>
      <c r="J25" s="600"/>
      <c r="K25" s="600"/>
      <c r="L25" s="600"/>
      <c r="M25" s="600"/>
      <c r="N25" s="600"/>
      <c r="O25" s="600">
        <f t="shared" si="8"/>
        <v>13997.5</v>
      </c>
      <c r="P25" s="601">
        <f t="shared" si="2"/>
        <v>28.5</v>
      </c>
      <c r="Q25" s="600">
        <f t="shared" si="3"/>
        <v>398928.75</v>
      </c>
    </row>
    <row r="26" spans="1:17" s="598" customFormat="1" ht="15" outlineLevel="1">
      <c r="A26" s="597">
        <v>3750</v>
      </c>
      <c r="B26" s="598" t="s">
        <v>505</v>
      </c>
      <c r="C26" s="598">
        <v>1995</v>
      </c>
      <c r="D26" s="599">
        <v>765.31000000000006</v>
      </c>
      <c r="E26" s="601">
        <f>Input!$C$14-C26+0.5</f>
        <v>27.5</v>
      </c>
      <c r="F26" s="600">
        <f t="shared" si="7"/>
        <v>21046.025000000001</v>
      </c>
      <c r="G26" s="600"/>
      <c r="H26" s="317"/>
      <c r="I26" s="600"/>
      <c r="J26" s="600"/>
      <c r="K26" s="600"/>
      <c r="L26" s="600"/>
      <c r="M26" s="600"/>
      <c r="N26" s="600"/>
      <c r="O26" s="600">
        <f t="shared" si="8"/>
        <v>765.31000000000006</v>
      </c>
      <c r="P26" s="601">
        <f t="shared" si="2"/>
        <v>27.5</v>
      </c>
      <c r="Q26" s="600">
        <f t="shared" si="3"/>
        <v>21046.025000000001</v>
      </c>
    </row>
    <row r="27" spans="1:17" s="598" customFormat="1" ht="15" outlineLevel="1">
      <c r="A27" s="597">
        <v>3750</v>
      </c>
      <c r="B27" s="598" t="s">
        <v>505</v>
      </c>
      <c r="C27" s="598">
        <v>1997</v>
      </c>
      <c r="D27" s="599">
        <v>25822</v>
      </c>
      <c r="E27" s="601">
        <f>Input!$C$14-C27+0.5</f>
        <v>25.5</v>
      </c>
      <c r="F27" s="600">
        <f t="shared" si="7"/>
        <v>658461</v>
      </c>
      <c r="G27" s="600"/>
      <c r="H27" s="317"/>
      <c r="I27" s="600"/>
      <c r="J27" s="600"/>
      <c r="K27" s="600"/>
      <c r="L27" s="600"/>
      <c r="M27" s="600"/>
      <c r="N27" s="600"/>
      <c r="O27" s="600">
        <f t="shared" si="8"/>
        <v>25822</v>
      </c>
      <c r="P27" s="601">
        <f t="shared" si="2"/>
        <v>25.5</v>
      </c>
      <c r="Q27" s="600">
        <f t="shared" si="3"/>
        <v>658461</v>
      </c>
    </row>
    <row r="28" spans="1:17" s="598" customFormat="1" ht="15" outlineLevel="1">
      <c r="A28" s="597">
        <v>3750</v>
      </c>
      <c r="B28" s="598" t="s">
        <v>505</v>
      </c>
      <c r="C28" s="598">
        <v>1999</v>
      </c>
      <c r="D28" s="599">
        <v>4021.6199999999999</v>
      </c>
      <c r="E28" s="601">
        <f>Input!$C$14-C28+0.5</f>
        <v>23.5</v>
      </c>
      <c r="F28" s="600">
        <f t="shared" si="7"/>
        <v>94508.069999999992</v>
      </c>
      <c r="G28" s="600"/>
      <c r="H28" s="317"/>
      <c r="I28" s="600"/>
      <c r="J28" s="600"/>
      <c r="K28" s="600"/>
      <c r="L28" s="600"/>
      <c r="M28" s="600"/>
      <c r="N28" s="600"/>
      <c r="O28" s="600">
        <f t="shared" si="8"/>
        <v>4021.6199999999999</v>
      </c>
      <c r="P28" s="601">
        <f t="shared" si="2"/>
        <v>23.5</v>
      </c>
      <c r="Q28" s="600">
        <f t="shared" si="3"/>
        <v>94508.069999999992</v>
      </c>
    </row>
    <row r="29" spans="1:17" s="598" customFormat="1" ht="15" outlineLevel="1">
      <c r="A29" s="597">
        <v>3750</v>
      </c>
      <c r="B29" s="598" t="s">
        <v>505</v>
      </c>
      <c r="C29" s="598">
        <v>2001</v>
      </c>
      <c r="D29" s="599">
        <v>5487.7600000000002</v>
      </c>
      <c r="E29" s="601">
        <f>Input!$C$14-C29+0.5</f>
        <v>21.5</v>
      </c>
      <c r="F29" s="600">
        <f t="shared" si="7"/>
        <v>117986.84000000001</v>
      </c>
      <c r="G29" s="600"/>
      <c r="H29" s="317"/>
      <c r="I29" s="600"/>
      <c r="J29" s="600"/>
      <c r="K29" s="600"/>
      <c r="L29" s="600"/>
      <c r="M29" s="600"/>
      <c r="N29" s="600"/>
      <c r="O29" s="600">
        <f t="shared" si="8"/>
        <v>5487.7600000000002</v>
      </c>
      <c r="P29" s="601">
        <f t="shared" si="2"/>
        <v>21.5</v>
      </c>
      <c r="Q29" s="600">
        <f t="shared" si="3"/>
        <v>117986.84000000001</v>
      </c>
    </row>
    <row r="30" spans="1:17" s="598" customFormat="1" ht="15" outlineLevel="1">
      <c r="A30" s="597">
        <v>3750</v>
      </c>
      <c r="B30" s="598" t="s">
        <v>505</v>
      </c>
      <c r="C30" s="598">
        <v>2002</v>
      </c>
      <c r="D30" s="599">
        <v>12882</v>
      </c>
      <c r="E30" s="601">
        <f>Input!$C$14-C30+0.5</f>
        <v>20.5</v>
      </c>
      <c r="F30" s="600">
        <f t="shared" si="7"/>
        <v>264081</v>
      </c>
      <c r="G30" s="600"/>
      <c r="H30" s="317"/>
      <c r="I30" s="600"/>
      <c r="J30" s="600"/>
      <c r="K30" s="600"/>
      <c r="L30" s="600">
        <v>-11239</v>
      </c>
      <c r="M30" s="600"/>
      <c r="N30" s="600"/>
      <c r="O30" s="600">
        <f t="shared" si="8"/>
        <v>1643</v>
      </c>
      <c r="P30" s="601">
        <f t="shared" si="2"/>
        <v>20.5</v>
      </c>
      <c r="Q30" s="600">
        <f t="shared" si="3"/>
        <v>33681.5</v>
      </c>
    </row>
    <row r="31" spans="1:17" s="598" customFormat="1" ht="15" outlineLevel="1">
      <c r="A31" s="597">
        <v>3750</v>
      </c>
      <c r="B31" s="598" t="s">
        <v>505</v>
      </c>
      <c r="C31" s="598">
        <v>2003</v>
      </c>
      <c r="D31" s="599">
        <v>55.390000000000001</v>
      </c>
      <c r="E31" s="601">
        <f>Input!$C$14-C31+0.5</f>
        <v>19.5</v>
      </c>
      <c r="F31" s="600">
        <f t="shared" si="7"/>
        <v>1080.105</v>
      </c>
      <c r="G31" s="600"/>
      <c r="H31" s="317"/>
      <c r="I31" s="600"/>
      <c r="J31" s="600"/>
      <c r="K31" s="600"/>
      <c r="L31" s="600"/>
      <c r="M31" s="600"/>
      <c r="N31" s="600"/>
      <c r="O31" s="600">
        <f t="shared" si="8"/>
        <v>55.390000000000001</v>
      </c>
      <c r="P31" s="601">
        <f t="shared" si="2"/>
        <v>19.5</v>
      </c>
      <c r="Q31" s="600">
        <f t="shared" si="3"/>
        <v>1080.105</v>
      </c>
    </row>
    <row r="32" spans="1:17" s="598" customFormat="1" ht="15" outlineLevel="1">
      <c r="A32" s="597">
        <v>3750</v>
      </c>
      <c r="B32" s="598" t="s">
        <v>505</v>
      </c>
      <c r="C32" s="598">
        <v>2005</v>
      </c>
      <c r="D32" s="599">
        <v>110834.69</v>
      </c>
      <c r="E32" s="601">
        <f>Input!$C$14-C32+0.5</f>
        <v>17.5</v>
      </c>
      <c r="F32" s="600">
        <f t="shared" si="7"/>
        <v>1939607.075</v>
      </c>
      <c r="G32" s="600"/>
      <c r="H32" s="317"/>
      <c r="I32" s="600"/>
      <c r="J32" s="600"/>
      <c r="K32" s="600"/>
      <c r="L32" s="600"/>
      <c r="M32" s="600"/>
      <c r="N32" s="600"/>
      <c r="O32" s="600">
        <f t="shared" si="8"/>
        <v>110834.69</v>
      </c>
      <c r="P32" s="601">
        <f t="shared" si="2"/>
        <v>17.5</v>
      </c>
      <c r="Q32" s="600">
        <f t="shared" si="3"/>
        <v>1939607.075</v>
      </c>
    </row>
    <row r="33" spans="1:17" s="598" customFormat="1" ht="15" outlineLevel="1">
      <c r="A33" s="597">
        <v>3750</v>
      </c>
      <c r="B33" s="598" t="s">
        <v>505</v>
      </c>
      <c r="C33" s="598">
        <v>2009</v>
      </c>
      <c r="D33" s="599">
        <v>1223</v>
      </c>
      <c r="E33" s="601">
        <f>Input!$C$14-C33+0.5</f>
        <v>13.5</v>
      </c>
      <c r="F33" s="600">
        <f t="shared" si="7"/>
        <v>16510.5</v>
      </c>
      <c r="G33" s="600"/>
      <c r="H33" s="317"/>
      <c r="I33" s="600"/>
      <c r="J33" s="600"/>
      <c r="K33" s="600"/>
      <c r="L33" s="600"/>
      <c r="M33" s="600"/>
      <c r="N33" s="600"/>
      <c r="O33" s="600">
        <f t="shared" si="8"/>
        <v>1223</v>
      </c>
      <c r="P33" s="601">
        <f t="shared" si="2"/>
        <v>13.5</v>
      </c>
      <c r="Q33" s="600">
        <f t="shared" si="3"/>
        <v>16510.5</v>
      </c>
    </row>
    <row r="34" spans="1:17" s="598" customFormat="1" ht="15" outlineLevel="1">
      <c r="A34" s="597">
        <v>3750</v>
      </c>
      <c r="B34" s="598" t="s">
        <v>505</v>
      </c>
      <c r="C34" s="598">
        <v>2012</v>
      </c>
      <c r="D34" s="599">
        <v>60860.739999999998</v>
      </c>
      <c r="E34" s="601">
        <f>Input!$C$14-C34+0.5</f>
        <v>10.5</v>
      </c>
      <c r="F34" s="600">
        <f t="shared" si="7"/>
        <v>639037.77000000002</v>
      </c>
      <c r="G34" s="600"/>
      <c r="H34" s="317"/>
      <c r="I34" s="600"/>
      <c r="J34" s="600"/>
      <c r="K34" s="600"/>
      <c r="L34" s="600"/>
      <c r="M34" s="600"/>
      <c r="N34" s="600"/>
      <c r="O34" s="600">
        <f t="shared" si="8"/>
        <v>60860.739999999998</v>
      </c>
      <c r="P34" s="601">
        <f t="shared" si="2"/>
        <v>10.5</v>
      </c>
      <c r="Q34" s="600">
        <f t="shared" si="3"/>
        <v>639037.77000000002</v>
      </c>
    </row>
    <row r="35" spans="1:17" s="598" customFormat="1" ht="15" outlineLevel="1">
      <c r="A35" s="597">
        <v>3750</v>
      </c>
      <c r="B35" s="598" t="s">
        <v>505</v>
      </c>
      <c r="C35" s="598">
        <v>2013</v>
      </c>
      <c r="D35" s="599">
        <v>242328.07000000001</v>
      </c>
      <c r="E35" s="601">
        <f>Input!$C$14-C35+0.5</f>
        <v>9.5</v>
      </c>
      <c r="F35" s="600">
        <f t="shared" si="7"/>
        <v>2302116.665</v>
      </c>
      <c r="G35" s="600"/>
      <c r="H35" s="317"/>
      <c r="I35" s="600"/>
      <c r="J35" s="600"/>
      <c r="K35" s="600"/>
      <c r="L35" s="600"/>
      <c r="M35" s="600"/>
      <c r="N35" s="600"/>
      <c r="O35" s="600">
        <f t="shared" si="8"/>
        <v>242328.07000000001</v>
      </c>
      <c r="P35" s="601">
        <f t="shared" si="2"/>
        <v>9.5</v>
      </c>
      <c r="Q35" s="600">
        <f t="shared" si="3"/>
        <v>2302116.665</v>
      </c>
    </row>
    <row r="36" spans="1:17" s="598" customFormat="1" ht="15" outlineLevel="1">
      <c r="A36" s="597">
        <v>3750</v>
      </c>
      <c r="B36" s="598" t="s">
        <v>505</v>
      </c>
      <c r="C36" s="598">
        <v>2014</v>
      </c>
      <c r="D36" s="599">
        <v>5488.5699999999997</v>
      </c>
      <c r="E36" s="601">
        <f>Input!$C$14-C36+0.5</f>
        <v>8.5</v>
      </c>
      <c r="F36" s="600">
        <f t="shared" si="7"/>
        <v>46652.845000000001</v>
      </c>
      <c r="G36" s="600"/>
      <c r="H36" s="317"/>
      <c r="I36" s="600"/>
      <c r="J36" s="600"/>
      <c r="K36" s="600"/>
      <c r="L36" s="600"/>
      <c r="M36" s="600"/>
      <c r="N36" s="600"/>
      <c r="O36" s="600">
        <f t="shared" si="8"/>
        <v>5488.5699999999997</v>
      </c>
      <c r="P36" s="601">
        <f t="shared" si="2"/>
        <v>8.5</v>
      </c>
      <c r="Q36" s="600">
        <f t="shared" si="3"/>
        <v>46652.845000000001</v>
      </c>
    </row>
    <row r="37" spans="1:17" s="598" customFormat="1" ht="15" outlineLevel="1">
      <c r="A37" s="597">
        <v>3750</v>
      </c>
      <c r="B37" s="598" t="s">
        <v>505</v>
      </c>
      <c r="C37" s="598">
        <v>2015</v>
      </c>
      <c r="D37" s="599">
        <v>72644.800000000003</v>
      </c>
      <c r="E37" s="601">
        <f>Input!$C$14-C37+0.5</f>
        <v>7.5</v>
      </c>
      <c r="F37" s="600">
        <f t="shared" si="7"/>
        <v>544836</v>
      </c>
      <c r="G37" s="600"/>
      <c r="H37" s="317"/>
      <c r="I37" s="600"/>
      <c r="J37" s="600"/>
      <c r="K37" s="600"/>
      <c r="L37" s="600"/>
      <c r="M37" s="600"/>
      <c r="N37" s="600"/>
      <c r="O37" s="600">
        <f t="shared" si="8"/>
        <v>72644.800000000003</v>
      </c>
      <c r="P37" s="601">
        <f t="shared" si="2"/>
        <v>7.5</v>
      </c>
      <c r="Q37" s="600">
        <f t="shared" si="3"/>
        <v>544836</v>
      </c>
    </row>
    <row r="38" spans="1:17" s="598" customFormat="1" ht="15" outlineLevel="1">
      <c r="A38" s="597">
        <v>3750</v>
      </c>
      <c r="B38" s="598" t="s">
        <v>505</v>
      </c>
      <c r="C38" s="598">
        <v>2016</v>
      </c>
      <c r="D38" s="599">
        <v>42347.960000000006</v>
      </c>
      <c r="E38" s="601">
        <f>Input!$C$14-C38+0.5</f>
        <v>6.5</v>
      </c>
      <c r="F38" s="600">
        <f t="shared" si="7"/>
        <v>275261.74000000005</v>
      </c>
      <c r="G38" s="600"/>
      <c r="H38" s="317"/>
      <c r="I38" s="600"/>
      <c r="J38" s="600"/>
      <c r="K38" s="600"/>
      <c r="L38" s="600"/>
      <c r="M38" s="600"/>
      <c r="N38" s="600"/>
      <c r="O38" s="600">
        <f t="shared" si="8"/>
        <v>42347.960000000006</v>
      </c>
      <c r="P38" s="601">
        <f t="shared" si="2"/>
        <v>6.5</v>
      </c>
      <c r="Q38" s="600">
        <f t="shared" si="3"/>
        <v>275261.74000000005</v>
      </c>
    </row>
    <row r="39" spans="1:17" s="598" customFormat="1" ht="15" outlineLevel="1">
      <c r="A39" s="597">
        <v>3750</v>
      </c>
      <c r="B39" s="598" t="s">
        <v>505</v>
      </c>
      <c r="C39" s="598">
        <v>2017</v>
      </c>
      <c r="D39" s="599">
        <v>87503.199999999997</v>
      </c>
      <c r="E39" s="601">
        <f>Input!$C$14-C39+0.5</f>
        <v>5.5</v>
      </c>
      <c r="F39" s="600">
        <f t="shared" si="7"/>
        <v>481267.59999999998</v>
      </c>
      <c r="G39" s="600"/>
      <c r="H39" s="317"/>
      <c r="I39" s="600"/>
      <c r="J39" s="600"/>
      <c r="K39" s="600"/>
      <c r="L39" s="600"/>
      <c r="M39" s="600"/>
      <c r="N39" s="600"/>
      <c r="O39" s="600">
        <f t="shared" si="8"/>
        <v>87503.199999999997</v>
      </c>
      <c r="P39" s="601">
        <f t="shared" si="2"/>
        <v>5.5</v>
      </c>
      <c r="Q39" s="600">
        <f t="shared" si="3"/>
        <v>481267.59999999998</v>
      </c>
    </row>
    <row r="40" spans="1:17" s="598" customFormat="1" ht="15" outlineLevel="1">
      <c r="A40" s="597">
        <v>3750</v>
      </c>
      <c r="B40" s="598" t="s">
        <v>505</v>
      </c>
      <c r="C40" s="598">
        <v>2018</v>
      </c>
      <c r="D40" s="599">
        <v>207061.92000000001</v>
      </c>
      <c r="E40" s="601">
        <f>Input!$C$14-C40+0.5</f>
        <v>4.5</v>
      </c>
      <c r="F40" s="600">
        <f t="shared" si="7"/>
        <v>931778.64000000001</v>
      </c>
      <c r="G40" s="600"/>
      <c r="H40" s="317"/>
      <c r="I40" s="600"/>
      <c r="J40" s="600"/>
      <c r="K40" s="600"/>
      <c r="L40" s="600"/>
      <c r="M40" s="600"/>
      <c r="N40" s="600"/>
      <c r="O40" s="600">
        <f t="shared" si="8"/>
        <v>207061.92000000001</v>
      </c>
      <c r="P40" s="601">
        <f t="shared" si="2"/>
        <v>4.5</v>
      </c>
      <c r="Q40" s="600">
        <f t="shared" si="3"/>
        <v>931778.64000000001</v>
      </c>
    </row>
    <row r="41" spans="1:17" s="598" customFormat="1" ht="15" outlineLevel="1">
      <c r="A41" s="597">
        <v>3750</v>
      </c>
      <c r="B41" s="598" t="s">
        <v>505</v>
      </c>
      <c r="C41" s="598">
        <v>2019</v>
      </c>
      <c r="D41" s="599">
        <v>308425.16999999998</v>
      </c>
      <c r="E41" s="601">
        <f>Input!$C$14-C41+0.5</f>
        <v>3.5</v>
      </c>
      <c r="F41" s="600">
        <f t="shared" si="7"/>
        <v>1079488.095</v>
      </c>
      <c r="G41" s="600"/>
      <c r="H41" s="317"/>
      <c r="I41" s="600"/>
      <c r="J41" s="600"/>
      <c r="K41" s="600"/>
      <c r="L41" s="600"/>
      <c r="M41" s="600"/>
      <c r="N41" s="600"/>
      <c r="O41" s="600">
        <f t="shared" si="8"/>
        <v>308425.16999999998</v>
      </c>
      <c r="P41" s="601">
        <f t="shared" si="2"/>
        <v>3.5</v>
      </c>
      <c r="Q41" s="600">
        <f t="shared" si="3"/>
        <v>1079488.095</v>
      </c>
    </row>
    <row r="42" spans="1:17" s="598" customFormat="1" ht="15" outlineLevel="1">
      <c r="A42" s="597">
        <v>3750</v>
      </c>
      <c r="B42" s="598" t="s">
        <v>505</v>
      </c>
      <c r="C42" s="598">
        <v>2020</v>
      </c>
      <c r="D42" s="599">
        <v>82071.309999999998</v>
      </c>
      <c r="E42" s="601">
        <f>Input!$C$14-C42+0.5</f>
        <v>2.5</v>
      </c>
      <c r="F42" s="600">
        <f t="shared" si="7"/>
        <v>205178.27499999999</v>
      </c>
      <c r="G42" s="600"/>
      <c r="H42" s="317"/>
      <c r="I42" s="600"/>
      <c r="J42" s="600"/>
      <c r="K42" s="600"/>
      <c r="L42" s="600"/>
      <c r="M42" s="600"/>
      <c r="N42" s="600"/>
      <c r="O42" s="600">
        <f t="shared" si="8"/>
        <v>82071.309999999998</v>
      </c>
      <c r="P42" s="601">
        <f t="shared" si="2"/>
        <v>2.5</v>
      </c>
      <c r="Q42" s="600">
        <f t="shared" si="3"/>
        <v>205178.27499999999</v>
      </c>
    </row>
    <row r="43" spans="1:17" s="598" customFormat="1" ht="15" outlineLevel="1">
      <c r="A43" s="597">
        <v>3750</v>
      </c>
      <c r="B43" s="598" t="s">
        <v>505</v>
      </c>
      <c r="C43" s="598">
        <v>2021</v>
      </c>
      <c r="D43" s="599">
        <v>14950</v>
      </c>
      <c r="E43" s="601">
        <f>Input!$C$14-C43+0.5</f>
        <v>1.5</v>
      </c>
      <c r="F43" s="600">
        <f t="shared" si="7"/>
        <v>22425</v>
      </c>
      <c r="G43" s="600"/>
      <c r="H43" s="317"/>
      <c r="I43" s="600"/>
      <c r="J43" s="600"/>
      <c r="K43" s="600"/>
      <c r="L43" s="600"/>
      <c r="M43" s="600"/>
      <c r="N43" s="600"/>
      <c r="O43" s="600">
        <f t="shared" si="8"/>
        <v>14950</v>
      </c>
      <c r="P43" s="601">
        <f t="shared" si="2"/>
        <v>1.5</v>
      </c>
      <c r="Q43" s="600">
        <f t="shared" si="3"/>
        <v>22425</v>
      </c>
    </row>
    <row r="44" spans="1:20" s="598" customFormat="1" ht="13.5" thickBot="1">
      <c r="A44" s="563">
        <f>A43</f>
        <v>3750</v>
      </c>
      <c r="B44" s="564" t="s">
        <v>496</v>
      </c>
      <c r="D44" s="357">
        <f>SUM(D16:D43)</f>
        <v>1540582.6499999999</v>
      </c>
      <c r="E44" s="565">
        <f>ROUND(F44/D44,1)</f>
        <v>12</v>
      </c>
      <c r="F44" s="357">
        <f>SUM(F17:F43)</f>
        <v>18547792.389999997</v>
      </c>
      <c r="G44" s="358"/>
      <c r="H44" s="318"/>
      <c r="I44" s="357">
        <f>SUM(I16:I43)</f>
        <v>0</v>
      </c>
      <c r="J44" s="357">
        <f>SUM(J16:J43)</f>
        <v>0</v>
      </c>
      <c r="K44" s="357">
        <f t="shared" si="9" ref="K44:N44">SUM(K16:K43)</f>
        <v>0</v>
      </c>
      <c r="L44" s="357">
        <f t="shared" si="9"/>
        <v>-11239</v>
      </c>
      <c r="M44" s="357">
        <f t="shared" si="9"/>
        <v>0</v>
      </c>
      <c r="N44" s="357">
        <f t="shared" si="9"/>
        <v>0</v>
      </c>
      <c r="O44" s="357">
        <f>SUM(O16:O43)</f>
        <v>1529343.6499999999</v>
      </c>
      <c r="P44" s="565">
        <f>ROUND(Q44/O44,1)</f>
        <v>12</v>
      </c>
      <c r="Q44" s="357">
        <f>SUM(Q17:Q43)</f>
        <v>18317392.889999997</v>
      </c>
      <c r="S44" s="604">
        <f>'Sch. G 2021'!H14</f>
        <v>1540583</v>
      </c>
      <c r="T44" s="679">
        <f>D44-S44</f>
        <v>-0.35000000009313226</v>
      </c>
    </row>
    <row r="45" spans="1:20" s="598" customFormat="1" ht="15.75" thickTop="1">
      <c r="A45" s="566">
        <f>A43</f>
        <v>3750</v>
      </c>
      <c r="B45" s="490" t="str">
        <f>B43&amp;" - Additions"</f>
        <v>Struc&amp;Impr - Additions</v>
      </c>
      <c r="C45" s="490">
        <v>2022</v>
      </c>
      <c r="D45" s="567">
        <f>'Sch. H'!N14</f>
        <v>43374.970000000001</v>
      </c>
      <c r="E45" s="601">
        <f>Input!$C$14-C45+0.5</f>
        <v>0.5</v>
      </c>
      <c r="F45" s="600">
        <f>D45*E45</f>
        <v>21687.485000000001</v>
      </c>
      <c r="G45" s="600"/>
      <c r="H45" s="317"/>
      <c r="I45" s="600"/>
      <c r="J45" s="600"/>
      <c r="K45" s="600"/>
      <c r="L45" s="600"/>
      <c r="M45" s="600"/>
      <c r="N45" s="600"/>
      <c r="O45" s="600">
        <f t="shared" si="10" ref="O45:O46">SUM(D45,I45:N45)</f>
        <v>43374.970000000001</v>
      </c>
      <c r="P45" s="601">
        <f t="shared" si="2"/>
        <v>0.5</v>
      </c>
      <c r="Q45" s="600">
        <f t="shared" si="3"/>
        <v>21687.485000000001</v>
      </c>
      <c r="T45" s="679"/>
    </row>
    <row r="46" spans="1:20" s="598" customFormat="1" ht="15">
      <c r="A46" s="566">
        <f>A45</f>
        <v>3750</v>
      </c>
      <c r="B46" s="490" t="str">
        <f>B43&amp;" - Retirements"</f>
        <v>Struc&amp;Impr - Retirements</v>
      </c>
      <c r="C46" s="490">
        <v>2022</v>
      </c>
      <c r="D46" s="567">
        <f>-'Sch. F 2022'!E90</f>
        <v>0</v>
      </c>
      <c r="E46" s="601">
        <f>'Sch. F 2022'!E92</f>
        <v>0</v>
      </c>
      <c r="F46" s="600">
        <f>D46*E46</f>
        <v>0</v>
      </c>
      <c r="G46" s="600"/>
      <c r="H46" s="317"/>
      <c r="I46" s="600"/>
      <c r="J46" s="600"/>
      <c r="K46" s="600"/>
      <c r="L46" s="600"/>
      <c r="M46" s="600"/>
      <c r="N46" s="600"/>
      <c r="O46" s="600">
        <f t="shared" si="10"/>
        <v>0</v>
      </c>
      <c r="P46" s="601">
        <f t="shared" si="2"/>
        <v>0</v>
      </c>
      <c r="Q46" s="600">
        <f t="shared" si="3"/>
        <v>0</v>
      </c>
      <c r="T46" s="679"/>
    </row>
    <row r="47" spans="1:20" s="598" customFormat="1" ht="13.5" thickBot="1">
      <c r="A47" s="566"/>
      <c r="B47" s="564" t="s">
        <v>557</v>
      </c>
      <c r="C47" s="490"/>
      <c r="D47" s="568">
        <f>SUM(D44:D46)</f>
        <v>1583957.6199999999</v>
      </c>
      <c r="E47" s="565">
        <f>ROUND(F47/D47,1)</f>
        <v>11.699999999999999</v>
      </c>
      <c r="F47" s="569">
        <f>SUM(F44:F46)</f>
        <v>18569479.874999996</v>
      </c>
      <c r="G47" s="570"/>
      <c r="H47" s="372"/>
      <c r="I47" s="568">
        <f>SUM(I44:I46)</f>
        <v>0</v>
      </c>
      <c r="J47" s="568">
        <f>SUM(J44:J46)</f>
        <v>0</v>
      </c>
      <c r="K47" s="568">
        <f t="shared" si="11" ref="K47:N47">SUM(K44:K46)</f>
        <v>0</v>
      </c>
      <c r="L47" s="568">
        <f t="shared" si="11"/>
        <v>-11239</v>
      </c>
      <c r="M47" s="568">
        <f t="shared" si="11"/>
        <v>0</v>
      </c>
      <c r="N47" s="568">
        <f t="shared" si="11"/>
        <v>0</v>
      </c>
      <c r="O47" s="568">
        <f>SUM(O44:O46)</f>
        <v>1572718.6199999999</v>
      </c>
      <c r="P47" s="565">
        <f>ROUND(Q47/O47,1)</f>
        <v>11.699999999999999</v>
      </c>
      <c r="Q47" s="569">
        <f>SUM(Q44:Q46)</f>
        <v>18339080.374999996</v>
      </c>
      <c r="S47" s="604">
        <f>'Sch. G 2022'!H14</f>
        <v>1572719</v>
      </c>
      <c r="T47" s="679">
        <f>O47-S47</f>
        <v>-0.38000000012107193</v>
      </c>
    </row>
    <row r="48" spans="1:20" s="598" customFormat="1" ht="15" thickTop="1">
      <c r="A48" s="563"/>
      <c r="B48" s="571"/>
      <c r="D48" s="358"/>
      <c r="E48" s="572"/>
      <c r="F48" s="358"/>
      <c r="G48" s="358"/>
      <c r="H48" s="318"/>
      <c r="I48" s="358"/>
      <c r="J48" s="358"/>
      <c r="K48" s="358"/>
      <c r="L48" s="358"/>
      <c r="M48" s="358"/>
      <c r="N48" s="358"/>
      <c r="O48" s="600"/>
      <c r="P48" s="601"/>
      <c r="Q48" s="600"/>
      <c r="T48" s="679"/>
    </row>
    <row r="49" spans="1:20" s="598" customFormat="1" ht="15" outlineLevel="1">
      <c r="A49" s="597">
        <v>3761</v>
      </c>
      <c r="B49" s="598" t="s">
        <v>506</v>
      </c>
      <c r="C49" s="598">
        <v>1968</v>
      </c>
      <c r="D49" s="599">
        <v>17746.891818181801</v>
      </c>
      <c r="E49" s="601">
        <f>Input!$C$14-C49+0.5</f>
        <v>54.5</v>
      </c>
      <c r="F49" s="600">
        <f t="shared" si="12" ref="F49:F96">D49*E49</f>
        <v>967205.60409090819</v>
      </c>
      <c r="G49" s="600"/>
      <c r="H49" s="317"/>
      <c r="I49" s="600"/>
      <c r="J49" s="600"/>
      <c r="K49" s="600"/>
      <c r="L49" s="600"/>
      <c r="M49" s="600"/>
      <c r="N49" s="600"/>
      <c r="O49" s="600">
        <f t="shared" si="13" ref="O49:O96">SUM(D49,I49:N49)</f>
        <v>17746.891818181801</v>
      </c>
      <c r="P49" s="601">
        <f t="shared" si="2"/>
        <v>54.5</v>
      </c>
      <c r="Q49" s="600">
        <f t="shared" si="3"/>
        <v>967205.60409090819</v>
      </c>
      <c r="T49" s="679"/>
    </row>
    <row r="50" spans="1:20" s="598" customFormat="1" ht="15" outlineLevel="1">
      <c r="A50" s="597">
        <v>3761</v>
      </c>
      <c r="B50" s="598" t="s">
        <v>506</v>
      </c>
      <c r="C50" s="598">
        <v>1970</v>
      </c>
      <c r="D50" s="599">
        <v>24570</v>
      </c>
      <c r="E50" s="601">
        <f>Input!$C$14-C50+0.5</f>
        <v>52.5</v>
      </c>
      <c r="F50" s="600">
        <f>D50*E50</f>
        <v>1289925</v>
      </c>
      <c r="G50" s="600"/>
      <c r="H50" s="317"/>
      <c r="I50" s="600"/>
      <c r="J50" s="600"/>
      <c r="K50" s="600"/>
      <c r="L50" s="600"/>
      <c r="M50" s="600"/>
      <c r="N50" s="600"/>
      <c r="O50" s="600">
        <f t="shared" si="13"/>
        <v>24570</v>
      </c>
      <c r="P50" s="601">
        <f>E50</f>
        <v>52.5</v>
      </c>
      <c r="Q50" s="600">
        <f>O50*P50</f>
        <v>1289925</v>
      </c>
      <c r="T50" s="679"/>
    </row>
    <row r="51" spans="1:20" s="598" customFormat="1" ht="15" outlineLevel="1">
      <c r="A51" s="597">
        <v>3761</v>
      </c>
      <c r="B51" s="598" t="s">
        <v>506</v>
      </c>
      <c r="C51" s="598">
        <v>1971</v>
      </c>
      <c r="D51" s="599">
        <v>5136</v>
      </c>
      <c r="E51" s="601">
        <f>Input!$C$14-C51+0.5</f>
        <v>51.5</v>
      </c>
      <c r="F51" s="600">
        <f>D51*E51</f>
        <v>264504</v>
      </c>
      <c r="G51" s="600"/>
      <c r="H51" s="317"/>
      <c r="I51" s="600"/>
      <c r="J51" s="600"/>
      <c r="K51" s="600"/>
      <c r="L51" s="600"/>
      <c r="M51" s="600"/>
      <c r="N51" s="600"/>
      <c r="O51" s="600">
        <f t="shared" si="13"/>
        <v>5136</v>
      </c>
      <c r="P51" s="601">
        <f>E51</f>
        <v>51.5</v>
      </c>
      <c r="Q51" s="600">
        <f>O51*P51</f>
        <v>264504</v>
      </c>
      <c r="T51" s="679"/>
    </row>
    <row r="52" spans="1:20" s="598" customFormat="1" ht="15" outlineLevel="1">
      <c r="A52" s="597">
        <v>3761</v>
      </c>
      <c r="B52" s="598" t="s">
        <v>506</v>
      </c>
      <c r="C52" s="598">
        <v>1972</v>
      </c>
      <c r="D52" s="599">
        <v>784</v>
      </c>
      <c r="E52" s="601">
        <f>Input!$C$14-C52+0.5</f>
        <v>50.5</v>
      </c>
      <c r="F52" s="600">
        <f>D52*E52</f>
        <v>39592</v>
      </c>
      <c r="G52" s="600"/>
      <c r="H52" s="317"/>
      <c r="I52" s="600"/>
      <c r="J52" s="600"/>
      <c r="K52" s="600"/>
      <c r="L52" s="600"/>
      <c r="M52" s="600"/>
      <c r="N52" s="600"/>
      <c r="O52" s="600">
        <f t="shared" si="13"/>
        <v>784</v>
      </c>
      <c r="P52" s="601">
        <f>E52</f>
        <v>50.5</v>
      </c>
      <c r="Q52" s="600">
        <f>O52*P52</f>
        <v>39592</v>
      </c>
      <c r="T52" s="679"/>
    </row>
    <row r="53" spans="1:20" s="598" customFormat="1" ht="15" outlineLevel="1">
      <c r="A53" s="597">
        <v>3761</v>
      </c>
      <c r="B53" s="598" t="s">
        <v>506</v>
      </c>
      <c r="C53" s="598">
        <v>1977</v>
      </c>
      <c r="D53" s="599">
        <v>4669.8299999999999</v>
      </c>
      <c r="E53" s="601">
        <f>Input!$C$14-C53+0.5</f>
        <v>45.5</v>
      </c>
      <c r="F53" s="600">
        <f>D53*E53</f>
        <v>212477.26499999998</v>
      </c>
      <c r="G53" s="600"/>
      <c r="H53" s="317"/>
      <c r="I53" s="600"/>
      <c r="J53" s="600"/>
      <c r="K53" s="600"/>
      <c r="L53" s="600"/>
      <c r="M53" s="600"/>
      <c r="N53" s="600"/>
      <c r="O53" s="600">
        <f t="shared" si="13"/>
        <v>4669.8299999999999</v>
      </c>
      <c r="P53" s="601">
        <f>E53</f>
        <v>45.5</v>
      </c>
      <c r="Q53" s="600">
        <f>O53*P53</f>
        <v>212477.26499999998</v>
      </c>
      <c r="T53" s="679"/>
    </row>
    <row r="54" spans="1:20" s="598" customFormat="1" ht="15" outlineLevel="1">
      <c r="A54" s="597">
        <v>3761</v>
      </c>
      <c r="B54" s="598" t="s">
        <v>506</v>
      </c>
      <c r="C54" s="598">
        <v>1979</v>
      </c>
      <c r="D54" s="599">
        <f>59539.12+304</f>
        <v>59843.120000000003</v>
      </c>
      <c r="E54" s="601">
        <f>Input!$C$14-C54+0.5</f>
        <v>43.5</v>
      </c>
      <c r="F54" s="600">
        <f t="shared" si="12"/>
        <v>2603175.7200000002</v>
      </c>
      <c r="G54" s="600"/>
      <c r="H54" s="317"/>
      <c r="I54" s="600"/>
      <c r="J54" s="600"/>
      <c r="K54" s="600"/>
      <c r="L54" s="600"/>
      <c r="M54" s="600"/>
      <c r="N54" s="600"/>
      <c r="O54" s="600">
        <f t="shared" si="13"/>
        <v>59843.120000000003</v>
      </c>
      <c r="P54" s="601">
        <f t="shared" si="2"/>
        <v>43.5</v>
      </c>
      <c r="Q54" s="600">
        <f t="shared" si="3"/>
        <v>2603175.7200000002</v>
      </c>
      <c r="T54" s="679"/>
    </row>
    <row r="55" spans="1:20" s="598" customFormat="1" ht="15" outlineLevel="1">
      <c r="A55" s="597">
        <v>3761</v>
      </c>
      <c r="B55" s="598" t="s">
        <v>506</v>
      </c>
      <c r="C55" s="598">
        <v>1980</v>
      </c>
      <c r="D55" s="599">
        <v>54612.919999999998</v>
      </c>
      <c r="E55" s="601">
        <f>Input!$C$14-C55+0.5</f>
        <v>42.5</v>
      </c>
      <c r="F55" s="600">
        <f t="shared" si="12"/>
        <v>2321049.1000000001</v>
      </c>
      <c r="G55" s="600"/>
      <c r="H55" s="317"/>
      <c r="I55" s="600"/>
      <c r="J55" s="600"/>
      <c r="K55" s="600"/>
      <c r="L55" s="600"/>
      <c r="M55" s="600"/>
      <c r="N55" s="600"/>
      <c r="O55" s="600">
        <f t="shared" si="13"/>
        <v>54612.919999999998</v>
      </c>
      <c r="P55" s="601">
        <f t="shared" si="2"/>
        <v>42.5</v>
      </c>
      <c r="Q55" s="600">
        <f t="shared" si="3"/>
        <v>2321049.1000000001</v>
      </c>
      <c r="T55" s="679"/>
    </row>
    <row r="56" spans="1:20" s="598" customFormat="1" ht="15" outlineLevel="1">
      <c r="A56" s="597">
        <v>3761</v>
      </c>
      <c r="B56" s="598" t="s">
        <v>506</v>
      </c>
      <c r="C56" s="598">
        <v>1981</v>
      </c>
      <c r="D56" s="599">
        <v>125704.67000000001</v>
      </c>
      <c r="E56" s="601">
        <f>Input!$C$14-C56+0.5</f>
        <v>41.5</v>
      </c>
      <c r="F56" s="600">
        <f t="shared" si="12"/>
        <v>5216743.8050000006</v>
      </c>
      <c r="G56" s="600"/>
      <c r="H56" s="317"/>
      <c r="I56" s="600"/>
      <c r="J56" s="600"/>
      <c r="K56" s="600"/>
      <c r="L56" s="600"/>
      <c r="M56" s="600"/>
      <c r="N56" s="600"/>
      <c r="O56" s="600">
        <f t="shared" si="13"/>
        <v>125704.67000000001</v>
      </c>
      <c r="P56" s="601">
        <f t="shared" si="2"/>
        <v>41.5</v>
      </c>
      <c r="Q56" s="600">
        <f t="shared" si="3"/>
        <v>5216743.8050000006</v>
      </c>
      <c r="T56" s="679"/>
    </row>
    <row r="57" spans="1:20" s="598" customFormat="1" ht="15" outlineLevel="1">
      <c r="A57" s="597">
        <v>3761</v>
      </c>
      <c r="B57" s="598" t="s">
        <v>506</v>
      </c>
      <c r="C57" s="598">
        <v>1982</v>
      </c>
      <c r="D57" s="599">
        <v>92730.100000000006</v>
      </c>
      <c r="E57" s="601">
        <f>Input!$C$14-C57+0.5</f>
        <v>40.5</v>
      </c>
      <c r="F57" s="600">
        <f t="shared" si="12"/>
        <v>3755569.0500000003</v>
      </c>
      <c r="G57" s="600"/>
      <c r="H57" s="317"/>
      <c r="I57" s="600"/>
      <c r="J57" s="600"/>
      <c r="K57" s="600"/>
      <c r="L57" s="600"/>
      <c r="M57" s="600"/>
      <c r="N57" s="600"/>
      <c r="O57" s="600">
        <f t="shared" si="13"/>
        <v>92730.100000000006</v>
      </c>
      <c r="P57" s="601">
        <f t="shared" si="2"/>
        <v>40.5</v>
      </c>
      <c r="Q57" s="600">
        <f t="shared" si="3"/>
        <v>3755569.0500000003</v>
      </c>
      <c r="T57" s="679"/>
    </row>
    <row r="58" spans="1:20" s="598" customFormat="1" ht="15" outlineLevel="1">
      <c r="A58" s="597">
        <v>3761</v>
      </c>
      <c r="B58" s="598" t="s">
        <v>506</v>
      </c>
      <c r="C58" s="598">
        <v>1983</v>
      </c>
      <c r="D58" s="599">
        <v>125458.11</v>
      </c>
      <c r="E58" s="601">
        <f>Input!$C$14-C58+0.5</f>
        <v>39.5</v>
      </c>
      <c r="F58" s="600">
        <f t="shared" si="12"/>
        <v>4955595.3449999997</v>
      </c>
      <c r="G58" s="600"/>
      <c r="H58" s="317"/>
      <c r="I58" s="600"/>
      <c r="J58" s="600"/>
      <c r="K58" s="600"/>
      <c r="L58" s="600"/>
      <c r="M58" s="600"/>
      <c r="N58" s="600"/>
      <c r="O58" s="600">
        <f t="shared" si="13"/>
        <v>125458.11</v>
      </c>
      <c r="P58" s="601">
        <f t="shared" si="2"/>
        <v>39.5</v>
      </c>
      <c r="Q58" s="600">
        <f t="shared" si="3"/>
        <v>4955595.3449999997</v>
      </c>
      <c r="T58" s="679"/>
    </row>
    <row r="59" spans="1:20" s="598" customFormat="1" ht="15" outlineLevel="1">
      <c r="A59" s="597">
        <v>3761</v>
      </c>
      <c r="B59" s="598" t="s">
        <v>506</v>
      </c>
      <c r="C59" s="598">
        <v>1984</v>
      </c>
      <c r="D59" s="599">
        <v>150317.58000000002</v>
      </c>
      <c r="E59" s="601">
        <f>Input!$C$14-C59+0.5</f>
        <v>38.5</v>
      </c>
      <c r="F59" s="600">
        <f t="shared" si="12"/>
        <v>5787226.830000001</v>
      </c>
      <c r="G59" s="600"/>
      <c r="H59" s="317"/>
      <c r="I59" s="600"/>
      <c r="J59" s="600"/>
      <c r="K59" s="600"/>
      <c r="L59" s="600"/>
      <c r="M59" s="600"/>
      <c r="N59" s="600"/>
      <c r="O59" s="600">
        <f t="shared" si="13"/>
        <v>150317.58000000002</v>
      </c>
      <c r="P59" s="601">
        <f t="shared" si="2"/>
        <v>38.5</v>
      </c>
      <c r="Q59" s="600">
        <f t="shared" si="3"/>
        <v>5787226.830000001</v>
      </c>
      <c r="T59" s="679"/>
    </row>
    <row r="60" spans="1:20" s="598" customFormat="1" ht="15" outlineLevel="1">
      <c r="A60" s="597">
        <v>3761</v>
      </c>
      <c r="B60" s="598" t="s">
        <v>506</v>
      </c>
      <c r="C60" s="598">
        <v>1985</v>
      </c>
      <c r="D60" s="599">
        <v>164117.60000000003</v>
      </c>
      <c r="E60" s="601">
        <f>Input!$C$14-C60+0.5</f>
        <v>37.5</v>
      </c>
      <c r="F60" s="600">
        <f t="shared" si="12"/>
        <v>6154410.0000000009</v>
      </c>
      <c r="G60" s="600"/>
      <c r="H60" s="317"/>
      <c r="I60" s="600"/>
      <c r="J60" s="600"/>
      <c r="K60" s="600"/>
      <c r="L60" s="600"/>
      <c r="M60" s="600"/>
      <c r="N60" s="600"/>
      <c r="O60" s="600">
        <f t="shared" si="13"/>
        <v>164117.60000000003</v>
      </c>
      <c r="P60" s="601">
        <f t="shared" si="2"/>
        <v>37.5</v>
      </c>
      <c r="Q60" s="600">
        <f t="shared" si="3"/>
        <v>6154410.0000000009</v>
      </c>
      <c r="T60" s="679"/>
    </row>
    <row r="61" spans="1:20" s="598" customFormat="1" ht="15" outlineLevel="1">
      <c r="A61" s="597">
        <v>3761</v>
      </c>
      <c r="B61" s="598" t="s">
        <v>506</v>
      </c>
      <c r="C61" s="598">
        <v>1986</v>
      </c>
      <c r="D61" s="599">
        <v>278741.78000000003</v>
      </c>
      <c r="E61" s="601">
        <f>Input!$C$14-C61+0.5</f>
        <v>36.5</v>
      </c>
      <c r="F61" s="600">
        <f t="shared" si="12"/>
        <v>10174074.970000001</v>
      </c>
      <c r="G61" s="600"/>
      <c r="H61" s="317"/>
      <c r="I61" s="600"/>
      <c r="J61" s="600"/>
      <c r="K61" s="600"/>
      <c r="L61" s="600"/>
      <c r="M61" s="600"/>
      <c r="N61" s="600"/>
      <c r="O61" s="600">
        <f t="shared" si="13"/>
        <v>278741.78000000003</v>
      </c>
      <c r="P61" s="601">
        <f t="shared" si="2"/>
        <v>36.5</v>
      </c>
      <c r="Q61" s="600">
        <f t="shared" si="3"/>
        <v>10174074.970000001</v>
      </c>
      <c r="T61" s="679"/>
    </row>
    <row r="62" spans="1:20" s="598" customFormat="1" ht="15" outlineLevel="1">
      <c r="A62" s="597">
        <v>3761</v>
      </c>
      <c r="B62" s="598" t="s">
        <v>506</v>
      </c>
      <c r="C62" s="598">
        <v>1987</v>
      </c>
      <c r="D62" s="599">
        <v>481344.33000000002</v>
      </c>
      <c r="E62" s="601">
        <f>Input!$C$14-C62+0.5</f>
        <v>35.5</v>
      </c>
      <c r="F62" s="600">
        <f t="shared" si="12"/>
        <v>17087723.715</v>
      </c>
      <c r="G62" s="600"/>
      <c r="H62" s="317"/>
      <c r="I62" s="600"/>
      <c r="J62" s="600"/>
      <c r="K62" s="600"/>
      <c r="L62" s="600"/>
      <c r="M62" s="600"/>
      <c r="N62" s="600"/>
      <c r="O62" s="600">
        <f t="shared" si="13"/>
        <v>481344.33000000002</v>
      </c>
      <c r="P62" s="601">
        <f t="shared" si="2"/>
        <v>35.5</v>
      </c>
      <c r="Q62" s="600">
        <f t="shared" si="3"/>
        <v>17087723.715</v>
      </c>
      <c r="T62" s="679"/>
    </row>
    <row r="63" spans="1:20" s="598" customFormat="1" ht="15" outlineLevel="1">
      <c r="A63" s="597">
        <v>3761</v>
      </c>
      <c r="B63" s="598" t="s">
        <v>506</v>
      </c>
      <c r="C63" s="598">
        <v>1988</v>
      </c>
      <c r="D63" s="599">
        <v>484792.80000000005</v>
      </c>
      <c r="E63" s="601">
        <f>Input!$C$14-C63+0.5</f>
        <v>34.5</v>
      </c>
      <c r="F63" s="600">
        <f t="shared" si="12"/>
        <v>16725351.600000001</v>
      </c>
      <c r="G63" s="600"/>
      <c r="H63" s="317"/>
      <c r="I63" s="600"/>
      <c r="J63" s="600"/>
      <c r="K63" s="600"/>
      <c r="L63" s="600"/>
      <c r="M63" s="600"/>
      <c r="N63" s="600"/>
      <c r="O63" s="600">
        <f t="shared" si="13"/>
        <v>484792.80000000005</v>
      </c>
      <c r="P63" s="601">
        <f t="shared" si="2"/>
        <v>34.5</v>
      </c>
      <c r="Q63" s="600">
        <f t="shared" si="3"/>
        <v>16725351.600000001</v>
      </c>
      <c r="T63" s="679"/>
    </row>
    <row r="64" spans="1:20" s="598" customFormat="1" ht="15" outlineLevel="1">
      <c r="A64" s="597">
        <v>3761</v>
      </c>
      <c r="B64" s="598" t="s">
        <v>506</v>
      </c>
      <c r="C64" s="598">
        <v>1989</v>
      </c>
      <c r="D64" s="599">
        <v>881867.57000000007</v>
      </c>
      <c r="E64" s="601">
        <f>Input!$C$14-C64+0.5</f>
        <v>33.5</v>
      </c>
      <c r="F64" s="600">
        <f t="shared" si="12"/>
        <v>29542563.595000003</v>
      </c>
      <c r="G64" s="600"/>
      <c r="H64" s="317"/>
      <c r="I64" s="600"/>
      <c r="J64" s="600"/>
      <c r="K64" s="600"/>
      <c r="L64" s="600"/>
      <c r="M64" s="600"/>
      <c r="N64" s="600"/>
      <c r="O64" s="600">
        <f t="shared" si="13"/>
        <v>881867.57000000007</v>
      </c>
      <c r="P64" s="601">
        <f t="shared" si="2"/>
        <v>33.5</v>
      </c>
      <c r="Q64" s="600">
        <f t="shared" si="3"/>
        <v>29542563.595000003</v>
      </c>
      <c r="T64" s="679"/>
    </row>
    <row r="65" spans="1:20" s="598" customFormat="1" ht="15" outlineLevel="1">
      <c r="A65" s="597">
        <v>3761</v>
      </c>
      <c r="B65" s="598" t="s">
        <v>506</v>
      </c>
      <c r="C65" s="598">
        <v>1990</v>
      </c>
      <c r="D65" s="599">
        <v>356902.60000000003</v>
      </c>
      <c r="E65" s="601">
        <f>Input!$C$14-C65+0.5</f>
        <v>32.5</v>
      </c>
      <c r="F65" s="600">
        <f t="shared" si="12"/>
        <v>11599334.500000002</v>
      </c>
      <c r="G65" s="600"/>
      <c r="H65" s="317"/>
      <c r="I65" s="600"/>
      <c r="J65" s="600"/>
      <c r="K65" s="600"/>
      <c r="L65" s="600"/>
      <c r="M65" s="600"/>
      <c r="N65" s="600"/>
      <c r="O65" s="600">
        <f t="shared" si="13"/>
        <v>356902.60000000003</v>
      </c>
      <c r="P65" s="601">
        <f t="shared" si="2"/>
        <v>32.5</v>
      </c>
      <c r="Q65" s="600">
        <f t="shared" si="3"/>
        <v>11599334.500000002</v>
      </c>
      <c r="T65" s="679"/>
    </row>
    <row r="66" spans="1:20" s="598" customFormat="1" ht="15" outlineLevel="1">
      <c r="A66" s="597">
        <v>3761</v>
      </c>
      <c r="B66" s="598" t="s">
        <v>506</v>
      </c>
      <c r="C66" s="598">
        <v>1991</v>
      </c>
      <c r="D66" s="599">
        <v>633833.86999999988</v>
      </c>
      <c r="E66" s="601">
        <f>Input!$C$14-C66+0.5</f>
        <v>31.5</v>
      </c>
      <c r="F66" s="600">
        <f t="shared" si="12"/>
        <v>19965766.904999997</v>
      </c>
      <c r="G66" s="600"/>
      <c r="H66" s="317"/>
      <c r="I66" s="600"/>
      <c r="J66" s="600"/>
      <c r="K66" s="600"/>
      <c r="L66" s="600"/>
      <c r="M66" s="600"/>
      <c r="N66" s="600"/>
      <c r="O66" s="600">
        <f t="shared" si="13"/>
        <v>633833.86999999988</v>
      </c>
      <c r="P66" s="601">
        <f t="shared" si="2"/>
        <v>31.5</v>
      </c>
      <c r="Q66" s="600">
        <f t="shared" si="3"/>
        <v>19965766.904999997</v>
      </c>
      <c r="T66" s="679"/>
    </row>
    <row r="67" spans="1:20" s="598" customFormat="1" ht="15" outlineLevel="1">
      <c r="A67" s="597">
        <v>3761</v>
      </c>
      <c r="B67" s="598" t="s">
        <v>506</v>
      </c>
      <c r="C67" s="598">
        <v>1992</v>
      </c>
      <c r="D67" s="599">
        <v>753283.01000000001</v>
      </c>
      <c r="E67" s="601">
        <f>Input!$C$14-C67+0.5</f>
        <v>30.5</v>
      </c>
      <c r="F67" s="600">
        <f t="shared" si="12"/>
        <v>22975131.805</v>
      </c>
      <c r="G67" s="600"/>
      <c r="H67" s="317"/>
      <c r="I67" s="600"/>
      <c r="J67" s="600"/>
      <c r="K67" s="600"/>
      <c r="L67" s="600"/>
      <c r="M67" s="600"/>
      <c r="N67" s="600"/>
      <c r="O67" s="600">
        <f t="shared" si="13"/>
        <v>753283.01000000001</v>
      </c>
      <c r="P67" s="601">
        <f t="shared" si="2"/>
        <v>30.5</v>
      </c>
      <c r="Q67" s="600">
        <f t="shared" si="3"/>
        <v>22975131.805</v>
      </c>
      <c r="T67" s="679"/>
    </row>
    <row r="68" spans="1:20" s="598" customFormat="1" ht="15" outlineLevel="1">
      <c r="A68" s="597">
        <v>3761</v>
      </c>
      <c r="B68" s="598" t="s">
        <v>506</v>
      </c>
      <c r="C68" s="598">
        <v>1993</v>
      </c>
      <c r="D68" s="599">
        <f>1007751.43+877</f>
        <v>1008628.4300000001</v>
      </c>
      <c r="E68" s="601">
        <f>Input!$C$14-C68+0.5</f>
        <v>29.5</v>
      </c>
      <c r="F68" s="600">
        <f t="shared" si="12"/>
        <v>29754538.685000002</v>
      </c>
      <c r="G68" s="600"/>
      <c r="H68" s="317"/>
      <c r="I68" s="600"/>
      <c r="J68" s="600"/>
      <c r="K68" s="600"/>
      <c r="L68" s="600"/>
      <c r="M68" s="600"/>
      <c r="N68" s="600"/>
      <c r="O68" s="600">
        <f t="shared" si="13"/>
        <v>1008628.4300000001</v>
      </c>
      <c r="P68" s="601">
        <f t="shared" si="2"/>
        <v>29.5</v>
      </c>
      <c r="Q68" s="600">
        <f t="shared" si="3"/>
        <v>29754538.685000002</v>
      </c>
      <c r="T68" s="679"/>
    </row>
    <row r="69" spans="1:20" s="598" customFormat="1" ht="15" outlineLevel="1">
      <c r="A69" s="597">
        <v>3761</v>
      </c>
      <c r="B69" s="598" t="s">
        <v>506</v>
      </c>
      <c r="C69" s="598">
        <v>1994</v>
      </c>
      <c r="D69" s="599">
        <f>857874.48+42633</f>
        <v>900507.47999999998</v>
      </c>
      <c r="E69" s="601">
        <f>Input!$C$14-C69+0.5</f>
        <v>28.5</v>
      </c>
      <c r="F69" s="600">
        <f t="shared" si="12"/>
        <v>25664463.18</v>
      </c>
      <c r="G69" s="600"/>
      <c r="H69" s="317"/>
      <c r="I69" s="600"/>
      <c r="J69" s="600"/>
      <c r="K69" s="600"/>
      <c r="L69" s="600"/>
      <c r="M69" s="600"/>
      <c r="N69" s="600"/>
      <c r="O69" s="600">
        <f t="shared" si="13"/>
        <v>900507.47999999998</v>
      </c>
      <c r="P69" s="601">
        <f t="shared" si="2"/>
        <v>28.5</v>
      </c>
      <c r="Q69" s="600">
        <f t="shared" si="3"/>
        <v>25664463.18</v>
      </c>
      <c r="T69" s="679"/>
    </row>
    <row r="70" spans="1:20" s="598" customFormat="1" ht="15" outlineLevel="1">
      <c r="A70" s="597">
        <v>3761</v>
      </c>
      <c r="B70" s="598" t="s">
        <v>506</v>
      </c>
      <c r="C70" s="598">
        <v>1995</v>
      </c>
      <c r="D70" s="599">
        <v>1016902.4500000001</v>
      </c>
      <c r="E70" s="601">
        <f>Input!$C$14-C70+0.5</f>
        <v>27.5</v>
      </c>
      <c r="F70" s="600">
        <f t="shared" si="12"/>
        <v>27964817.375000004</v>
      </c>
      <c r="G70" s="600"/>
      <c r="H70" s="317"/>
      <c r="I70" s="600"/>
      <c r="J70" s="600"/>
      <c r="K70" s="600"/>
      <c r="L70" s="600"/>
      <c r="M70" s="600"/>
      <c r="N70" s="600"/>
      <c r="O70" s="600">
        <f t="shared" si="13"/>
        <v>1016902.4500000001</v>
      </c>
      <c r="P70" s="601">
        <f t="shared" si="2"/>
        <v>27.5</v>
      </c>
      <c r="Q70" s="600">
        <f t="shared" si="3"/>
        <v>27964817.375000004</v>
      </c>
      <c r="T70" s="679"/>
    </row>
    <row r="71" spans="1:20" s="598" customFormat="1" ht="15" outlineLevel="1">
      <c r="A71" s="597">
        <v>3761</v>
      </c>
      <c r="B71" s="598" t="s">
        <v>506</v>
      </c>
      <c r="C71" s="598">
        <v>1996</v>
      </c>
      <c r="D71" s="599">
        <f>930224.46+10154</f>
        <v>940378.45999999996</v>
      </c>
      <c r="E71" s="601">
        <f>Input!$C$14-C71+0.5</f>
        <v>26.5</v>
      </c>
      <c r="F71" s="600">
        <f t="shared" si="12"/>
        <v>24920029.189999998</v>
      </c>
      <c r="G71" s="600"/>
      <c r="H71" s="317"/>
      <c r="I71" s="600"/>
      <c r="J71" s="600"/>
      <c r="K71" s="600"/>
      <c r="L71" s="600"/>
      <c r="M71" s="600"/>
      <c r="N71" s="600"/>
      <c r="O71" s="600">
        <f t="shared" si="13"/>
        <v>940378.45999999996</v>
      </c>
      <c r="P71" s="601">
        <f t="shared" si="2"/>
        <v>26.5</v>
      </c>
      <c r="Q71" s="600">
        <f t="shared" si="3"/>
        <v>24920029.189999998</v>
      </c>
      <c r="T71" s="679"/>
    </row>
    <row r="72" spans="1:20" s="598" customFormat="1" ht="15" outlineLevel="1">
      <c r="A72" s="597">
        <v>3761</v>
      </c>
      <c r="B72" s="598" t="s">
        <v>506</v>
      </c>
      <c r="C72" s="598">
        <v>1997</v>
      </c>
      <c r="D72" s="599">
        <f>1368162+5100</f>
        <v>1373262</v>
      </c>
      <c r="E72" s="601">
        <f>Input!$C$14-C72+0.5</f>
        <v>25.5</v>
      </c>
      <c r="F72" s="600">
        <f t="shared" si="12"/>
        <v>35018181</v>
      </c>
      <c r="G72" s="600"/>
      <c r="H72" s="317"/>
      <c r="I72" s="600"/>
      <c r="J72" s="600"/>
      <c r="K72" s="600"/>
      <c r="L72" s="600"/>
      <c r="M72" s="600"/>
      <c r="N72" s="600"/>
      <c r="O72" s="600">
        <f t="shared" si="13"/>
        <v>1373262</v>
      </c>
      <c r="P72" s="601">
        <f t="shared" si="14" ref="P72:P133">E72</f>
        <v>25.5</v>
      </c>
      <c r="Q72" s="600">
        <f t="shared" si="15" ref="Q72:Q133">O72*P72</f>
        <v>35018181</v>
      </c>
      <c r="T72" s="679"/>
    </row>
    <row r="73" spans="1:20" s="598" customFormat="1" ht="15" outlineLevel="1">
      <c r="A73" s="597">
        <v>3761</v>
      </c>
      <c r="B73" s="598" t="s">
        <v>506</v>
      </c>
      <c r="C73" s="598">
        <v>1998</v>
      </c>
      <c r="D73" s="599">
        <f>911785.01+2598+87.879</f>
        <v>914470.88899999997</v>
      </c>
      <c r="E73" s="601">
        <f>Input!$C$14-C73+0.5</f>
        <v>24.5</v>
      </c>
      <c r="F73" s="600">
        <f t="shared" si="12"/>
        <v>22404536.780499998</v>
      </c>
      <c r="G73" s="600"/>
      <c r="H73" s="317"/>
      <c r="I73" s="600"/>
      <c r="J73" s="600"/>
      <c r="K73" s="600"/>
      <c r="L73" s="600"/>
      <c r="M73" s="600"/>
      <c r="N73" s="600"/>
      <c r="O73" s="600">
        <f t="shared" si="13"/>
        <v>914470.88899999997</v>
      </c>
      <c r="P73" s="601">
        <f t="shared" si="14"/>
        <v>24.5</v>
      </c>
      <c r="Q73" s="600">
        <f t="shared" si="15"/>
        <v>22404536.780499998</v>
      </c>
      <c r="T73" s="679"/>
    </row>
    <row r="74" spans="1:20" s="598" customFormat="1" ht="15" outlineLevel="1">
      <c r="A74" s="597">
        <v>3761</v>
      </c>
      <c r="B74" s="598" t="s">
        <v>506</v>
      </c>
      <c r="C74" s="598">
        <v>1999</v>
      </c>
      <c r="D74" s="599">
        <f>1903259.53+2902+383.632</f>
        <v>1906545.162</v>
      </c>
      <c r="E74" s="601">
        <f>Input!$C$14-C74+0.5</f>
        <v>23.5</v>
      </c>
      <c r="F74" s="600">
        <f t="shared" si="12"/>
        <v>44803811.307000004</v>
      </c>
      <c r="G74" s="600"/>
      <c r="H74" s="317"/>
      <c r="I74" s="600"/>
      <c r="J74" s="600"/>
      <c r="K74" s="600"/>
      <c r="L74" s="600"/>
      <c r="M74" s="600"/>
      <c r="N74" s="600"/>
      <c r="O74" s="600">
        <f t="shared" si="13"/>
        <v>1906545.162</v>
      </c>
      <c r="P74" s="601">
        <f t="shared" si="14"/>
        <v>23.5</v>
      </c>
      <c r="Q74" s="600">
        <f t="shared" si="15"/>
        <v>44803811.307000004</v>
      </c>
      <c r="T74" s="679"/>
    </row>
    <row r="75" spans="1:20" s="598" customFormat="1" ht="15" outlineLevel="1">
      <c r="A75" s="597">
        <v>3761</v>
      </c>
      <c r="B75" s="598" t="s">
        <v>506</v>
      </c>
      <c r="C75" s="598">
        <v>2000</v>
      </c>
      <c r="D75" s="599">
        <v>931373.18000000005</v>
      </c>
      <c r="E75" s="601">
        <f>Input!$C$14-C75+0.5</f>
        <v>22.5</v>
      </c>
      <c r="F75" s="600">
        <f t="shared" si="12"/>
        <v>20955896.550000001</v>
      </c>
      <c r="G75" s="600"/>
      <c r="H75" s="317"/>
      <c r="I75" s="600"/>
      <c r="J75" s="600"/>
      <c r="K75" s="600"/>
      <c r="L75" s="600"/>
      <c r="M75" s="600"/>
      <c r="N75" s="600"/>
      <c r="O75" s="600">
        <f t="shared" si="13"/>
        <v>931373.18000000005</v>
      </c>
      <c r="P75" s="601">
        <f t="shared" si="14"/>
        <v>22.5</v>
      </c>
      <c r="Q75" s="600">
        <f t="shared" si="15"/>
        <v>20955896.550000001</v>
      </c>
      <c r="T75" s="679"/>
    </row>
    <row r="76" spans="1:20" s="598" customFormat="1" ht="15" outlineLevel="1">
      <c r="A76" s="597">
        <v>3761</v>
      </c>
      <c r="B76" s="598" t="s">
        <v>506</v>
      </c>
      <c r="C76" s="598">
        <v>2001</v>
      </c>
      <c r="D76" s="599">
        <f>1737482.77+5026</f>
        <v>1742508.77</v>
      </c>
      <c r="E76" s="601">
        <f>Input!$C$14-C76+0.5</f>
        <v>21.5</v>
      </c>
      <c r="F76" s="600">
        <f t="shared" si="12"/>
        <v>37463938.555</v>
      </c>
      <c r="G76" s="600"/>
      <c r="H76" s="317"/>
      <c r="I76" s="600"/>
      <c r="J76" s="600"/>
      <c r="K76" s="600"/>
      <c r="L76" s="600"/>
      <c r="M76" s="600"/>
      <c r="N76" s="600"/>
      <c r="O76" s="600">
        <f t="shared" si="13"/>
        <v>1742508.77</v>
      </c>
      <c r="P76" s="601">
        <f t="shared" si="14"/>
        <v>21.5</v>
      </c>
      <c r="Q76" s="600">
        <f t="shared" si="15"/>
        <v>37463938.555</v>
      </c>
      <c r="T76" s="679"/>
    </row>
    <row r="77" spans="1:20" s="598" customFormat="1" ht="15" outlineLevel="1">
      <c r="A77" s="597">
        <v>3761</v>
      </c>
      <c r="B77" s="598" t="s">
        <v>506</v>
      </c>
      <c r="C77" s="598">
        <v>2002</v>
      </c>
      <c r="D77" s="599">
        <f>2284578.23+19598</f>
        <v>2304176.23</v>
      </c>
      <c r="E77" s="601">
        <f>Input!$C$14-C77+0.5</f>
        <v>20.5</v>
      </c>
      <c r="F77" s="600">
        <f t="shared" si="12"/>
        <v>47235612.714999996</v>
      </c>
      <c r="G77" s="600"/>
      <c r="H77" s="317"/>
      <c r="I77" s="600"/>
      <c r="J77" s="600"/>
      <c r="K77" s="600"/>
      <c r="L77" s="600"/>
      <c r="M77" s="600"/>
      <c r="N77" s="600"/>
      <c r="O77" s="600">
        <f t="shared" si="13"/>
        <v>2304176.23</v>
      </c>
      <c r="P77" s="601">
        <f t="shared" si="14"/>
        <v>20.5</v>
      </c>
      <c r="Q77" s="600">
        <f t="shared" si="15"/>
        <v>47235612.714999996</v>
      </c>
      <c r="T77" s="679"/>
    </row>
    <row r="78" spans="1:20" s="598" customFormat="1" ht="15" outlineLevel="1">
      <c r="A78" s="597">
        <v>3761</v>
      </c>
      <c r="B78" s="598" t="s">
        <v>506</v>
      </c>
      <c r="C78" s="598">
        <v>2003</v>
      </c>
      <c r="D78" s="599">
        <f>9072204.84+7028</f>
        <v>9079232.8399999999</v>
      </c>
      <c r="E78" s="601">
        <f>Input!$C$14-C78+0.5</f>
        <v>19.5</v>
      </c>
      <c r="F78" s="600">
        <f t="shared" si="12"/>
        <v>177045040.38</v>
      </c>
      <c r="G78" s="600"/>
      <c r="H78" s="317"/>
      <c r="I78" s="600"/>
      <c r="J78" s="600"/>
      <c r="K78" s="600"/>
      <c r="L78" s="600"/>
      <c r="M78" s="600"/>
      <c r="N78" s="600"/>
      <c r="O78" s="600">
        <f t="shared" si="13"/>
        <v>9079232.8399999999</v>
      </c>
      <c r="P78" s="601">
        <f t="shared" si="14"/>
        <v>19.5</v>
      </c>
      <c r="Q78" s="600">
        <f t="shared" si="15"/>
        <v>177045040.38</v>
      </c>
      <c r="T78" s="679"/>
    </row>
    <row r="79" spans="1:20" s="598" customFormat="1" ht="15" outlineLevel="1">
      <c r="A79" s="597">
        <v>3761</v>
      </c>
      <c r="B79" s="598" t="s">
        <v>506</v>
      </c>
      <c r="C79" s="598">
        <v>2004</v>
      </c>
      <c r="D79" s="599">
        <f>2382714.51+32619+203.158</f>
        <v>2415536.6679999996</v>
      </c>
      <c r="E79" s="601">
        <f>Input!$C$14-C79+0.5</f>
        <v>18.5</v>
      </c>
      <c r="F79" s="600">
        <f t="shared" si="12"/>
        <v>44687428.357999995</v>
      </c>
      <c r="G79" s="600"/>
      <c r="H79" s="317"/>
      <c r="I79" s="600"/>
      <c r="J79" s="600"/>
      <c r="K79" s="600"/>
      <c r="L79" s="600"/>
      <c r="M79" s="600"/>
      <c r="N79" s="600"/>
      <c r="O79" s="600">
        <f t="shared" si="13"/>
        <v>2415536.6679999996</v>
      </c>
      <c r="P79" s="601">
        <f t="shared" si="14"/>
        <v>18.5</v>
      </c>
      <c r="Q79" s="600">
        <f t="shared" si="15"/>
        <v>44687428.357999995</v>
      </c>
      <c r="T79" s="679"/>
    </row>
    <row r="80" spans="1:20" s="598" customFormat="1" ht="15" outlineLevel="1">
      <c r="A80" s="597">
        <v>3761</v>
      </c>
      <c r="B80" s="598" t="s">
        <v>506</v>
      </c>
      <c r="C80" s="598">
        <v>2005</v>
      </c>
      <c r="D80" s="599">
        <f>2947810.02+4063</f>
        <v>2951873.02</v>
      </c>
      <c r="E80" s="601">
        <f>Input!$C$14-C80+0.5</f>
        <v>17.5</v>
      </c>
      <c r="F80" s="600">
        <f t="shared" si="12"/>
        <v>51657777.850000001</v>
      </c>
      <c r="G80" s="600"/>
      <c r="H80" s="317"/>
      <c r="I80" s="600"/>
      <c r="J80" s="600"/>
      <c r="K80" s="600"/>
      <c r="L80" s="600"/>
      <c r="M80" s="600"/>
      <c r="N80" s="600"/>
      <c r="O80" s="600">
        <f t="shared" si="13"/>
        <v>2951873.02</v>
      </c>
      <c r="P80" s="601">
        <f t="shared" si="14"/>
        <v>17.5</v>
      </c>
      <c r="Q80" s="600">
        <f t="shared" si="15"/>
        <v>51657777.850000001</v>
      </c>
      <c r="T80" s="679"/>
    </row>
    <row r="81" spans="1:20" s="598" customFormat="1" ht="15" outlineLevel="1">
      <c r="A81" s="597">
        <v>3761</v>
      </c>
      <c r="B81" s="598" t="s">
        <v>506</v>
      </c>
      <c r="C81" s="598">
        <v>2006</v>
      </c>
      <c r="D81" s="599">
        <f>3566075.14+9131</f>
        <v>3575206.1400000001</v>
      </c>
      <c r="E81" s="601">
        <f>Input!$C$14-C81+0.5</f>
        <v>16.5</v>
      </c>
      <c r="F81" s="600">
        <f t="shared" si="12"/>
        <v>58990901.310000002</v>
      </c>
      <c r="G81" s="600"/>
      <c r="H81" s="317"/>
      <c r="I81" s="600"/>
      <c r="J81" s="600"/>
      <c r="K81" s="600"/>
      <c r="L81" s="600"/>
      <c r="M81" s="600"/>
      <c r="N81" s="600"/>
      <c r="O81" s="600">
        <f t="shared" si="13"/>
        <v>3575206.1400000001</v>
      </c>
      <c r="P81" s="601">
        <f t="shared" si="14"/>
        <v>16.5</v>
      </c>
      <c r="Q81" s="600">
        <f t="shared" si="15"/>
        <v>58990901.310000002</v>
      </c>
      <c r="T81" s="679"/>
    </row>
    <row r="82" spans="1:20" s="598" customFormat="1" ht="15" outlineLevel="1">
      <c r="A82" s="597">
        <v>3761</v>
      </c>
      <c r="B82" s="598" t="s">
        <v>506</v>
      </c>
      <c r="C82" s="598">
        <v>2007</v>
      </c>
      <c r="D82" s="599">
        <f>4291491.3+1671</f>
        <v>4293162.2999999998</v>
      </c>
      <c r="E82" s="601">
        <f>Input!$C$14-C82+0.5</f>
        <v>15.5</v>
      </c>
      <c r="F82" s="600">
        <f t="shared" si="12"/>
        <v>66544015.649999999</v>
      </c>
      <c r="G82" s="600"/>
      <c r="H82" s="317"/>
      <c r="I82" s="600"/>
      <c r="J82" s="600"/>
      <c r="K82" s="600"/>
      <c r="L82" s="600"/>
      <c r="M82" s="600"/>
      <c r="N82" s="600"/>
      <c r="O82" s="600">
        <f t="shared" si="13"/>
        <v>4293162.2999999998</v>
      </c>
      <c r="P82" s="601">
        <f t="shared" si="14"/>
        <v>15.5</v>
      </c>
      <c r="Q82" s="600">
        <f t="shared" si="15"/>
        <v>66544015.649999999</v>
      </c>
      <c r="T82" s="679"/>
    </row>
    <row r="83" spans="1:20" s="598" customFormat="1" ht="15" outlineLevel="1">
      <c r="A83" s="597">
        <v>3761</v>
      </c>
      <c r="B83" s="598" t="s">
        <v>506</v>
      </c>
      <c r="C83" s="598">
        <v>2008</v>
      </c>
      <c r="D83" s="599">
        <f>3663648.02+6309</f>
        <v>3669957.02</v>
      </c>
      <c r="E83" s="601">
        <f>Input!$C$14-C83+0.5</f>
        <v>14.5</v>
      </c>
      <c r="F83" s="600">
        <f t="shared" si="12"/>
        <v>53214376.789999999</v>
      </c>
      <c r="G83" s="600"/>
      <c r="H83" s="317"/>
      <c r="I83" s="600"/>
      <c r="J83" s="600"/>
      <c r="K83" s="600"/>
      <c r="L83" s="600"/>
      <c r="M83" s="600"/>
      <c r="N83" s="600"/>
      <c r="O83" s="600">
        <f t="shared" si="13"/>
        <v>3669957.02</v>
      </c>
      <c r="P83" s="601">
        <f t="shared" si="14"/>
        <v>14.5</v>
      </c>
      <c r="Q83" s="600">
        <f t="shared" si="15"/>
        <v>53214376.789999999</v>
      </c>
      <c r="T83" s="679"/>
    </row>
    <row r="84" spans="1:20" s="598" customFormat="1" ht="15" outlineLevel="1">
      <c r="A84" s="597">
        <v>3761</v>
      </c>
      <c r="B84" s="598" t="s">
        <v>506</v>
      </c>
      <c r="C84" s="598">
        <v>2009</v>
      </c>
      <c r="D84" s="599">
        <f>2041443.95+82</f>
        <v>2041525.95</v>
      </c>
      <c r="E84" s="601">
        <f>Input!$C$14-C84+0.5</f>
        <v>13.5</v>
      </c>
      <c r="F84" s="600">
        <f t="shared" si="12"/>
        <v>27560600.324999999</v>
      </c>
      <c r="G84" s="600"/>
      <c r="H84" s="317"/>
      <c r="I84" s="600"/>
      <c r="J84" s="600"/>
      <c r="K84" s="600"/>
      <c r="L84" s="600"/>
      <c r="M84" s="600"/>
      <c r="N84" s="600"/>
      <c r="O84" s="600">
        <f t="shared" si="13"/>
        <v>2041525.95</v>
      </c>
      <c r="P84" s="601">
        <f t="shared" si="14"/>
        <v>13.5</v>
      </c>
      <c r="Q84" s="600">
        <f t="shared" si="15"/>
        <v>27560600.324999999</v>
      </c>
      <c r="T84" s="679"/>
    </row>
    <row r="85" spans="1:20" s="598" customFormat="1" ht="15" outlineLevel="1">
      <c r="A85" s="597">
        <v>3761</v>
      </c>
      <c r="B85" s="598" t="s">
        <v>506</v>
      </c>
      <c r="C85" s="598">
        <v>2010</v>
      </c>
      <c r="D85" s="599">
        <f>2680147.59-181188.8+603.62</f>
        <v>2499562.4100000001</v>
      </c>
      <c r="E85" s="601">
        <f>Input!$C$14-C85+0.5</f>
        <v>12.5</v>
      </c>
      <c r="F85" s="600">
        <f t="shared" si="12"/>
        <v>31244530.125</v>
      </c>
      <c r="G85" s="600"/>
      <c r="H85" s="317"/>
      <c r="I85" s="600"/>
      <c r="J85" s="600"/>
      <c r="K85" s="600"/>
      <c r="L85" s="600"/>
      <c r="M85" s="600"/>
      <c r="N85" s="600"/>
      <c r="O85" s="600">
        <f t="shared" si="13"/>
        <v>2499562.4100000001</v>
      </c>
      <c r="P85" s="601">
        <f t="shared" si="14"/>
        <v>12.5</v>
      </c>
      <c r="Q85" s="600">
        <f t="shared" si="15"/>
        <v>31244530.125</v>
      </c>
      <c r="T85" s="679"/>
    </row>
    <row r="86" spans="1:20" s="598" customFormat="1" ht="15" outlineLevel="1">
      <c r="A86" s="597">
        <v>3761</v>
      </c>
      <c r="B86" s="598" t="s">
        <v>506</v>
      </c>
      <c r="C86" s="598">
        <v>2011</v>
      </c>
      <c r="D86" s="599">
        <v>5391460.7800000003</v>
      </c>
      <c r="E86" s="601">
        <f>Input!$C$14-C86+0.5</f>
        <v>11.5</v>
      </c>
      <c r="F86" s="600">
        <f t="shared" si="12"/>
        <v>62001798.970000006</v>
      </c>
      <c r="G86" s="600"/>
      <c r="H86" s="317"/>
      <c r="I86" s="600"/>
      <c r="J86" s="600"/>
      <c r="K86" s="600"/>
      <c r="L86" s="600"/>
      <c r="M86" s="600"/>
      <c r="N86" s="600"/>
      <c r="O86" s="600">
        <f t="shared" si="13"/>
        <v>5391460.7800000003</v>
      </c>
      <c r="P86" s="601">
        <f t="shared" si="14"/>
        <v>11.5</v>
      </c>
      <c r="Q86" s="600">
        <f t="shared" si="15"/>
        <v>62001798.970000006</v>
      </c>
      <c r="T86" s="679"/>
    </row>
    <row r="87" spans="1:20" s="598" customFormat="1" ht="15" outlineLevel="1">
      <c r="A87" s="597">
        <v>3761</v>
      </c>
      <c r="B87" s="598" t="s">
        <v>506</v>
      </c>
      <c r="C87" s="598">
        <v>2012</v>
      </c>
      <c r="D87" s="599">
        <v>5759604.4299999941</v>
      </c>
      <c r="E87" s="601">
        <f>Input!$C$14-C87+0.5</f>
        <v>10.5</v>
      </c>
      <c r="F87" s="600">
        <f t="shared" si="12"/>
        <v>60475846.514999941</v>
      </c>
      <c r="G87" s="600"/>
      <c r="H87" s="317"/>
      <c r="I87" s="600"/>
      <c r="J87" s="600">
        <v>-19936.209999999999</v>
      </c>
      <c r="K87" s="600"/>
      <c r="L87" s="600"/>
      <c r="M87" s="600"/>
      <c r="N87" s="600"/>
      <c r="O87" s="600">
        <f t="shared" si="13"/>
        <v>5739668.2199999942</v>
      </c>
      <c r="P87" s="601">
        <f t="shared" si="14"/>
        <v>10.5</v>
      </c>
      <c r="Q87" s="600">
        <f t="shared" si="15"/>
        <v>60266516.309999935</v>
      </c>
      <c r="T87" s="679"/>
    </row>
    <row r="88" spans="1:20" s="598" customFormat="1" ht="15" outlineLevel="1">
      <c r="A88" s="597">
        <v>3761</v>
      </c>
      <c r="B88" s="598" t="s">
        <v>506</v>
      </c>
      <c r="C88" s="598">
        <v>2013</v>
      </c>
      <c r="D88" s="599">
        <f>2647809.2-18421.56</f>
        <v>2629387.6400000001</v>
      </c>
      <c r="E88" s="601">
        <f>Input!$C$14-C88+0.5</f>
        <v>9.5</v>
      </c>
      <c r="F88" s="600">
        <f t="shared" si="12"/>
        <v>24979182.580000002</v>
      </c>
      <c r="G88" s="600"/>
      <c r="H88" s="317"/>
      <c r="I88" s="600"/>
      <c r="J88" s="600"/>
      <c r="K88" s="600"/>
      <c r="L88" s="600"/>
      <c r="M88" s="600">
        <v>8273.360000000006</v>
      </c>
      <c r="N88" s="600"/>
      <c r="O88" s="600">
        <f>SUM(D88,I88:N88)</f>
        <v>2637661</v>
      </c>
      <c r="P88" s="601">
        <f t="shared" si="14"/>
        <v>9.5</v>
      </c>
      <c r="Q88" s="600">
        <f t="shared" si="15"/>
        <v>25057779.5</v>
      </c>
      <c r="T88" s="679"/>
    </row>
    <row r="89" spans="1:20" s="598" customFormat="1" ht="15" outlineLevel="1">
      <c r="A89" s="597">
        <v>3761</v>
      </c>
      <c r="B89" s="598" t="s">
        <v>506</v>
      </c>
      <c r="C89" s="598">
        <v>2014</v>
      </c>
      <c r="D89" s="599">
        <v>5862890.0600000033</v>
      </c>
      <c r="E89" s="601">
        <f>Input!$C$14-C89+0.5</f>
        <v>8.5</v>
      </c>
      <c r="F89" s="600">
        <f t="shared" si="12"/>
        <v>49834565.510000028</v>
      </c>
      <c r="G89" s="600"/>
      <c r="H89" s="317"/>
      <c r="I89" s="600"/>
      <c r="J89" s="600">
        <v>-5991.5100000000002</v>
      </c>
      <c r="K89" s="600"/>
      <c r="L89" s="600"/>
      <c r="M89" s="600">
        <v>62367.75</v>
      </c>
      <c r="N89" s="600"/>
      <c r="O89" s="600">
        <f t="shared" si="13"/>
        <v>5919266.3000000035</v>
      </c>
      <c r="P89" s="601">
        <f t="shared" si="14"/>
        <v>8.5</v>
      </c>
      <c r="Q89" s="600">
        <f t="shared" si="15"/>
        <v>50313763.550000027</v>
      </c>
      <c r="T89" s="679"/>
    </row>
    <row r="90" spans="1:20" s="598" customFormat="1" ht="15" outlineLevel="1">
      <c r="A90" s="597">
        <v>3761</v>
      </c>
      <c r="B90" s="598" t="s">
        <v>506</v>
      </c>
      <c r="C90" s="598">
        <v>2015</v>
      </c>
      <c r="D90" s="599">
        <v>3741782.6599999997</v>
      </c>
      <c r="E90" s="601">
        <f>Input!$C$14-C90+0.5</f>
        <v>7.5</v>
      </c>
      <c r="F90" s="600">
        <f t="shared" si="12"/>
        <v>28063369.949999999</v>
      </c>
      <c r="G90" s="600"/>
      <c r="H90" s="317"/>
      <c r="I90" s="600"/>
      <c r="J90" s="600"/>
      <c r="K90" s="600"/>
      <c r="L90" s="600"/>
      <c r="M90" s="600">
        <v>85334.849999999962</v>
      </c>
      <c r="N90" s="600"/>
      <c r="O90" s="600">
        <f t="shared" si="13"/>
        <v>3827117.5099999998</v>
      </c>
      <c r="P90" s="601">
        <f t="shared" si="14"/>
        <v>7.5</v>
      </c>
      <c r="Q90" s="600">
        <f t="shared" si="15"/>
        <v>28703381.324999999</v>
      </c>
      <c r="T90" s="679"/>
    </row>
    <row r="91" spans="1:20" s="598" customFormat="1" ht="15" outlineLevel="1">
      <c r="A91" s="597">
        <v>3761</v>
      </c>
      <c r="B91" s="598" t="s">
        <v>506</v>
      </c>
      <c r="C91" s="598">
        <v>2016</v>
      </c>
      <c r="D91" s="599">
        <v>8417728.3100000024</v>
      </c>
      <c r="E91" s="601">
        <f>Input!$C$14-C91+0.5</f>
        <v>6.5</v>
      </c>
      <c r="F91" s="600">
        <f t="shared" si="12"/>
        <v>54715234.015000015</v>
      </c>
      <c r="G91" s="600"/>
      <c r="H91" s="317"/>
      <c r="I91" s="600"/>
      <c r="J91" s="600"/>
      <c r="K91" s="600"/>
      <c r="L91" s="600"/>
      <c r="M91" s="600">
        <v>77809.550000000061</v>
      </c>
      <c r="N91" s="600"/>
      <c r="O91" s="600">
        <f t="shared" si="13"/>
        <v>8495537.8600000031</v>
      </c>
      <c r="P91" s="601">
        <f t="shared" si="14"/>
        <v>6.5</v>
      </c>
      <c r="Q91" s="600">
        <f t="shared" si="15"/>
        <v>55220996.090000018</v>
      </c>
      <c r="T91" s="679"/>
    </row>
    <row r="92" spans="1:20" s="598" customFormat="1" ht="15" outlineLevel="1">
      <c r="A92" s="597">
        <v>3761</v>
      </c>
      <c r="B92" s="598" t="s">
        <v>506</v>
      </c>
      <c r="C92" s="598">
        <v>2017</v>
      </c>
      <c r="D92" s="599">
        <v>6815586.6300000036</v>
      </c>
      <c r="E92" s="601">
        <f>Input!$C$14-C92+0.5</f>
        <v>5.5</v>
      </c>
      <c r="F92" s="600">
        <f t="shared" si="12"/>
        <v>37485726.465000018</v>
      </c>
      <c r="G92" s="600"/>
      <c r="H92" s="317"/>
      <c r="I92" s="600"/>
      <c r="J92" s="600"/>
      <c r="K92" s="600"/>
      <c r="L92" s="600"/>
      <c r="M92" s="600">
        <v>177107.8600000001</v>
      </c>
      <c r="N92" s="600"/>
      <c r="O92" s="600">
        <f t="shared" si="13"/>
        <v>6992694.4900000039</v>
      </c>
      <c r="P92" s="601">
        <f t="shared" si="14"/>
        <v>5.5</v>
      </c>
      <c r="Q92" s="600">
        <f t="shared" si="15"/>
        <v>38459819.695000023</v>
      </c>
      <c r="T92" s="679"/>
    </row>
    <row r="93" spans="1:20" s="598" customFormat="1" ht="15" outlineLevel="1">
      <c r="A93" s="597">
        <v>3761</v>
      </c>
      <c r="B93" s="598" t="s">
        <v>506</v>
      </c>
      <c r="C93" s="598">
        <v>2018</v>
      </c>
      <c r="D93" s="599">
        <v>7712649.0600000015</v>
      </c>
      <c r="E93" s="601">
        <f>Input!$C$14-C93+0.5</f>
        <v>4.5</v>
      </c>
      <c r="F93" s="600">
        <f t="shared" si="12"/>
        <v>34706920.770000003</v>
      </c>
      <c r="G93" s="600"/>
      <c r="H93" s="317"/>
      <c r="I93" s="600"/>
      <c r="J93" s="600"/>
      <c r="K93" s="600"/>
      <c r="L93" s="600"/>
      <c r="M93" s="600">
        <v>535510.23999999999</v>
      </c>
      <c r="N93" s="600"/>
      <c r="O93" s="600">
        <f t="shared" si="13"/>
        <v>8248159.3000000017</v>
      </c>
      <c r="P93" s="601">
        <f t="shared" si="14"/>
        <v>4.5</v>
      </c>
      <c r="Q93" s="600">
        <f t="shared" si="15"/>
        <v>37116716.850000009</v>
      </c>
      <c r="T93" s="679"/>
    </row>
    <row r="94" spans="1:20" s="598" customFormat="1" ht="15" outlineLevel="1">
      <c r="A94" s="597">
        <v>3761</v>
      </c>
      <c r="B94" s="598" t="s">
        <v>506</v>
      </c>
      <c r="C94" s="598">
        <v>2019</v>
      </c>
      <c r="D94" s="599">
        <v>6330980.1600000039</v>
      </c>
      <c r="E94" s="601">
        <f>Input!$C$14-C94+0.5</f>
        <v>3.5</v>
      </c>
      <c r="F94" s="600">
        <f t="shared" si="12"/>
        <v>22158430.560000014</v>
      </c>
      <c r="G94" s="600"/>
      <c r="H94" s="317"/>
      <c r="I94" s="600"/>
      <c r="J94" s="600">
        <f>5991.51+19936.21</f>
        <v>25927.720000000001</v>
      </c>
      <c r="K94" s="600"/>
      <c r="L94" s="600"/>
      <c r="M94" s="600">
        <v>735983.82000000018</v>
      </c>
      <c r="N94" s="600"/>
      <c r="O94" s="600">
        <f t="shared" si="13"/>
        <v>7092891.7000000039</v>
      </c>
      <c r="P94" s="601">
        <f t="shared" si="14"/>
        <v>3.5</v>
      </c>
      <c r="Q94" s="600">
        <f t="shared" si="15"/>
        <v>24825120.950000014</v>
      </c>
      <c r="T94" s="679"/>
    </row>
    <row r="95" spans="1:20" s="598" customFormat="1" ht="15" outlineLevel="1">
      <c r="A95" s="597">
        <v>3761</v>
      </c>
      <c r="B95" s="598" t="s">
        <v>506</v>
      </c>
      <c r="C95" s="598">
        <v>2020</v>
      </c>
      <c r="D95" s="599">
        <v>9649686.2900000028</v>
      </c>
      <c r="E95" s="601">
        <f>Input!$C$14-C95+0.5</f>
        <v>2.5</v>
      </c>
      <c r="F95" s="600">
        <f t="shared" si="12"/>
        <v>24124215.725000009</v>
      </c>
      <c r="G95" s="600"/>
      <c r="H95" s="317"/>
      <c r="I95" s="600"/>
      <c r="J95" s="600"/>
      <c r="K95" s="600"/>
      <c r="L95" s="600"/>
      <c r="M95" s="600">
        <v>1111156.8200000003</v>
      </c>
      <c r="N95" s="600"/>
      <c r="O95" s="600">
        <f t="shared" si="13"/>
        <v>10760843.110000003</v>
      </c>
      <c r="P95" s="601">
        <f t="shared" si="14"/>
        <v>2.5</v>
      </c>
      <c r="Q95" s="600">
        <f t="shared" si="15"/>
        <v>26902107.775000006</v>
      </c>
      <c r="T95" s="679"/>
    </row>
    <row r="96" spans="1:20" s="598" customFormat="1" ht="15" outlineLevel="1">
      <c r="A96" s="597">
        <v>3761</v>
      </c>
      <c r="B96" s="598" t="s">
        <v>506</v>
      </c>
      <c r="C96" s="598">
        <v>2021</v>
      </c>
      <c r="D96" s="599">
        <v>4788903.0299999993</v>
      </c>
      <c r="E96" s="601">
        <f>Input!$C$14-C96+0.5</f>
        <v>1.5</v>
      </c>
      <c r="F96" s="600">
        <f t="shared" si="12"/>
        <v>7183354.544999999</v>
      </c>
      <c r="G96" s="600"/>
      <c r="H96" s="317"/>
      <c r="I96" s="600"/>
      <c r="J96" s="600"/>
      <c r="K96" s="600"/>
      <c r="L96" s="600"/>
      <c r="M96" s="600">
        <v>1287141.3099999998</v>
      </c>
      <c r="N96" s="600"/>
      <c r="O96" s="600">
        <f t="shared" si="13"/>
        <v>6076044.3399999989</v>
      </c>
      <c r="P96" s="601">
        <f t="shared" si="14"/>
        <v>1.5</v>
      </c>
      <c r="Q96" s="600">
        <f t="shared" si="15"/>
        <v>9114066.5099999979</v>
      </c>
      <c r="T96" s="679"/>
    </row>
    <row r="97" spans="1:20" s="598" customFormat="1" ht="13.5" thickBot="1">
      <c r="A97" s="563">
        <f>A96</f>
        <v>3761</v>
      </c>
      <c r="B97" s="564" t="s">
        <v>496</v>
      </c>
      <c r="D97" s="357">
        <f>SUM(D49:D96)</f>
        <v>115361925.2308182</v>
      </c>
      <c r="E97" s="565">
        <f>ROUND(F97/D97,1)</f>
        <v>12.1</v>
      </c>
      <c r="F97" s="357">
        <f>SUM(F49:F96)</f>
        <v>1394496562.5395908</v>
      </c>
      <c r="G97" s="358"/>
      <c r="H97" s="318"/>
      <c r="I97" s="357">
        <f>SUM(I49:I96)</f>
        <v>0</v>
      </c>
      <c r="J97" s="357">
        <f>SUM(J49:J96)</f>
        <v>0</v>
      </c>
      <c r="K97" s="357">
        <f t="shared" si="16" ref="K97:N97">SUM(K49:K96)</f>
        <v>0</v>
      </c>
      <c r="L97" s="357">
        <f t="shared" si="16"/>
        <v>0</v>
      </c>
      <c r="M97" s="357">
        <f t="shared" si="16"/>
        <v>4080685.5600000005</v>
      </c>
      <c r="N97" s="357">
        <f t="shared" si="16"/>
        <v>0</v>
      </c>
      <c r="O97" s="357">
        <f>SUM(O49:O96)</f>
        <v>119442610.7908182</v>
      </c>
      <c r="P97" s="565">
        <f>ROUND(Q97/O97,1)</f>
        <v>11.800000000000001</v>
      </c>
      <c r="Q97" s="357">
        <f>SUM(Q49:Q96)</f>
        <v>1406749984.4595907</v>
      </c>
      <c r="S97" s="604">
        <f>'Sch. G 2021'!H15</f>
        <v>115361926</v>
      </c>
      <c r="T97" s="679">
        <f>D97-S97</f>
        <v>-0.76918180286884308</v>
      </c>
    </row>
    <row r="98" spans="1:23" s="598" customFormat="1" ht="15.75" thickTop="1">
      <c r="A98" s="566">
        <f>A96</f>
        <v>3761</v>
      </c>
      <c r="B98" s="490" t="str">
        <f>B96&amp;" - Additions"</f>
        <v>Mains PL - Additions</v>
      </c>
      <c r="C98" s="490">
        <v>2022</v>
      </c>
      <c r="D98" s="602">
        <f>'Sch. H'!N15</f>
        <v>10690458.870000016</v>
      </c>
      <c r="E98" s="601">
        <f>Input!$C$14-C98+0.5</f>
        <v>0.5</v>
      </c>
      <c r="F98" s="600">
        <f>D98*E98</f>
        <v>5345229.435000008</v>
      </c>
      <c r="G98" s="600"/>
      <c r="H98" s="317"/>
      <c r="I98" s="600"/>
      <c r="J98" s="600"/>
      <c r="K98" s="600"/>
      <c r="L98" s="600"/>
      <c r="M98" s="600"/>
      <c r="N98" s="600"/>
      <c r="O98" s="600">
        <f t="shared" si="17" ref="O98:O99">SUM(D98,I98:N98)</f>
        <v>10690458.870000016</v>
      </c>
      <c r="P98" s="601">
        <f t="shared" si="14"/>
        <v>0.5</v>
      </c>
      <c r="Q98" s="600">
        <f t="shared" si="15"/>
        <v>5345229.435000008</v>
      </c>
      <c r="T98" s="679"/>
      <c r="V98" s="604"/>
      <c r="W98" s="604"/>
    </row>
    <row r="99" spans="1:23" s="598" customFormat="1" ht="15">
      <c r="A99" s="566">
        <f>A98</f>
        <v>3761</v>
      </c>
      <c r="B99" s="490" t="str">
        <f>B96&amp;" - Retirements"</f>
        <v>Mains PL - Retirements</v>
      </c>
      <c r="C99" s="490">
        <v>2022</v>
      </c>
      <c r="D99" s="567">
        <f>-'Sch. F 2022'!G90</f>
        <v>-1045653.9999999999</v>
      </c>
      <c r="E99" s="601">
        <f>'Sch. F 2022'!G92</f>
        <v>38.530000000000001</v>
      </c>
      <c r="F99" s="600">
        <f>D99*E99</f>
        <v>-40289048.619999997</v>
      </c>
      <c r="G99" s="600"/>
      <c r="H99" s="317"/>
      <c r="I99" s="600"/>
      <c r="J99" s="600"/>
      <c r="K99" s="600"/>
      <c r="L99" s="600"/>
      <c r="M99" s="600"/>
      <c r="N99" s="600"/>
      <c r="O99" s="600">
        <f t="shared" si="17"/>
        <v>-1045653.9999999999</v>
      </c>
      <c r="P99" s="601">
        <f t="shared" si="14"/>
        <v>38.530000000000001</v>
      </c>
      <c r="Q99" s="600">
        <f t="shared" si="15"/>
        <v>-40289048.619999997</v>
      </c>
      <c r="T99" s="679"/>
      <c r="V99" s="604"/>
      <c r="W99" s="604"/>
    </row>
    <row r="100" spans="1:20" s="598" customFormat="1" ht="13.5" thickBot="1">
      <c r="A100" s="566"/>
      <c r="B100" s="564" t="s">
        <v>557</v>
      </c>
      <c r="C100" s="490"/>
      <c r="D100" s="568">
        <f>SUM(D97:D99)</f>
        <v>125006730.10081822</v>
      </c>
      <c r="E100" s="565">
        <f>ROUND(F100/D100,1)</f>
        <v>10.9</v>
      </c>
      <c r="F100" s="569">
        <f>SUM(F97:F99)</f>
        <v>1359552743.3545909</v>
      </c>
      <c r="G100" s="570"/>
      <c r="H100" s="372"/>
      <c r="I100" s="568">
        <f>SUM(I97:I99)</f>
        <v>0</v>
      </c>
      <c r="J100" s="568">
        <f>SUM(J97:J99)</f>
        <v>0</v>
      </c>
      <c r="K100" s="568">
        <f t="shared" si="18" ref="K100:N100">SUM(K97:K99)</f>
        <v>0</v>
      </c>
      <c r="L100" s="568">
        <f t="shared" si="18"/>
        <v>0</v>
      </c>
      <c r="M100" s="568">
        <f t="shared" si="18"/>
        <v>4080685.5600000005</v>
      </c>
      <c r="N100" s="568">
        <f t="shared" si="18"/>
        <v>0</v>
      </c>
      <c r="O100" s="568">
        <f>SUM(O97:O99)</f>
        <v>129087415.66081822</v>
      </c>
      <c r="P100" s="565">
        <f>ROUND(Q100/O100,1)</f>
        <v>10.6</v>
      </c>
      <c r="Q100" s="569">
        <f>SUM(Q97:Q99)</f>
        <v>1371806165.2745907</v>
      </c>
      <c r="S100" s="604">
        <f>'Sch. G 2022'!H15</f>
        <v>129087416</v>
      </c>
      <c r="T100" s="679">
        <f>O100-S100</f>
        <v>-0.33918178081512451</v>
      </c>
    </row>
    <row r="101" spans="1:20" s="598" customFormat="1" ht="15" thickTop="1">
      <c r="A101" s="563"/>
      <c r="B101" s="571"/>
      <c r="D101" s="358"/>
      <c r="E101" s="572"/>
      <c r="F101" s="358"/>
      <c r="G101" s="358"/>
      <c r="H101" s="318"/>
      <c r="I101" s="358"/>
      <c r="J101" s="358"/>
      <c r="K101" s="358"/>
      <c r="L101" s="358"/>
      <c r="M101" s="358"/>
      <c r="N101" s="358"/>
      <c r="O101" s="600"/>
      <c r="P101" s="601"/>
      <c r="Q101" s="600"/>
      <c r="T101" s="679"/>
    </row>
    <row r="102" spans="1:20" s="598" customFormat="1" ht="15" outlineLevel="1">
      <c r="A102" s="597">
        <v>3762</v>
      </c>
      <c r="B102" s="598" t="s">
        <v>507</v>
      </c>
      <c r="C102" s="598">
        <v>1929</v>
      </c>
      <c r="D102" s="599">
        <v>1683.21</v>
      </c>
      <c r="E102" s="601">
        <f>Input!$C$14-C102+0.5</f>
        <v>93.5</v>
      </c>
      <c r="F102" s="600">
        <f t="shared" si="19" ref="F102:F165">D102*E102</f>
        <v>157380.13500000001</v>
      </c>
      <c r="G102" s="600"/>
      <c r="H102" s="317"/>
      <c r="I102" s="600"/>
      <c r="J102" s="600"/>
      <c r="K102" s="600"/>
      <c r="L102" s="600"/>
      <c r="M102" s="600"/>
      <c r="N102" s="600"/>
      <c r="O102" s="600">
        <f t="shared" si="20" ref="O102:O165">SUM(D102,I102:N102)</f>
        <v>1683.21</v>
      </c>
      <c r="P102" s="601">
        <f t="shared" si="14"/>
        <v>93.5</v>
      </c>
      <c r="Q102" s="600">
        <f t="shared" si="15"/>
        <v>157380.13500000001</v>
      </c>
      <c r="T102" s="679"/>
    </row>
    <row r="103" spans="1:20" s="598" customFormat="1" ht="15" outlineLevel="1">
      <c r="A103" s="597">
        <v>3762</v>
      </c>
      <c r="B103" s="598" t="s">
        <v>507</v>
      </c>
      <c r="C103" s="598">
        <v>1940</v>
      </c>
      <c r="D103" s="599">
        <v>228071.46000000002</v>
      </c>
      <c r="E103" s="601">
        <f>Input!$C$14-C103+0.5</f>
        <v>82.5</v>
      </c>
      <c r="F103" s="600">
        <f t="shared" si="19"/>
        <v>18815895.450000003</v>
      </c>
      <c r="G103" s="600"/>
      <c r="H103" s="317"/>
      <c r="I103" s="600"/>
      <c r="J103" s="600">
        <v>-13355.5</v>
      </c>
      <c r="K103" s="600"/>
      <c r="L103" s="600"/>
      <c r="M103" s="600"/>
      <c r="N103" s="600"/>
      <c r="O103" s="600">
        <f t="shared" si="20"/>
        <v>214715.96000000002</v>
      </c>
      <c r="P103" s="601">
        <f t="shared" si="14"/>
        <v>82.5</v>
      </c>
      <c r="Q103" s="600">
        <f t="shared" si="15"/>
        <v>17714066.700000003</v>
      </c>
      <c r="T103" s="679"/>
    </row>
    <row r="104" spans="1:20" s="598" customFormat="1" ht="15" outlineLevel="1">
      <c r="A104" s="597">
        <v>3762</v>
      </c>
      <c r="B104" s="598" t="s">
        <v>507</v>
      </c>
      <c r="C104" s="598">
        <v>1941</v>
      </c>
      <c r="D104" s="599">
        <v>2837.0699999999997</v>
      </c>
      <c r="E104" s="601">
        <f>Input!$C$14-C104+0.5</f>
        <v>81.5</v>
      </c>
      <c r="F104" s="600">
        <f t="shared" si="19"/>
        <v>231221.20499999999</v>
      </c>
      <c r="G104" s="600"/>
      <c r="H104" s="317"/>
      <c r="I104" s="600"/>
      <c r="J104" s="600"/>
      <c r="K104" s="600"/>
      <c r="L104" s="600"/>
      <c r="M104" s="600"/>
      <c r="N104" s="600"/>
      <c r="O104" s="600">
        <f t="shared" si="20"/>
        <v>2837.0699999999997</v>
      </c>
      <c r="P104" s="601">
        <f t="shared" si="14"/>
        <v>81.5</v>
      </c>
      <c r="Q104" s="600">
        <f t="shared" si="15"/>
        <v>231221.20499999999</v>
      </c>
      <c r="T104" s="679"/>
    </row>
    <row r="105" spans="1:20" s="598" customFormat="1" ht="15" outlineLevel="1">
      <c r="A105" s="597">
        <v>3762</v>
      </c>
      <c r="B105" s="598" t="s">
        <v>507</v>
      </c>
      <c r="C105" s="598">
        <v>1942</v>
      </c>
      <c r="D105" s="599">
        <v>1471.6500000000001</v>
      </c>
      <c r="E105" s="601">
        <f>Input!$C$14-C105+0.5</f>
        <v>80.5</v>
      </c>
      <c r="F105" s="600">
        <f t="shared" si="19"/>
        <v>118467.82500000001</v>
      </c>
      <c r="G105" s="600"/>
      <c r="H105" s="317"/>
      <c r="I105" s="600"/>
      <c r="J105" s="600"/>
      <c r="K105" s="600"/>
      <c r="L105" s="600"/>
      <c r="M105" s="600"/>
      <c r="N105" s="600"/>
      <c r="O105" s="600">
        <f t="shared" si="20"/>
        <v>1471.6500000000001</v>
      </c>
      <c r="P105" s="601">
        <f t="shared" si="14"/>
        <v>80.5</v>
      </c>
      <c r="Q105" s="600">
        <f t="shared" si="15"/>
        <v>118467.82500000001</v>
      </c>
      <c r="T105" s="679"/>
    </row>
    <row r="106" spans="1:20" s="598" customFormat="1" ht="15" outlineLevel="1">
      <c r="A106" s="597">
        <v>3762</v>
      </c>
      <c r="B106" s="598" t="s">
        <v>507</v>
      </c>
      <c r="C106" s="598">
        <v>1943</v>
      </c>
      <c r="D106" s="599">
        <v>7390.4300000000003</v>
      </c>
      <c r="E106" s="601">
        <f>Input!$C$14-C106+0.5</f>
        <v>79.5</v>
      </c>
      <c r="F106" s="600">
        <f t="shared" si="19"/>
        <v>587539.18500000006</v>
      </c>
      <c r="G106" s="600"/>
      <c r="H106" s="317"/>
      <c r="I106" s="600"/>
      <c r="J106" s="600"/>
      <c r="K106" s="600"/>
      <c r="L106" s="600"/>
      <c r="M106" s="600"/>
      <c r="N106" s="600"/>
      <c r="O106" s="600">
        <f t="shared" si="20"/>
        <v>7390.4300000000003</v>
      </c>
      <c r="P106" s="601">
        <f t="shared" si="14"/>
        <v>79.5</v>
      </c>
      <c r="Q106" s="600">
        <f t="shared" si="15"/>
        <v>587539.18500000006</v>
      </c>
      <c r="T106" s="679"/>
    </row>
    <row r="107" spans="1:20" s="598" customFormat="1" ht="15" outlineLevel="1">
      <c r="A107" s="597">
        <v>3762</v>
      </c>
      <c r="B107" s="598" t="s">
        <v>507</v>
      </c>
      <c r="C107" s="598">
        <v>1944</v>
      </c>
      <c r="D107" s="599">
        <v>355.81</v>
      </c>
      <c r="E107" s="601">
        <f>Input!$C$14-C107+0.5</f>
        <v>78.5</v>
      </c>
      <c r="F107" s="600">
        <f t="shared" si="19"/>
        <v>27931.084999999999</v>
      </c>
      <c r="G107" s="600"/>
      <c r="H107" s="317"/>
      <c r="I107" s="600"/>
      <c r="J107" s="600"/>
      <c r="K107" s="600"/>
      <c r="L107" s="600"/>
      <c r="M107" s="600"/>
      <c r="N107" s="600"/>
      <c r="O107" s="600">
        <f t="shared" si="20"/>
        <v>355.81</v>
      </c>
      <c r="P107" s="601">
        <f t="shared" si="14"/>
        <v>78.5</v>
      </c>
      <c r="Q107" s="600">
        <f t="shared" si="15"/>
        <v>27931.084999999999</v>
      </c>
      <c r="T107" s="679"/>
    </row>
    <row r="108" spans="1:20" s="598" customFormat="1" ht="15" outlineLevel="1">
      <c r="A108" s="597">
        <v>3762</v>
      </c>
      <c r="B108" s="598" t="s">
        <v>507</v>
      </c>
      <c r="C108" s="598">
        <v>1945</v>
      </c>
      <c r="D108" s="599">
        <v>315.07999999999998</v>
      </c>
      <c r="E108" s="601">
        <f>Input!$C$14-C108+0.5</f>
        <v>77.5</v>
      </c>
      <c r="F108" s="600">
        <f t="shared" si="19"/>
        <v>24418.699999999997</v>
      </c>
      <c r="G108" s="600"/>
      <c r="H108" s="317"/>
      <c r="I108" s="600"/>
      <c r="J108" s="600"/>
      <c r="K108" s="600"/>
      <c r="L108" s="600"/>
      <c r="M108" s="600"/>
      <c r="N108" s="600"/>
      <c r="O108" s="600">
        <f t="shared" si="20"/>
        <v>315.07999999999998</v>
      </c>
      <c r="P108" s="601">
        <f t="shared" si="14"/>
        <v>77.5</v>
      </c>
      <c r="Q108" s="600">
        <f t="shared" si="15"/>
        <v>24418.699999999997</v>
      </c>
      <c r="T108" s="679"/>
    </row>
    <row r="109" spans="1:20" s="598" customFormat="1" ht="15" outlineLevel="1">
      <c r="A109" s="597">
        <v>3762</v>
      </c>
      <c r="B109" s="598" t="s">
        <v>507</v>
      </c>
      <c r="C109" s="598">
        <v>1946</v>
      </c>
      <c r="D109" s="599">
        <v>10491.639999999999</v>
      </c>
      <c r="E109" s="601">
        <f>Input!$C$14-C109+0.5</f>
        <v>76.5</v>
      </c>
      <c r="F109" s="600">
        <f t="shared" si="19"/>
        <v>802610.45999999996</v>
      </c>
      <c r="G109" s="600"/>
      <c r="H109" s="317"/>
      <c r="I109" s="600"/>
      <c r="J109" s="600"/>
      <c r="K109" s="600"/>
      <c r="L109" s="600"/>
      <c r="M109" s="600"/>
      <c r="N109" s="600"/>
      <c r="O109" s="600">
        <f t="shared" si="20"/>
        <v>10491.639999999999</v>
      </c>
      <c r="P109" s="601">
        <f t="shared" si="14"/>
        <v>76.5</v>
      </c>
      <c r="Q109" s="600">
        <f t="shared" si="15"/>
        <v>802610.45999999996</v>
      </c>
      <c r="T109" s="679"/>
    </row>
    <row r="110" spans="1:20" s="598" customFormat="1" ht="15" outlineLevel="1">
      <c r="A110" s="597">
        <v>3762</v>
      </c>
      <c r="B110" s="598" t="s">
        <v>507</v>
      </c>
      <c r="C110" s="598">
        <v>1947</v>
      </c>
      <c r="D110" s="599">
        <v>2629.8699999999999</v>
      </c>
      <c r="E110" s="601">
        <f>Input!$C$14-C110+0.5</f>
        <v>75.5</v>
      </c>
      <c r="F110" s="600">
        <f t="shared" si="19"/>
        <v>198555.185</v>
      </c>
      <c r="G110" s="600"/>
      <c r="H110" s="317"/>
      <c r="I110" s="600"/>
      <c r="J110" s="600"/>
      <c r="K110" s="600"/>
      <c r="L110" s="600"/>
      <c r="M110" s="600"/>
      <c r="N110" s="600"/>
      <c r="O110" s="600">
        <f t="shared" si="20"/>
        <v>2629.8699999999999</v>
      </c>
      <c r="P110" s="601">
        <f t="shared" si="14"/>
        <v>75.5</v>
      </c>
      <c r="Q110" s="600">
        <f t="shared" si="15"/>
        <v>198555.185</v>
      </c>
      <c r="T110" s="679"/>
    </row>
    <row r="111" spans="1:20" s="598" customFormat="1" ht="15" outlineLevel="1">
      <c r="A111" s="597">
        <v>3762</v>
      </c>
      <c r="B111" s="598" t="s">
        <v>507</v>
      </c>
      <c r="C111" s="598">
        <v>1948</v>
      </c>
      <c r="D111" s="599">
        <v>16191.049999999999</v>
      </c>
      <c r="E111" s="601">
        <f>Input!$C$14-C111+0.5</f>
        <v>74.5</v>
      </c>
      <c r="F111" s="600">
        <f t="shared" si="19"/>
        <v>1206233.2249999999</v>
      </c>
      <c r="G111" s="600"/>
      <c r="H111" s="317"/>
      <c r="I111" s="600"/>
      <c r="J111" s="600"/>
      <c r="K111" s="600"/>
      <c r="L111" s="600"/>
      <c r="M111" s="600"/>
      <c r="N111" s="600"/>
      <c r="O111" s="600">
        <f t="shared" si="20"/>
        <v>16191.049999999999</v>
      </c>
      <c r="P111" s="601">
        <f t="shared" si="14"/>
        <v>74.5</v>
      </c>
      <c r="Q111" s="600">
        <f t="shared" si="15"/>
        <v>1206233.2249999999</v>
      </c>
      <c r="T111" s="679"/>
    </row>
    <row r="112" spans="1:20" s="598" customFormat="1" ht="15" outlineLevel="1">
      <c r="A112" s="597">
        <v>3762</v>
      </c>
      <c r="B112" s="598" t="s">
        <v>507</v>
      </c>
      <c r="C112" s="598">
        <v>1949</v>
      </c>
      <c r="D112" s="599">
        <v>10549.029999999999</v>
      </c>
      <c r="E112" s="601">
        <f>Input!$C$14-C112+0.5</f>
        <v>73.5</v>
      </c>
      <c r="F112" s="600">
        <f t="shared" si="19"/>
        <v>775353.70499999996</v>
      </c>
      <c r="G112" s="600"/>
      <c r="H112" s="317"/>
      <c r="I112" s="600"/>
      <c r="J112" s="600"/>
      <c r="K112" s="600"/>
      <c r="L112" s="600"/>
      <c r="M112" s="600"/>
      <c r="N112" s="600"/>
      <c r="O112" s="600">
        <f t="shared" si="20"/>
        <v>10549.029999999999</v>
      </c>
      <c r="P112" s="601">
        <f t="shared" si="14"/>
        <v>73.5</v>
      </c>
      <c r="Q112" s="600">
        <f t="shared" si="15"/>
        <v>775353.70499999996</v>
      </c>
      <c r="T112" s="679"/>
    </row>
    <row r="113" spans="1:20" s="598" customFormat="1" ht="15" outlineLevel="1">
      <c r="A113" s="597">
        <v>3762</v>
      </c>
      <c r="B113" s="598" t="s">
        <v>507</v>
      </c>
      <c r="C113" s="598">
        <v>1950</v>
      </c>
      <c r="D113" s="599">
        <v>31.59</v>
      </c>
      <c r="E113" s="601">
        <f>Input!$C$14-C113+0.5</f>
        <v>72.5</v>
      </c>
      <c r="F113" s="600">
        <f t="shared" si="19"/>
        <v>2290.2750000000001</v>
      </c>
      <c r="G113" s="600"/>
      <c r="H113" s="317"/>
      <c r="I113" s="600"/>
      <c r="J113" s="600"/>
      <c r="K113" s="600"/>
      <c r="L113" s="600"/>
      <c r="M113" s="600"/>
      <c r="N113" s="600"/>
      <c r="O113" s="600">
        <f t="shared" si="20"/>
        <v>31.59</v>
      </c>
      <c r="P113" s="601">
        <f t="shared" si="14"/>
        <v>72.5</v>
      </c>
      <c r="Q113" s="600">
        <f t="shared" si="15"/>
        <v>2290.2750000000001</v>
      </c>
      <c r="T113" s="679"/>
    </row>
    <row r="114" spans="1:20" s="598" customFormat="1" ht="15" outlineLevel="1">
      <c r="A114" s="597">
        <v>3762</v>
      </c>
      <c r="B114" s="598" t="s">
        <v>507</v>
      </c>
      <c r="C114" s="598">
        <v>1951</v>
      </c>
      <c r="D114" s="599">
        <v>334.13</v>
      </c>
      <c r="E114" s="601">
        <f>Input!$C$14-C114+0.5</f>
        <v>71.5</v>
      </c>
      <c r="F114" s="600">
        <f t="shared" si="19"/>
        <v>23890.294999999998</v>
      </c>
      <c r="G114" s="600"/>
      <c r="H114" s="317"/>
      <c r="I114" s="600"/>
      <c r="J114" s="600"/>
      <c r="K114" s="600"/>
      <c r="L114" s="600"/>
      <c r="M114" s="600"/>
      <c r="N114" s="600"/>
      <c r="O114" s="600">
        <f t="shared" si="20"/>
        <v>334.13</v>
      </c>
      <c r="P114" s="601">
        <f t="shared" si="14"/>
        <v>71.5</v>
      </c>
      <c r="Q114" s="600">
        <f t="shared" si="15"/>
        <v>23890.294999999998</v>
      </c>
      <c r="T114" s="679"/>
    </row>
    <row r="115" spans="1:20" s="598" customFormat="1" ht="15" outlineLevel="1">
      <c r="A115" s="597">
        <v>3762</v>
      </c>
      <c r="B115" s="598" t="s">
        <v>507</v>
      </c>
      <c r="C115" s="598">
        <v>1952</v>
      </c>
      <c r="D115" s="599">
        <v>5404.0699999999997</v>
      </c>
      <c r="E115" s="601">
        <f>Input!$C$14-C115+0.5</f>
        <v>70.5</v>
      </c>
      <c r="F115" s="600">
        <f t="shared" si="19"/>
        <v>380986.935</v>
      </c>
      <c r="G115" s="600"/>
      <c r="H115" s="317"/>
      <c r="I115" s="600"/>
      <c r="J115" s="600"/>
      <c r="K115" s="600"/>
      <c r="L115" s="600"/>
      <c r="M115" s="600"/>
      <c r="N115" s="600"/>
      <c r="O115" s="600">
        <f t="shared" si="20"/>
        <v>5404.0699999999997</v>
      </c>
      <c r="P115" s="601">
        <f t="shared" si="14"/>
        <v>70.5</v>
      </c>
      <c r="Q115" s="600">
        <f t="shared" si="15"/>
        <v>380986.935</v>
      </c>
      <c r="T115" s="679"/>
    </row>
    <row r="116" spans="1:20" s="598" customFormat="1" ht="15" outlineLevel="1">
      <c r="A116" s="597">
        <v>3762</v>
      </c>
      <c r="B116" s="598" t="s">
        <v>507</v>
      </c>
      <c r="C116" s="598">
        <v>1953</v>
      </c>
      <c r="D116" s="599">
        <v>10358.300000000001</v>
      </c>
      <c r="E116" s="601">
        <f>Input!$C$14-C116+0.5</f>
        <v>69.5</v>
      </c>
      <c r="F116" s="600">
        <f t="shared" si="19"/>
        <v>719901.85000000009</v>
      </c>
      <c r="G116" s="600"/>
      <c r="H116" s="317"/>
      <c r="I116" s="600"/>
      <c r="J116" s="600"/>
      <c r="K116" s="600"/>
      <c r="L116" s="600"/>
      <c r="M116" s="600"/>
      <c r="N116" s="600"/>
      <c r="O116" s="600">
        <f t="shared" si="20"/>
        <v>10358.300000000001</v>
      </c>
      <c r="P116" s="601">
        <f t="shared" si="14"/>
        <v>69.5</v>
      </c>
      <c r="Q116" s="600">
        <f t="shared" si="15"/>
        <v>719901.85000000009</v>
      </c>
      <c r="T116" s="679"/>
    </row>
    <row r="117" spans="1:20" s="598" customFormat="1" ht="15" outlineLevel="1">
      <c r="A117" s="597">
        <v>3762</v>
      </c>
      <c r="B117" s="598" t="s">
        <v>507</v>
      </c>
      <c r="C117" s="598">
        <v>1954</v>
      </c>
      <c r="D117" s="599">
        <v>8384.5600000000013</v>
      </c>
      <c r="E117" s="601">
        <f>Input!$C$14-C117+0.5</f>
        <v>68.5</v>
      </c>
      <c r="F117" s="600">
        <f t="shared" si="19"/>
        <v>574342.3600000001</v>
      </c>
      <c r="G117" s="600"/>
      <c r="H117" s="317"/>
      <c r="I117" s="600"/>
      <c r="J117" s="600"/>
      <c r="K117" s="600"/>
      <c r="L117" s="600"/>
      <c r="M117" s="600"/>
      <c r="N117" s="600"/>
      <c r="O117" s="600">
        <f t="shared" si="20"/>
        <v>8384.5600000000013</v>
      </c>
      <c r="P117" s="601">
        <f t="shared" si="14"/>
        <v>68.5</v>
      </c>
      <c r="Q117" s="600">
        <f t="shared" si="15"/>
        <v>574342.3600000001</v>
      </c>
      <c r="T117" s="679"/>
    </row>
    <row r="118" spans="1:20" s="598" customFormat="1" ht="15" outlineLevel="1">
      <c r="A118" s="597">
        <v>3762</v>
      </c>
      <c r="B118" s="598" t="s">
        <v>507</v>
      </c>
      <c r="C118" s="598">
        <v>1955</v>
      </c>
      <c r="D118" s="599">
        <v>10972.84</v>
      </c>
      <c r="E118" s="601">
        <f>Input!$C$14-C118+0.5</f>
        <v>67.5</v>
      </c>
      <c r="F118" s="600">
        <f t="shared" si="19"/>
        <v>740666.69999999995</v>
      </c>
      <c r="G118" s="600"/>
      <c r="H118" s="317"/>
      <c r="I118" s="600"/>
      <c r="J118" s="600"/>
      <c r="K118" s="600"/>
      <c r="L118" s="600"/>
      <c r="M118" s="600"/>
      <c r="N118" s="600"/>
      <c r="O118" s="600">
        <f t="shared" si="20"/>
        <v>10972.84</v>
      </c>
      <c r="P118" s="601">
        <f t="shared" si="14"/>
        <v>67.5</v>
      </c>
      <c r="Q118" s="600">
        <f t="shared" si="15"/>
        <v>740666.69999999995</v>
      </c>
      <c r="T118" s="679"/>
    </row>
    <row r="119" spans="1:20" s="598" customFormat="1" ht="15" outlineLevel="1">
      <c r="A119" s="597">
        <v>3762</v>
      </c>
      <c r="B119" s="598" t="s">
        <v>507</v>
      </c>
      <c r="C119" s="598">
        <v>1956</v>
      </c>
      <c r="D119" s="599">
        <v>9436.6700000000019</v>
      </c>
      <c r="E119" s="601">
        <f>Input!$C$14-C119+0.5</f>
        <v>66.5</v>
      </c>
      <c r="F119" s="600">
        <f t="shared" si="19"/>
        <v>627538.55500000017</v>
      </c>
      <c r="G119" s="600"/>
      <c r="H119" s="317"/>
      <c r="I119" s="600"/>
      <c r="J119" s="600"/>
      <c r="K119" s="600"/>
      <c r="L119" s="600"/>
      <c r="M119" s="600"/>
      <c r="N119" s="600"/>
      <c r="O119" s="600">
        <f t="shared" si="20"/>
        <v>9436.6700000000019</v>
      </c>
      <c r="P119" s="601">
        <f t="shared" si="14"/>
        <v>66.5</v>
      </c>
      <c r="Q119" s="600">
        <f t="shared" si="15"/>
        <v>627538.55500000017</v>
      </c>
      <c r="T119" s="679"/>
    </row>
    <row r="120" spans="1:20" s="598" customFormat="1" ht="15" outlineLevel="1">
      <c r="A120" s="597">
        <v>3762</v>
      </c>
      <c r="B120" s="598" t="s">
        <v>507</v>
      </c>
      <c r="C120" s="598">
        <v>1957</v>
      </c>
      <c r="D120" s="599">
        <v>340.17000000000002</v>
      </c>
      <c r="E120" s="601">
        <f>Input!$C$14-C120+0.5</f>
        <v>65.5</v>
      </c>
      <c r="F120" s="600">
        <f t="shared" si="19"/>
        <v>22281.135000000002</v>
      </c>
      <c r="G120" s="600"/>
      <c r="H120" s="317"/>
      <c r="I120" s="600"/>
      <c r="J120" s="600"/>
      <c r="K120" s="600"/>
      <c r="L120" s="600"/>
      <c r="M120" s="600"/>
      <c r="N120" s="600"/>
      <c r="O120" s="600">
        <f t="shared" si="20"/>
        <v>340.17000000000002</v>
      </c>
      <c r="P120" s="601">
        <f t="shared" si="14"/>
        <v>65.5</v>
      </c>
      <c r="Q120" s="600">
        <f t="shared" si="15"/>
        <v>22281.135000000002</v>
      </c>
      <c r="T120" s="679"/>
    </row>
    <row r="121" spans="1:20" s="598" customFormat="1" ht="15" outlineLevel="1">
      <c r="A121" s="597">
        <v>3762</v>
      </c>
      <c r="B121" s="598" t="s">
        <v>507</v>
      </c>
      <c r="C121" s="598">
        <v>1958</v>
      </c>
      <c r="D121" s="599">
        <v>39561.220000000001</v>
      </c>
      <c r="E121" s="601">
        <f>Input!$C$14-C121+0.5</f>
        <v>64.5</v>
      </c>
      <c r="F121" s="600">
        <f t="shared" si="19"/>
        <v>2551698.6899999999</v>
      </c>
      <c r="G121" s="600"/>
      <c r="H121" s="317"/>
      <c r="I121" s="600"/>
      <c r="J121" s="600"/>
      <c r="K121" s="600"/>
      <c r="L121" s="600"/>
      <c r="M121" s="600"/>
      <c r="N121" s="600"/>
      <c r="O121" s="600">
        <f t="shared" si="20"/>
        <v>39561.220000000001</v>
      </c>
      <c r="P121" s="601">
        <f t="shared" si="14"/>
        <v>64.5</v>
      </c>
      <c r="Q121" s="600">
        <f t="shared" si="15"/>
        <v>2551698.6899999999</v>
      </c>
      <c r="T121" s="679"/>
    </row>
    <row r="122" spans="1:20" s="598" customFormat="1" ht="15" outlineLevel="1">
      <c r="A122" s="597">
        <v>3762</v>
      </c>
      <c r="B122" s="598" t="s">
        <v>507</v>
      </c>
      <c r="C122" s="598">
        <v>1959</v>
      </c>
      <c r="D122" s="599">
        <v>305119.07000000007</v>
      </c>
      <c r="E122" s="601">
        <f>Input!$C$14-C122+0.5</f>
        <v>63.5</v>
      </c>
      <c r="F122" s="600">
        <f t="shared" si="19"/>
        <v>19375060.945000004</v>
      </c>
      <c r="G122" s="600"/>
      <c r="H122" s="317"/>
      <c r="I122" s="600"/>
      <c r="J122" s="600"/>
      <c r="K122" s="600"/>
      <c r="L122" s="600"/>
      <c r="M122" s="600"/>
      <c r="N122" s="600"/>
      <c r="O122" s="600">
        <f t="shared" si="20"/>
        <v>305119.07000000007</v>
      </c>
      <c r="P122" s="601">
        <f t="shared" si="14"/>
        <v>63.5</v>
      </c>
      <c r="Q122" s="600">
        <f t="shared" si="15"/>
        <v>19375060.945000004</v>
      </c>
      <c r="T122" s="679"/>
    </row>
    <row r="123" spans="1:20" s="598" customFormat="1" ht="15" outlineLevel="1">
      <c r="A123" s="597">
        <v>3762</v>
      </c>
      <c r="B123" s="598" t="s">
        <v>507</v>
      </c>
      <c r="C123" s="598">
        <v>1960</v>
      </c>
      <c r="D123" s="599">
        <v>265716.12999999995</v>
      </c>
      <c r="E123" s="601">
        <f>Input!$C$14-C123+0.5</f>
        <v>62.5</v>
      </c>
      <c r="F123" s="600">
        <f t="shared" si="19"/>
        <v>16607258.124999996</v>
      </c>
      <c r="G123" s="600"/>
      <c r="H123" s="317"/>
      <c r="I123" s="600"/>
      <c r="J123" s="600"/>
      <c r="K123" s="600"/>
      <c r="L123" s="600"/>
      <c r="M123" s="600"/>
      <c r="N123" s="600"/>
      <c r="O123" s="600">
        <f t="shared" si="20"/>
        <v>265716.12999999995</v>
      </c>
      <c r="P123" s="601">
        <f t="shared" si="14"/>
        <v>62.5</v>
      </c>
      <c r="Q123" s="600">
        <f t="shared" si="15"/>
        <v>16607258.124999996</v>
      </c>
      <c r="T123" s="679"/>
    </row>
    <row r="124" spans="1:20" s="598" customFormat="1" ht="15" outlineLevel="1">
      <c r="A124" s="597">
        <v>3762</v>
      </c>
      <c r="B124" s="598" t="s">
        <v>507</v>
      </c>
      <c r="C124" s="598">
        <v>1961</v>
      </c>
      <c r="D124" s="599">
        <v>484732.40000000008</v>
      </c>
      <c r="E124" s="601">
        <f>Input!$C$14-C124+0.5</f>
        <v>61.5</v>
      </c>
      <c r="F124" s="600">
        <f t="shared" si="19"/>
        <v>29811042.600000005</v>
      </c>
      <c r="G124" s="600"/>
      <c r="H124" s="317"/>
      <c r="I124" s="600"/>
      <c r="J124" s="600"/>
      <c r="K124" s="600"/>
      <c r="L124" s="600"/>
      <c r="M124" s="600"/>
      <c r="N124" s="600"/>
      <c r="O124" s="600">
        <f t="shared" si="20"/>
        <v>484732.40000000008</v>
      </c>
      <c r="P124" s="601">
        <f t="shared" si="14"/>
        <v>61.5</v>
      </c>
      <c r="Q124" s="600">
        <f t="shared" si="15"/>
        <v>29811042.600000005</v>
      </c>
      <c r="T124" s="679"/>
    </row>
    <row r="125" spans="1:20" s="598" customFormat="1" ht="15" outlineLevel="1">
      <c r="A125" s="597">
        <v>3762</v>
      </c>
      <c r="B125" s="598" t="s">
        <v>507</v>
      </c>
      <c r="C125" s="598">
        <v>1962</v>
      </c>
      <c r="D125" s="599">
        <v>447433.75</v>
      </c>
      <c r="E125" s="601">
        <f>Input!$C$14-C125+0.5</f>
        <v>60.5</v>
      </c>
      <c r="F125" s="600">
        <f t="shared" si="19"/>
        <v>27069741.875</v>
      </c>
      <c r="G125" s="600"/>
      <c r="H125" s="317"/>
      <c r="I125" s="600"/>
      <c r="J125" s="600"/>
      <c r="K125" s="600"/>
      <c r="L125" s="600"/>
      <c r="M125" s="600"/>
      <c r="N125" s="600"/>
      <c r="O125" s="600">
        <f t="shared" si="20"/>
        <v>447433.75</v>
      </c>
      <c r="P125" s="601">
        <f t="shared" si="14"/>
        <v>60.5</v>
      </c>
      <c r="Q125" s="600">
        <f t="shared" si="15"/>
        <v>27069741.875</v>
      </c>
      <c r="T125" s="679"/>
    </row>
    <row r="126" spans="1:20" s="598" customFormat="1" ht="15" outlineLevel="1">
      <c r="A126" s="597">
        <v>3762</v>
      </c>
      <c r="B126" s="598" t="s">
        <v>507</v>
      </c>
      <c r="C126" s="598">
        <v>1963</v>
      </c>
      <c r="D126" s="599">
        <v>190372.94000000003</v>
      </c>
      <c r="E126" s="601">
        <f>Input!$C$14-C126+0.5</f>
        <v>59.5</v>
      </c>
      <c r="F126" s="600">
        <f t="shared" si="19"/>
        <v>11327189.930000002</v>
      </c>
      <c r="G126" s="600"/>
      <c r="H126" s="317"/>
      <c r="I126" s="600"/>
      <c r="J126" s="600"/>
      <c r="K126" s="600"/>
      <c r="L126" s="600"/>
      <c r="M126" s="600"/>
      <c r="N126" s="600"/>
      <c r="O126" s="600">
        <f t="shared" si="20"/>
        <v>190372.94000000003</v>
      </c>
      <c r="P126" s="601">
        <f t="shared" si="14"/>
        <v>59.5</v>
      </c>
      <c r="Q126" s="600">
        <f t="shared" si="15"/>
        <v>11327189.930000002</v>
      </c>
      <c r="T126" s="679"/>
    </row>
    <row r="127" spans="1:20" s="598" customFormat="1" ht="15" outlineLevel="1">
      <c r="A127" s="597">
        <v>3762</v>
      </c>
      <c r="B127" s="598" t="s">
        <v>507</v>
      </c>
      <c r="C127" s="598">
        <v>1964</v>
      </c>
      <c r="D127" s="599">
        <v>233850.78</v>
      </c>
      <c r="E127" s="601">
        <f>Input!$C$14-C127+0.5</f>
        <v>58.5</v>
      </c>
      <c r="F127" s="600">
        <f t="shared" si="19"/>
        <v>13680270.630000001</v>
      </c>
      <c r="G127" s="600"/>
      <c r="H127" s="317"/>
      <c r="I127" s="600"/>
      <c r="J127" s="600"/>
      <c r="K127" s="600"/>
      <c r="L127" s="600"/>
      <c r="M127" s="600"/>
      <c r="N127" s="600"/>
      <c r="O127" s="600">
        <f t="shared" si="20"/>
        <v>233850.78</v>
      </c>
      <c r="P127" s="601">
        <f t="shared" si="14"/>
        <v>58.5</v>
      </c>
      <c r="Q127" s="600">
        <f t="shared" si="15"/>
        <v>13680270.630000001</v>
      </c>
      <c r="T127" s="679"/>
    </row>
    <row r="128" spans="1:20" s="598" customFormat="1" ht="15" outlineLevel="1">
      <c r="A128" s="597">
        <v>3762</v>
      </c>
      <c r="B128" s="598" t="s">
        <v>507</v>
      </c>
      <c r="C128" s="598">
        <v>1965</v>
      </c>
      <c r="D128" s="599">
        <v>446598.46000000008</v>
      </c>
      <c r="E128" s="601">
        <f>Input!$C$14-C128+0.5</f>
        <v>57.5</v>
      </c>
      <c r="F128" s="600">
        <f t="shared" si="19"/>
        <v>25679411.450000003</v>
      </c>
      <c r="G128" s="600"/>
      <c r="H128" s="317"/>
      <c r="I128" s="600"/>
      <c r="J128" s="600"/>
      <c r="K128" s="600"/>
      <c r="L128" s="600"/>
      <c r="M128" s="600"/>
      <c r="N128" s="600"/>
      <c r="O128" s="600">
        <f t="shared" si="20"/>
        <v>446598.46000000008</v>
      </c>
      <c r="P128" s="601">
        <f t="shared" si="14"/>
        <v>57.5</v>
      </c>
      <c r="Q128" s="600">
        <f t="shared" si="15"/>
        <v>25679411.450000003</v>
      </c>
      <c r="T128" s="679"/>
    </row>
    <row r="129" spans="1:20" s="598" customFormat="1" ht="15" outlineLevel="1">
      <c r="A129" s="597">
        <v>3762</v>
      </c>
      <c r="B129" s="598" t="s">
        <v>507</v>
      </c>
      <c r="C129" s="598">
        <v>1966</v>
      </c>
      <c r="D129" s="599">
        <v>151962.48000000001</v>
      </c>
      <c r="E129" s="601">
        <f>Input!$C$14-C129+0.5</f>
        <v>56.5</v>
      </c>
      <c r="F129" s="600">
        <f t="shared" si="19"/>
        <v>8585880.120000001</v>
      </c>
      <c r="G129" s="600"/>
      <c r="H129" s="317"/>
      <c r="I129" s="600"/>
      <c r="J129" s="600"/>
      <c r="K129" s="600"/>
      <c r="L129" s="600"/>
      <c r="M129" s="600"/>
      <c r="N129" s="600"/>
      <c r="O129" s="600">
        <f t="shared" si="20"/>
        <v>151962.48000000001</v>
      </c>
      <c r="P129" s="601">
        <f t="shared" si="14"/>
        <v>56.5</v>
      </c>
      <c r="Q129" s="600">
        <f t="shared" si="15"/>
        <v>8585880.120000001</v>
      </c>
      <c r="T129" s="679"/>
    </row>
    <row r="130" spans="1:20" s="598" customFormat="1" ht="15" outlineLevel="1">
      <c r="A130" s="597">
        <v>3762</v>
      </c>
      <c r="B130" s="598" t="s">
        <v>507</v>
      </c>
      <c r="C130" s="598">
        <v>1967</v>
      </c>
      <c r="D130" s="599">
        <v>401905.34000000003</v>
      </c>
      <c r="E130" s="601">
        <f>Input!$C$14-C130+0.5</f>
        <v>55.5</v>
      </c>
      <c r="F130" s="600">
        <f t="shared" si="19"/>
        <v>22305746.370000001</v>
      </c>
      <c r="G130" s="600"/>
      <c r="H130" s="317"/>
      <c r="I130" s="600"/>
      <c r="J130" s="600"/>
      <c r="K130" s="600"/>
      <c r="L130" s="600"/>
      <c r="M130" s="600"/>
      <c r="N130" s="600"/>
      <c r="O130" s="600">
        <f t="shared" si="20"/>
        <v>401905.34000000003</v>
      </c>
      <c r="P130" s="601">
        <f t="shared" si="14"/>
        <v>55.5</v>
      </c>
      <c r="Q130" s="600">
        <f t="shared" si="15"/>
        <v>22305746.370000001</v>
      </c>
      <c r="T130" s="679"/>
    </row>
    <row r="131" spans="1:20" s="598" customFormat="1" ht="15" outlineLevel="1">
      <c r="A131" s="597">
        <v>3762</v>
      </c>
      <c r="B131" s="598" t="s">
        <v>507</v>
      </c>
      <c r="C131" s="598">
        <v>1968</v>
      </c>
      <c r="D131" s="599">
        <f>240648.78+159722.03-1633.5</f>
        <v>398737.31</v>
      </c>
      <c r="E131" s="601">
        <f>Input!$C$14-C131+0.5</f>
        <v>54.5</v>
      </c>
      <c r="F131" s="600">
        <f t="shared" si="19"/>
        <v>21731183.395</v>
      </c>
      <c r="G131" s="600"/>
      <c r="H131" s="317"/>
      <c r="I131" s="600"/>
      <c r="J131" s="600"/>
      <c r="K131" s="600"/>
      <c r="L131" s="600">
        <v>-966.16000000000008</v>
      </c>
      <c r="M131" s="600"/>
      <c r="N131" s="600"/>
      <c r="O131" s="600">
        <f t="shared" si="20"/>
        <v>397771.15000000002</v>
      </c>
      <c r="P131" s="601">
        <f t="shared" si="14"/>
        <v>54.5</v>
      </c>
      <c r="Q131" s="600">
        <f t="shared" si="15"/>
        <v>21678527.675000001</v>
      </c>
      <c r="T131" s="679"/>
    </row>
    <row r="132" spans="1:20" s="598" customFormat="1" ht="15" outlineLevel="1">
      <c r="A132" s="597">
        <v>3762</v>
      </c>
      <c r="B132" s="598" t="s">
        <v>507</v>
      </c>
      <c r="C132" s="598">
        <v>1969</v>
      </c>
      <c r="D132" s="599">
        <v>215317.14000000001</v>
      </c>
      <c r="E132" s="601">
        <f>Input!$C$14-C132+0.5</f>
        <v>53.5</v>
      </c>
      <c r="F132" s="600">
        <f t="shared" si="19"/>
        <v>11519466.99</v>
      </c>
      <c r="G132" s="600"/>
      <c r="H132" s="317"/>
      <c r="I132" s="600"/>
      <c r="J132" s="600"/>
      <c r="K132" s="600"/>
      <c r="L132" s="600"/>
      <c r="M132" s="600"/>
      <c r="N132" s="600"/>
      <c r="O132" s="600">
        <f t="shared" si="20"/>
        <v>215317.14000000001</v>
      </c>
      <c r="P132" s="601">
        <f t="shared" si="14"/>
        <v>53.5</v>
      </c>
      <c r="Q132" s="600">
        <f t="shared" si="15"/>
        <v>11519466.99</v>
      </c>
      <c r="T132" s="679"/>
    </row>
    <row r="133" spans="1:20" s="598" customFormat="1" ht="15" outlineLevel="1">
      <c r="A133" s="597">
        <v>3762</v>
      </c>
      <c r="B133" s="598" t="s">
        <v>507</v>
      </c>
      <c r="C133" s="598">
        <v>1970</v>
      </c>
      <c r="D133" s="599">
        <f>99078.54+134805</f>
        <v>233883.53999999998</v>
      </c>
      <c r="E133" s="601">
        <f>Input!$C$14-C133+0.5</f>
        <v>52.5</v>
      </c>
      <c r="F133" s="600">
        <f t="shared" si="19"/>
        <v>12278885.85</v>
      </c>
      <c r="G133" s="600"/>
      <c r="H133" s="317"/>
      <c r="I133" s="600"/>
      <c r="J133" s="600"/>
      <c r="K133" s="600"/>
      <c r="L133" s="600"/>
      <c r="M133" s="600"/>
      <c r="N133" s="600"/>
      <c r="O133" s="600">
        <f t="shared" si="20"/>
        <v>233883.53999999998</v>
      </c>
      <c r="P133" s="601">
        <f t="shared" si="14"/>
        <v>52.5</v>
      </c>
      <c r="Q133" s="600">
        <f t="shared" si="15"/>
        <v>12278885.85</v>
      </c>
      <c r="T133" s="679"/>
    </row>
    <row r="134" spans="1:20" s="598" customFormat="1" ht="15" outlineLevel="1">
      <c r="A134" s="597">
        <v>3762</v>
      </c>
      <c r="B134" s="598" t="s">
        <v>507</v>
      </c>
      <c r="C134" s="598">
        <v>1971</v>
      </c>
      <c r="D134" s="599">
        <v>411533.77000000014</v>
      </c>
      <c r="E134" s="601">
        <f>Input!$C$14-C134+0.5</f>
        <v>51.5</v>
      </c>
      <c r="F134" s="600">
        <f t="shared" si="19"/>
        <v>21193989.155000009</v>
      </c>
      <c r="G134" s="600"/>
      <c r="H134" s="317"/>
      <c r="I134" s="600"/>
      <c r="J134" s="600"/>
      <c r="K134" s="600"/>
      <c r="L134" s="600"/>
      <c r="M134" s="600"/>
      <c r="N134" s="600"/>
      <c r="O134" s="600">
        <f t="shared" si="20"/>
        <v>411533.77000000014</v>
      </c>
      <c r="P134" s="601">
        <f t="shared" si="21" ref="P134:P195">E134</f>
        <v>51.5</v>
      </c>
      <c r="Q134" s="600">
        <f t="shared" si="22" ref="Q134:Q195">O134*P134</f>
        <v>21193989.155000009</v>
      </c>
      <c r="T134" s="679"/>
    </row>
    <row r="135" spans="1:20" s="598" customFormat="1" ht="15" outlineLevel="1">
      <c r="A135" s="597">
        <v>3762</v>
      </c>
      <c r="B135" s="598" t="s">
        <v>507</v>
      </c>
      <c r="C135" s="598">
        <v>1972</v>
      </c>
      <c r="D135" s="599">
        <v>280658.04999999993</v>
      </c>
      <c r="E135" s="601">
        <f>Input!$C$14-C135+0.5</f>
        <v>50.5</v>
      </c>
      <c r="F135" s="600">
        <f t="shared" si="19"/>
        <v>14173231.524999997</v>
      </c>
      <c r="G135" s="600"/>
      <c r="H135" s="317"/>
      <c r="I135" s="600"/>
      <c r="J135" s="600"/>
      <c r="K135" s="600"/>
      <c r="L135" s="600"/>
      <c r="M135" s="600"/>
      <c r="N135" s="600"/>
      <c r="O135" s="600">
        <f t="shared" si="20"/>
        <v>280658.04999999993</v>
      </c>
      <c r="P135" s="601">
        <f t="shared" si="21"/>
        <v>50.5</v>
      </c>
      <c r="Q135" s="600">
        <f t="shared" si="22"/>
        <v>14173231.524999997</v>
      </c>
      <c r="T135" s="679"/>
    </row>
    <row r="136" spans="1:20" s="598" customFormat="1" ht="15" outlineLevel="1">
      <c r="A136" s="597">
        <v>3762</v>
      </c>
      <c r="B136" s="598" t="s">
        <v>507</v>
      </c>
      <c r="C136" s="598">
        <v>1973</v>
      </c>
      <c r="D136" s="599">
        <v>240900.76999999999</v>
      </c>
      <c r="E136" s="601">
        <f>Input!$C$14-C136+0.5</f>
        <v>49.5</v>
      </c>
      <c r="F136" s="600">
        <f t="shared" si="19"/>
        <v>11924588.115</v>
      </c>
      <c r="G136" s="600"/>
      <c r="H136" s="317"/>
      <c r="I136" s="600"/>
      <c r="J136" s="600"/>
      <c r="K136" s="600"/>
      <c r="L136" s="600"/>
      <c r="M136" s="600"/>
      <c r="N136" s="600"/>
      <c r="O136" s="600">
        <f t="shared" si="20"/>
        <v>240900.76999999999</v>
      </c>
      <c r="P136" s="601">
        <f t="shared" si="21"/>
        <v>49.5</v>
      </c>
      <c r="Q136" s="600">
        <f t="shared" si="22"/>
        <v>11924588.115</v>
      </c>
      <c r="T136" s="679"/>
    </row>
    <row r="137" spans="1:20" s="598" customFormat="1" ht="15" outlineLevel="1">
      <c r="A137" s="597">
        <v>3762</v>
      </c>
      <c r="B137" s="598" t="s">
        <v>507</v>
      </c>
      <c r="C137" s="598">
        <v>1974</v>
      </c>
      <c r="D137" s="599">
        <v>86127.179999999993</v>
      </c>
      <c r="E137" s="601">
        <f>Input!$C$14-C137+0.5</f>
        <v>48.5</v>
      </c>
      <c r="F137" s="600">
        <f t="shared" si="19"/>
        <v>4177168.2299999995</v>
      </c>
      <c r="G137" s="600"/>
      <c r="H137" s="317"/>
      <c r="I137" s="600"/>
      <c r="J137" s="600"/>
      <c r="K137" s="600"/>
      <c r="L137" s="600"/>
      <c r="M137" s="600"/>
      <c r="N137" s="600"/>
      <c r="O137" s="600">
        <f t="shared" si="20"/>
        <v>86127.179999999993</v>
      </c>
      <c r="P137" s="601">
        <f t="shared" si="21"/>
        <v>48.5</v>
      </c>
      <c r="Q137" s="600">
        <f t="shared" si="22"/>
        <v>4177168.2299999995</v>
      </c>
      <c r="T137" s="679"/>
    </row>
    <row r="138" spans="1:20" s="598" customFormat="1" ht="15" outlineLevel="1">
      <c r="A138" s="597">
        <v>3762</v>
      </c>
      <c r="B138" s="598" t="s">
        <v>507</v>
      </c>
      <c r="C138" s="598">
        <v>1975</v>
      </c>
      <c r="D138" s="599">
        <v>487972.46999999997</v>
      </c>
      <c r="E138" s="601">
        <f>Input!$C$14-C138+0.5</f>
        <v>47.5</v>
      </c>
      <c r="F138" s="600">
        <f t="shared" si="19"/>
        <v>23178692.324999999</v>
      </c>
      <c r="G138" s="600"/>
      <c r="H138" s="317"/>
      <c r="I138" s="600"/>
      <c r="J138" s="600"/>
      <c r="K138" s="600"/>
      <c r="L138" s="600"/>
      <c r="M138" s="600"/>
      <c r="N138" s="600"/>
      <c r="O138" s="600">
        <f t="shared" si="20"/>
        <v>487972.46999999997</v>
      </c>
      <c r="P138" s="601">
        <f t="shared" si="21"/>
        <v>47.5</v>
      </c>
      <c r="Q138" s="600">
        <f t="shared" si="22"/>
        <v>23178692.324999999</v>
      </c>
      <c r="T138" s="679"/>
    </row>
    <row r="139" spans="1:20" s="598" customFormat="1" ht="15" outlineLevel="1">
      <c r="A139" s="597">
        <v>3762</v>
      </c>
      <c r="B139" s="598" t="s">
        <v>507</v>
      </c>
      <c r="C139" s="598">
        <v>1976</v>
      </c>
      <c r="D139" s="599">
        <v>269978.87</v>
      </c>
      <c r="E139" s="601">
        <f>Input!$C$14-C139+0.5</f>
        <v>46.5</v>
      </c>
      <c r="F139" s="600">
        <f t="shared" si="19"/>
        <v>12554017.455</v>
      </c>
      <c r="G139" s="600"/>
      <c r="H139" s="317"/>
      <c r="I139" s="600"/>
      <c r="J139" s="600"/>
      <c r="K139" s="600"/>
      <c r="L139" s="600"/>
      <c r="M139" s="600"/>
      <c r="N139" s="600"/>
      <c r="O139" s="600">
        <f t="shared" si="20"/>
        <v>269978.87</v>
      </c>
      <c r="P139" s="601">
        <f t="shared" si="21"/>
        <v>46.5</v>
      </c>
      <c r="Q139" s="600">
        <f t="shared" si="22"/>
        <v>12554017.455</v>
      </c>
      <c r="T139" s="679"/>
    </row>
    <row r="140" spans="1:20" s="598" customFormat="1" ht="15" outlineLevel="1">
      <c r="A140" s="597">
        <v>3762</v>
      </c>
      <c r="B140" s="598" t="s">
        <v>507</v>
      </c>
      <c r="C140" s="598">
        <v>1977</v>
      </c>
      <c r="D140" s="599">
        <v>492441.16000000003</v>
      </c>
      <c r="E140" s="601">
        <f>Input!$C$14-C140+0.5</f>
        <v>45.5</v>
      </c>
      <c r="F140" s="600">
        <f t="shared" si="19"/>
        <v>22406072.780000001</v>
      </c>
      <c r="G140" s="600"/>
      <c r="H140" s="317"/>
      <c r="I140" s="600"/>
      <c r="J140" s="600"/>
      <c r="K140" s="600"/>
      <c r="L140" s="600"/>
      <c r="M140" s="600"/>
      <c r="N140" s="600"/>
      <c r="O140" s="600">
        <f t="shared" si="20"/>
        <v>492441.16000000003</v>
      </c>
      <c r="P140" s="601">
        <f t="shared" si="21"/>
        <v>45.5</v>
      </c>
      <c r="Q140" s="600">
        <f t="shared" si="22"/>
        <v>22406072.780000001</v>
      </c>
      <c r="T140" s="679"/>
    </row>
    <row r="141" spans="1:20" s="598" customFormat="1" ht="15" outlineLevel="1">
      <c r="A141" s="597">
        <v>3762</v>
      </c>
      <c r="B141" s="598" t="s">
        <v>507</v>
      </c>
      <c r="C141" s="598">
        <v>1978</v>
      </c>
      <c r="D141" s="599">
        <f>101373.87-103.86602230339</f>
        <v>101270.0039776966</v>
      </c>
      <c r="E141" s="601">
        <f>Input!$C$14-C141+0.5</f>
        <v>44.5</v>
      </c>
      <c r="F141" s="600">
        <f t="shared" si="19"/>
        <v>4506515.1770074992</v>
      </c>
      <c r="G141" s="600"/>
      <c r="H141" s="317"/>
      <c r="I141" s="600"/>
      <c r="J141" s="600"/>
      <c r="K141" s="600"/>
      <c r="L141" s="600"/>
      <c r="M141" s="600"/>
      <c r="N141" s="600"/>
      <c r="O141" s="600">
        <f t="shared" si="20"/>
        <v>101270.0039776966</v>
      </c>
      <c r="P141" s="601">
        <f t="shared" si="21"/>
        <v>44.5</v>
      </c>
      <c r="Q141" s="600">
        <f t="shared" si="22"/>
        <v>4506515.1770074992</v>
      </c>
      <c r="T141" s="679"/>
    </row>
    <row r="142" spans="1:20" s="598" customFormat="1" ht="15" outlineLevel="1">
      <c r="A142" s="597">
        <v>3762</v>
      </c>
      <c r="B142" s="598" t="s">
        <v>507</v>
      </c>
      <c r="C142" s="598">
        <v>1979</v>
      </c>
      <c r="D142" s="599">
        <f>765379.86-995.017690089247</f>
        <v>764384.84230991069</v>
      </c>
      <c r="E142" s="601">
        <f>Input!$C$14-C142+0.5</f>
        <v>43.5</v>
      </c>
      <c r="F142" s="600">
        <f t="shared" si="19"/>
        <v>33250740.640481114</v>
      </c>
      <c r="G142" s="600"/>
      <c r="H142" s="317"/>
      <c r="I142" s="600"/>
      <c r="J142" s="600"/>
      <c r="K142" s="600"/>
      <c r="L142" s="600"/>
      <c r="M142" s="600"/>
      <c r="N142" s="600"/>
      <c r="O142" s="600">
        <f t="shared" si="20"/>
        <v>764384.84230991069</v>
      </c>
      <c r="P142" s="601">
        <f t="shared" si="21"/>
        <v>43.5</v>
      </c>
      <c r="Q142" s="600">
        <f t="shared" si="22"/>
        <v>33250740.640481114</v>
      </c>
      <c r="T142" s="679"/>
    </row>
    <row r="143" spans="1:20" s="598" customFormat="1" ht="15" outlineLevel="1">
      <c r="A143" s="597">
        <v>3762</v>
      </c>
      <c r="B143" s="598" t="s">
        <v>507</v>
      </c>
      <c r="C143" s="598">
        <v>1980</v>
      </c>
      <c r="D143" s="599">
        <f>447538.73-3285.6820039237</f>
        <v>444253.04799607629</v>
      </c>
      <c r="E143" s="601">
        <f>Input!$C$14-C143+0.5</f>
        <v>42.5</v>
      </c>
      <c r="F143" s="600">
        <f t="shared" si="19"/>
        <v>18880754.539833244</v>
      </c>
      <c r="G143" s="600"/>
      <c r="H143" s="317"/>
      <c r="I143" s="600"/>
      <c r="J143" s="600"/>
      <c r="K143" s="600"/>
      <c r="L143" s="600"/>
      <c r="M143" s="600"/>
      <c r="N143" s="600"/>
      <c r="O143" s="600">
        <f t="shared" si="20"/>
        <v>444253.04799607629</v>
      </c>
      <c r="P143" s="601">
        <f t="shared" si="21"/>
        <v>42.5</v>
      </c>
      <c r="Q143" s="600">
        <f t="shared" si="22"/>
        <v>18880754.539833244</v>
      </c>
      <c r="T143" s="679"/>
    </row>
    <row r="144" spans="1:20" s="598" customFormat="1" ht="15" outlineLevel="1">
      <c r="A144" s="597">
        <v>3762</v>
      </c>
      <c r="B144" s="598" t="s">
        <v>507</v>
      </c>
      <c r="C144" s="598">
        <v>1981</v>
      </c>
      <c r="D144" s="599">
        <f>591531.64-3003.91210855347</f>
        <v>588527.72789144656</v>
      </c>
      <c r="E144" s="601">
        <f>Input!$C$14-C144+0.5</f>
        <v>41.5</v>
      </c>
      <c r="F144" s="600">
        <f t="shared" si="19"/>
        <v>24423900.707495034</v>
      </c>
      <c r="G144" s="600"/>
      <c r="H144" s="317"/>
      <c r="I144" s="600"/>
      <c r="J144" s="600"/>
      <c r="K144" s="600"/>
      <c r="L144" s="600"/>
      <c r="M144" s="600"/>
      <c r="N144" s="600"/>
      <c r="O144" s="600">
        <f t="shared" si="20"/>
        <v>588527.72789144656</v>
      </c>
      <c r="P144" s="601">
        <f t="shared" si="21"/>
        <v>41.5</v>
      </c>
      <c r="Q144" s="600">
        <f t="shared" si="22"/>
        <v>24423900.707495034</v>
      </c>
      <c r="T144" s="679"/>
    </row>
    <row r="145" spans="1:20" s="598" customFormat="1" ht="15" outlineLevel="1">
      <c r="A145" s="597">
        <v>3762</v>
      </c>
      <c r="B145" s="598" t="s">
        <v>507</v>
      </c>
      <c r="C145" s="598">
        <v>1982</v>
      </c>
      <c r="D145" s="599">
        <f>1089221.55-2980.6537929365</f>
        <v>1086240.8962070635</v>
      </c>
      <c r="E145" s="601">
        <f>Input!$C$14-C145+0.5</f>
        <v>40.5</v>
      </c>
      <c r="F145" s="600">
        <f t="shared" si="19"/>
        <v>43992756.296386071</v>
      </c>
      <c r="G145" s="600"/>
      <c r="H145" s="317"/>
      <c r="I145" s="600"/>
      <c r="J145" s="600"/>
      <c r="K145" s="600"/>
      <c r="L145" s="600"/>
      <c r="M145" s="600"/>
      <c r="N145" s="600"/>
      <c r="O145" s="600">
        <f t="shared" si="20"/>
        <v>1086240.8962070635</v>
      </c>
      <c r="P145" s="601">
        <f t="shared" si="21"/>
        <v>40.5</v>
      </c>
      <c r="Q145" s="600">
        <f t="shared" si="22"/>
        <v>43992756.296386071</v>
      </c>
      <c r="T145" s="679"/>
    </row>
    <row r="146" spans="1:20" s="598" customFormat="1" ht="15" outlineLevel="1">
      <c r="A146" s="597">
        <v>3762</v>
      </c>
      <c r="B146" s="598" t="s">
        <v>507</v>
      </c>
      <c r="C146" s="598">
        <v>1983</v>
      </c>
      <c r="D146" s="599">
        <f>382991.11-2661.1616424221</f>
        <v>380329.9483575779</v>
      </c>
      <c r="E146" s="601">
        <f>Input!$C$14-C146+0.5</f>
        <v>39.5</v>
      </c>
      <c r="F146" s="600">
        <f t="shared" si="19"/>
        <v>15023032.960124327</v>
      </c>
      <c r="G146" s="600"/>
      <c r="H146" s="317"/>
      <c r="I146" s="600"/>
      <c r="J146" s="600"/>
      <c r="K146" s="600"/>
      <c r="L146" s="600"/>
      <c r="M146" s="600"/>
      <c r="N146" s="600"/>
      <c r="O146" s="600">
        <f t="shared" si="20"/>
        <v>380329.9483575779</v>
      </c>
      <c r="P146" s="601">
        <f t="shared" si="21"/>
        <v>39.5</v>
      </c>
      <c r="Q146" s="600">
        <f t="shared" si="22"/>
        <v>15023032.960124327</v>
      </c>
      <c r="T146" s="679"/>
    </row>
    <row r="147" spans="1:20" s="598" customFormat="1" ht="15" outlineLevel="1">
      <c r="A147" s="597">
        <v>3762</v>
      </c>
      <c r="B147" s="598" t="s">
        <v>507</v>
      </c>
      <c r="C147" s="598">
        <v>1984</v>
      </c>
      <c r="D147" s="599">
        <f>515843.66-7238.52898315462</f>
        <v>508605.13101684535</v>
      </c>
      <c r="E147" s="601">
        <f>Input!$C$14-C147+0.5</f>
        <v>38.5</v>
      </c>
      <c r="F147" s="600">
        <f t="shared" si="19"/>
        <v>19581297.544148546</v>
      </c>
      <c r="G147" s="600"/>
      <c r="H147" s="317"/>
      <c r="I147" s="600"/>
      <c r="J147" s="600"/>
      <c r="K147" s="600"/>
      <c r="L147" s="600"/>
      <c r="M147" s="600"/>
      <c r="N147" s="600"/>
      <c r="O147" s="600">
        <f t="shared" si="20"/>
        <v>508605.13101684535</v>
      </c>
      <c r="P147" s="601">
        <f t="shared" si="21"/>
        <v>38.5</v>
      </c>
      <c r="Q147" s="600">
        <f t="shared" si="22"/>
        <v>19581297.544148546</v>
      </c>
      <c r="T147" s="679"/>
    </row>
    <row r="148" spans="1:20" s="598" customFormat="1" ht="15" outlineLevel="1">
      <c r="A148" s="597">
        <v>3762</v>
      </c>
      <c r="B148" s="598" t="s">
        <v>507</v>
      </c>
      <c r="C148" s="598">
        <v>1985</v>
      </c>
      <c r="D148" s="599">
        <f>3903115.33-138621.604019322</f>
        <v>3764493.7259806781</v>
      </c>
      <c r="E148" s="601">
        <f>Input!$C$14-C148+0.5</f>
        <v>37.5</v>
      </c>
      <c r="F148" s="600">
        <f t="shared" si="19"/>
        <v>141168514.72427544</v>
      </c>
      <c r="G148" s="600"/>
      <c r="H148" s="317"/>
      <c r="I148" s="600"/>
      <c r="J148" s="600"/>
      <c r="K148" s="600"/>
      <c r="L148" s="600"/>
      <c r="M148" s="600"/>
      <c r="N148" s="600"/>
      <c r="O148" s="600">
        <f t="shared" si="20"/>
        <v>3764493.7259806781</v>
      </c>
      <c r="P148" s="601">
        <f t="shared" si="21"/>
        <v>37.5</v>
      </c>
      <c r="Q148" s="600">
        <f t="shared" si="22"/>
        <v>141168514.72427544</v>
      </c>
      <c r="T148" s="679"/>
    </row>
    <row r="149" spans="1:20" s="598" customFormat="1" ht="15" outlineLevel="1">
      <c r="A149" s="597">
        <v>3762</v>
      </c>
      <c r="B149" s="598" t="s">
        <v>507</v>
      </c>
      <c r="C149" s="598">
        <v>1986</v>
      </c>
      <c r="D149" s="599">
        <f>1157158.63-14801.650634631</f>
        <v>1142356.9793653688</v>
      </c>
      <c r="E149" s="601">
        <f>Input!$C$14-C149+0.5</f>
        <v>36.5</v>
      </c>
      <c r="F149" s="600">
        <f t="shared" si="19"/>
        <v>41696029.746835962</v>
      </c>
      <c r="G149" s="600"/>
      <c r="H149" s="317"/>
      <c r="I149" s="600"/>
      <c r="J149" s="600"/>
      <c r="K149" s="600"/>
      <c r="L149" s="600"/>
      <c r="M149" s="600"/>
      <c r="N149" s="600"/>
      <c r="O149" s="600">
        <f t="shared" si="20"/>
        <v>1142356.9793653688</v>
      </c>
      <c r="P149" s="601">
        <f t="shared" si="21"/>
        <v>36.5</v>
      </c>
      <c r="Q149" s="600">
        <f t="shared" si="22"/>
        <v>41696029.746835962</v>
      </c>
      <c r="T149" s="679"/>
    </row>
    <row r="150" spans="1:20" s="598" customFormat="1" ht="15" outlineLevel="1">
      <c r="A150" s="597">
        <v>3762</v>
      </c>
      <c r="B150" s="598" t="s">
        <v>507</v>
      </c>
      <c r="C150" s="598">
        <v>1987</v>
      </c>
      <c r="D150" s="599">
        <f>608982.48-13.0227118098375</f>
        <v>608969.45728819014</v>
      </c>
      <c r="E150" s="601">
        <f>Input!$C$14-C150+0.5</f>
        <v>35.5</v>
      </c>
      <c r="F150" s="600">
        <f t="shared" si="19"/>
        <v>21618415.733730748</v>
      </c>
      <c r="G150" s="600"/>
      <c r="H150" s="317"/>
      <c r="I150" s="600"/>
      <c r="J150" s="600"/>
      <c r="K150" s="600"/>
      <c r="L150" s="600"/>
      <c r="M150" s="600"/>
      <c r="N150" s="600"/>
      <c r="O150" s="600">
        <f t="shared" si="20"/>
        <v>608969.45728819014</v>
      </c>
      <c r="P150" s="601">
        <f t="shared" si="21"/>
        <v>35.5</v>
      </c>
      <c r="Q150" s="600">
        <f t="shared" si="22"/>
        <v>21618415.733730748</v>
      </c>
      <c r="T150" s="679"/>
    </row>
    <row r="151" spans="1:20" s="598" customFormat="1" ht="15" outlineLevel="1">
      <c r="A151" s="597">
        <v>3762</v>
      </c>
      <c r="B151" s="598" t="s">
        <v>507</v>
      </c>
      <c r="C151" s="598">
        <v>1988</v>
      </c>
      <c r="D151" s="599">
        <f>1120709.69-21096.8634079324</f>
        <v>1099612.8265920675</v>
      </c>
      <c r="E151" s="601">
        <f>Input!$C$14-C151+0.5</f>
        <v>34.5</v>
      </c>
      <c r="F151" s="600">
        <f t="shared" si="19"/>
        <v>37936642.517426327</v>
      </c>
      <c r="G151" s="600"/>
      <c r="H151" s="317"/>
      <c r="I151" s="600"/>
      <c r="J151" s="600"/>
      <c r="K151" s="600"/>
      <c r="L151" s="600"/>
      <c r="M151" s="600"/>
      <c r="N151" s="600"/>
      <c r="O151" s="600">
        <f t="shared" si="20"/>
        <v>1099612.8265920675</v>
      </c>
      <c r="P151" s="601">
        <f t="shared" si="21"/>
        <v>34.5</v>
      </c>
      <c r="Q151" s="600">
        <f t="shared" si="22"/>
        <v>37936642.517426327</v>
      </c>
      <c r="T151" s="679"/>
    </row>
    <row r="152" spans="1:20" s="598" customFormat="1" ht="15" outlineLevel="1">
      <c r="A152" s="597">
        <v>3762</v>
      </c>
      <c r="B152" s="598" t="s">
        <v>507</v>
      </c>
      <c r="C152" s="598">
        <v>1989</v>
      </c>
      <c r="D152" s="599">
        <f>692006.15-2080.59796655947</f>
        <v>689925.55203344056</v>
      </c>
      <c r="E152" s="601">
        <f>Input!$C$14-C152+0.5</f>
        <v>33.5</v>
      </c>
      <c r="F152" s="600">
        <f t="shared" si="19"/>
        <v>23112505.993120261</v>
      </c>
      <c r="G152" s="600"/>
      <c r="H152" s="317"/>
      <c r="I152" s="600"/>
      <c r="J152" s="600"/>
      <c r="K152" s="600"/>
      <c r="L152" s="600"/>
      <c r="M152" s="600"/>
      <c r="N152" s="600"/>
      <c r="O152" s="600">
        <f t="shared" si="20"/>
        <v>689925.55203344056</v>
      </c>
      <c r="P152" s="601">
        <f t="shared" si="21"/>
        <v>33.5</v>
      </c>
      <c r="Q152" s="600">
        <f t="shared" si="22"/>
        <v>23112505.993120261</v>
      </c>
      <c r="T152" s="679"/>
    </row>
    <row r="153" spans="1:20" s="598" customFormat="1" ht="15" outlineLevel="1">
      <c r="A153" s="597">
        <v>3762</v>
      </c>
      <c r="B153" s="598" t="s">
        <v>507</v>
      </c>
      <c r="C153" s="598">
        <v>1990</v>
      </c>
      <c r="D153" s="599">
        <f>446920.7-1067.32865070955</f>
        <v>445853.37134929048</v>
      </c>
      <c r="E153" s="601">
        <f>Input!$C$14-C153+0.5</f>
        <v>32.5</v>
      </c>
      <c r="F153" s="600">
        <f t="shared" si="19"/>
        <v>14490234.56885194</v>
      </c>
      <c r="G153" s="600"/>
      <c r="H153" s="317"/>
      <c r="I153" s="600"/>
      <c r="J153" s="600"/>
      <c r="K153" s="600"/>
      <c r="L153" s="600"/>
      <c r="M153" s="600"/>
      <c r="N153" s="600"/>
      <c r="O153" s="600">
        <f t="shared" si="20"/>
        <v>445853.37134929048</v>
      </c>
      <c r="P153" s="601">
        <f t="shared" si="21"/>
        <v>32.5</v>
      </c>
      <c r="Q153" s="600">
        <f t="shared" si="22"/>
        <v>14490234.56885194</v>
      </c>
      <c r="T153" s="679"/>
    </row>
    <row r="154" spans="1:20" s="598" customFormat="1" ht="15" outlineLevel="1">
      <c r="A154" s="597">
        <v>3762</v>
      </c>
      <c r="B154" s="598" t="s">
        <v>507</v>
      </c>
      <c r="C154" s="598">
        <v>1991</v>
      </c>
      <c r="D154" s="599">
        <f>439794.78-1188.27819776389</f>
        <v>438606.50180223613</v>
      </c>
      <c r="E154" s="601">
        <f>Input!$C$14-C154+0.5</f>
        <v>31.5</v>
      </c>
      <c r="F154" s="600">
        <f t="shared" si="19"/>
        <v>13816104.806770438</v>
      </c>
      <c r="G154" s="600"/>
      <c r="H154" s="317"/>
      <c r="I154" s="600"/>
      <c r="J154" s="600"/>
      <c r="K154" s="600"/>
      <c r="L154" s="600"/>
      <c r="M154" s="600"/>
      <c r="N154" s="600"/>
      <c r="O154" s="600">
        <f t="shared" si="20"/>
        <v>438606.50180223613</v>
      </c>
      <c r="P154" s="601">
        <f t="shared" si="21"/>
        <v>31.5</v>
      </c>
      <c r="Q154" s="600">
        <f t="shared" si="22"/>
        <v>13816104.806770438</v>
      </c>
      <c r="T154" s="679"/>
    </row>
    <row r="155" spans="1:20" s="598" customFormat="1" ht="15" outlineLevel="1">
      <c r="A155" s="597">
        <v>3762</v>
      </c>
      <c r="B155" s="598" t="s">
        <v>507</v>
      </c>
      <c r="C155" s="598">
        <v>1992</v>
      </c>
      <c r="D155" s="599">
        <f>1909147.19-3076.08783536581</f>
        <v>1906071.102164634</v>
      </c>
      <c r="E155" s="601">
        <f>Input!$C$14-C155+0.5</f>
        <v>30.5</v>
      </c>
      <c r="F155" s="600">
        <f t="shared" si="19"/>
        <v>58135168.616021335</v>
      </c>
      <c r="G155" s="600"/>
      <c r="H155" s="317"/>
      <c r="I155" s="600"/>
      <c r="J155" s="600"/>
      <c r="K155" s="600"/>
      <c r="L155" s="600"/>
      <c r="M155" s="600"/>
      <c r="N155" s="600"/>
      <c r="O155" s="600">
        <f t="shared" si="20"/>
        <v>1906071.102164634</v>
      </c>
      <c r="P155" s="601">
        <f t="shared" si="21"/>
        <v>30.5</v>
      </c>
      <c r="Q155" s="600">
        <f t="shared" si="22"/>
        <v>58135168.616021335</v>
      </c>
      <c r="T155" s="679"/>
    </row>
    <row r="156" spans="1:20" s="598" customFormat="1" ht="15" outlineLevel="1">
      <c r="A156" s="597">
        <v>3762</v>
      </c>
      <c r="B156" s="598" t="s">
        <v>507</v>
      </c>
      <c r="C156" s="598">
        <v>1993</v>
      </c>
      <c r="D156" s="599">
        <f>603455.65-2374.7816417335</f>
        <v>601080.86835826654</v>
      </c>
      <c r="E156" s="601">
        <f>Input!$C$14-C156+0.5</f>
        <v>29.5</v>
      </c>
      <c r="F156" s="600">
        <f t="shared" si="19"/>
        <v>17731885.616568863</v>
      </c>
      <c r="G156" s="600"/>
      <c r="H156" s="317"/>
      <c r="I156" s="600"/>
      <c r="J156" s="600"/>
      <c r="K156" s="600"/>
      <c r="L156" s="600"/>
      <c r="M156" s="600"/>
      <c r="N156" s="600"/>
      <c r="O156" s="600">
        <f t="shared" si="20"/>
        <v>601080.86835826654</v>
      </c>
      <c r="P156" s="601">
        <f t="shared" si="21"/>
        <v>29.5</v>
      </c>
      <c r="Q156" s="600">
        <f t="shared" si="22"/>
        <v>17731885.616568863</v>
      </c>
      <c r="T156" s="679"/>
    </row>
    <row r="157" spans="1:20" s="598" customFormat="1" ht="15" outlineLevel="1">
      <c r="A157" s="597">
        <v>3762</v>
      </c>
      <c r="B157" s="598" t="s">
        <v>507</v>
      </c>
      <c r="C157" s="598">
        <v>1994</v>
      </c>
      <c r="D157" s="599">
        <f>1909876.78-46135.5735124814</f>
        <v>1863741.2064875187</v>
      </c>
      <c r="E157" s="601">
        <f>Input!$C$14-C157+0.5</f>
        <v>28.5</v>
      </c>
      <c r="F157" s="600">
        <f t="shared" si="19"/>
        <v>53116624.384894282</v>
      </c>
      <c r="G157" s="600"/>
      <c r="H157" s="317"/>
      <c r="I157" s="600"/>
      <c r="J157" s="600"/>
      <c r="K157" s="600"/>
      <c r="L157" s="600"/>
      <c r="M157" s="600"/>
      <c r="N157" s="600"/>
      <c r="O157" s="600">
        <f t="shared" si="20"/>
        <v>1863741.2064875187</v>
      </c>
      <c r="P157" s="601">
        <f t="shared" si="21"/>
        <v>28.5</v>
      </c>
      <c r="Q157" s="600">
        <f t="shared" si="22"/>
        <v>53116624.384894282</v>
      </c>
      <c r="T157" s="679"/>
    </row>
    <row r="158" spans="1:20" s="598" customFormat="1" ht="15" outlineLevel="1">
      <c r="A158" s="597">
        <v>3762</v>
      </c>
      <c r="B158" s="598" t="s">
        <v>507</v>
      </c>
      <c r="C158" s="598">
        <v>1995</v>
      </c>
      <c r="D158" s="599">
        <f>955723.06-7788.74520484958</f>
        <v>947934.31479515042</v>
      </c>
      <c r="E158" s="601">
        <f>Input!$C$14-C158+0.5</f>
        <v>27.5</v>
      </c>
      <c r="F158" s="600">
        <f t="shared" si="19"/>
        <v>26068193.656866636</v>
      </c>
      <c r="G158" s="600"/>
      <c r="H158" s="317"/>
      <c r="I158" s="600"/>
      <c r="J158" s="600"/>
      <c r="K158" s="600"/>
      <c r="L158" s="600"/>
      <c r="M158" s="600"/>
      <c r="N158" s="600"/>
      <c r="O158" s="600">
        <f t="shared" si="20"/>
        <v>947934.31479515042</v>
      </c>
      <c r="P158" s="601">
        <f t="shared" si="21"/>
        <v>27.5</v>
      </c>
      <c r="Q158" s="600">
        <f t="shared" si="22"/>
        <v>26068193.656866636</v>
      </c>
      <c r="T158" s="679"/>
    </row>
    <row r="159" spans="1:20" s="598" customFormat="1" ht="15" outlineLevel="1">
      <c r="A159" s="597">
        <v>3762</v>
      </c>
      <c r="B159" s="598" t="s">
        <v>507</v>
      </c>
      <c r="C159" s="598">
        <v>1996</v>
      </c>
      <c r="D159" s="599">
        <f>1012228.3-1550.89853690842</f>
        <v>1010677.4014630916</v>
      </c>
      <c r="E159" s="601">
        <f>Input!$C$14-C159+0.5</f>
        <v>26.5</v>
      </c>
      <c r="F159" s="600">
        <f t="shared" si="19"/>
        <v>26782951.138771929</v>
      </c>
      <c r="G159" s="600"/>
      <c r="H159" s="317"/>
      <c r="I159" s="600"/>
      <c r="J159" s="600"/>
      <c r="K159" s="600"/>
      <c r="L159" s="600"/>
      <c r="M159" s="600"/>
      <c r="N159" s="600"/>
      <c r="O159" s="600">
        <f t="shared" si="20"/>
        <v>1010677.4014630916</v>
      </c>
      <c r="P159" s="601">
        <f t="shared" si="21"/>
        <v>26.5</v>
      </c>
      <c r="Q159" s="600">
        <f t="shared" si="22"/>
        <v>26782951.138771929</v>
      </c>
      <c r="T159" s="679"/>
    </row>
    <row r="160" spans="1:20" s="598" customFormat="1" ht="15" outlineLevel="1">
      <c r="A160" s="597">
        <v>3762</v>
      </c>
      <c r="B160" s="598" t="s">
        <v>507</v>
      </c>
      <c r="C160" s="598">
        <v>1997</v>
      </c>
      <c r="D160" s="599">
        <f>566808.45-7158.9761761443</f>
        <v>559649.47382385563</v>
      </c>
      <c r="E160" s="601">
        <f>Input!$C$14-C160+0.5</f>
        <v>25.5</v>
      </c>
      <c r="F160" s="600">
        <f t="shared" si="19"/>
        <v>14271061.582508318</v>
      </c>
      <c r="G160" s="600"/>
      <c r="H160" s="317"/>
      <c r="I160" s="600"/>
      <c r="J160" s="600"/>
      <c r="K160" s="600"/>
      <c r="L160" s="600"/>
      <c r="M160" s="600"/>
      <c r="N160" s="600"/>
      <c r="O160" s="600">
        <f t="shared" si="20"/>
        <v>559649.47382385563</v>
      </c>
      <c r="P160" s="601">
        <f t="shared" si="21"/>
        <v>25.5</v>
      </c>
      <c r="Q160" s="600">
        <f t="shared" si="22"/>
        <v>14271061.582508318</v>
      </c>
      <c r="T160" s="679"/>
    </row>
    <row r="161" spans="1:20" s="598" customFormat="1" ht="15" outlineLevel="1">
      <c r="A161" s="597">
        <v>3762</v>
      </c>
      <c r="B161" s="598" t="s">
        <v>507</v>
      </c>
      <c r="C161" s="598">
        <v>1998</v>
      </c>
      <c r="D161" s="599">
        <f>577938.17-21584.9301981161</f>
        <v>556353.23980188393</v>
      </c>
      <c r="E161" s="601">
        <f>Input!$C$14-C161+0.5</f>
        <v>24.5</v>
      </c>
      <c r="F161" s="600">
        <f t="shared" si="19"/>
        <v>13630654.375146156</v>
      </c>
      <c r="G161" s="600"/>
      <c r="H161" s="317"/>
      <c r="I161" s="600"/>
      <c r="J161" s="600"/>
      <c r="K161" s="600"/>
      <c r="L161" s="600"/>
      <c r="M161" s="600"/>
      <c r="N161" s="600"/>
      <c r="O161" s="600">
        <f t="shared" si="20"/>
        <v>556353.23980188393</v>
      </c>
      <c r="P161" s="601">
        <f t="shared" si="21"/>
        <v>24.5</v>
      </c>
      <c r="Q161" s="600">
        <f t="shared" si="22"/>
        <v>13630654.375146156</v>
      </c>
      <c r="T161" s="679"/>
    </row>
    <row r="162" spans="1:20" s="598" customFormat="1" ht="15" outlineLevel="1">
      <c r="A162" s="597">
        <v>3762</v>
      </c>
      <c r="B162" s="598" t="s">
        <v>507</v>
      </c>
      <c r="C162" s="598">
        <v>1999</v>
      </c>
      <c r="D162" s="599">
        <f>676531.39-16231.2398873611</f>
        <v>660300.15011263895</v>
      </c>
      <c r="E162" s="601">
        <f>Input!$C$14-C162+0.5</f>
        <v>23.5</v>
      </c>
      <c r="F162" s="600">
        <f t="shared" si="19"/>
        <v>15517053.527647015</v>
      </c>
      <c r="G162" s="600"/>
      <c r="H162" s="317"/>
      <c r="I162" s="600"/>
      <c r="J162" s="600"/>
      <c r="K162" s="600"/>
      <c r="L162" s="600"/>
      <c r="M162" s="600"/>
      <c r="N162" s="600"/>
      <c r="O162" s="600">
        <f t="shared" si="20"/>
        <v>660300.15011263895</v>
      </c>
      <c r="P162" s="601">
        <f t="shared" si="21"/>
        <v>23.5</v>
      </c>
      <c r="Q162" s="600">
        <f t="shared" si="22"/>
        <v>15517053.527647015</v>
      </c>
      <c r="T162" s="679"/>
    </row>
    <row r="163" spans="1:20" s="598" customFormat="1" ht="15" outlineLevel="1">
      <c r="A163" s="597">
        <v>3762</v>
      </c>
      <c r="B163" s="598" t="s">
        <v>507</v>
      </c>
      <c r="C163" s="598">
        <v>2000</v>
      </c>
      <c r="D163" s="599">
        <f>44533.57</f>
        <v>44533.57</v>
      </c>
      <c r="E163" s="601">
        <f>Input!$C$14-C163+0.5</f>
        <v>22.5</v>
      </c>
      <c r="F163" s="600">
        <f t="shared" si="19"/>
        <v>1002005.325</v>
      </c>
      <c r="G163" s="600"/>
      <c r="H163" s="317"/>
      <c r="I163" s="600"/>
      <c r="J163" s="600"/>
      <c r="K163" s="600"/>
      <c r="L163" s="600"/>
      <c r="M163" s="600"/>
      <c r="N163" s="600"/>
      <c r="O163" s="600">
        <f t="shared" si="20"/>
        <v>44533.57</v>
      </c>
      <c r="P163" s="601">
        <f t="shared" si="21"/>
        <v>22.5</v>
      </c>
      <c r="Q163" s="600">
        <f t="shared" si="22"/>
        <v>1002005.325</v>
      </c>
      <c r="T163" s="679"/>
    </row>
    <row r="164" spans="1:20" s="598" customFormat="1" ht="15" outlineLevel="1">
      <c r="A164" s="597">
        <v>3762</v>
      </c>
      <c r="B164" s="598" t="s">
        <v>507</v>
      </c>
      <c r="C164" s="598">
        <v>2001</v>
      </c>
      <c r="D164" s="599">
        <f>2255500.26+305039.400825071</f>
        <v>2560539.6608250709</v>
      </c>
      <c r="E164" s="601">
        <f>Input!$C$14-C164+0.5</f>
        <v>21.5</v>
      </c>
      <c r="F164" s="600">
        <f t="shared" si="19"/>
        <v>55051602.707739025</v>
      </c>
      <c r="G164" s="600"/>
      <c r="H164" s="317"/>
      <c r="I164" s="600"/>
      <c r="J164" s="600"/>
      <c r="K164" s="600"/>
      <c r="L164" s="600"/>
      <c r="M164" s="600"/>
      <c r="N164" s="600"/>
      <c r="O164" s="600">
        <f t="shared" si="20"/>
        <v>2560539.6608250709</v>
      </c>
      <c r="P164" s="601">
        <f t="shared" si="21"/>
        <v>21.5</v>
      </c>
      <c r="Q164" s="600">
        <f t="shared" si="22"/>
        <v>55051602.707739025</v>
      </c>
      <c r="T164" s="679"/>
    </row>
    <row r="165" spans="1:20" s="598" customFormat="1" ht="15" outlineLevel="1">
      <c r="A165" s="597">
        <v>3762</v>
      </c>
      <c r="B165" s="598" t="s">
        <v>507</v>
      </c>
      <c r="C165" s="598">
        <v>2002</v>
      </c>
      <c r="D165" s="599">
        <f>4651014.65-57403.5000000002</f>
        <v>4593611.1500000004</v>
      </c>
      <c r="E165" s="601">
        <f>Input!$C$14-C165+0.5</f>
        <v>20.5</v>
      </c>
      <c r="F165" s="600">
        <f t="shared" si="19"/>
        <v>94169028.575000003</v>
      </c>
      <c r="G165" s="600"/>
      <c r="H165" s="317"/>
      <c r="I165" s="600"/>
      <c r="J165" s="600"/>
      <c r="K165" s="600"/>
      <c r="L165" s="600"/>
      <c r="M165" s="600"/>
      <c r="N165" s="600"/>
      <c r="O165" s="600">
        <f t="shared" si="20"/>
        <v>4593611.1500000004</v>
      </c>
      <c r="P165" s="601">
        <f t="shared" si="21"/>
        <v>20.5</v>
      </c>
      <c r="Q165" s="600">
        <f t="shared" si="22"/>
        <v>94169028.575000003</v>
      </c>
      <c r="T165" s="679"/>
    </row>
    <row r="166" spans="1:20" s="598" customFormat="1" ht="15" outlineLevel="1">
      <c r="A166" s="597">
        <v>3762</v>
      </c>
      <c r="B166" s="598" t="s">
        <v>507</v>
      </c>
      <c r="C166" s="598">
        <v>2003</v>
      </c>
      <c r="D166" s="599">
        <f>-57403.5000000002+57403.5000000002</f>
        <v>0</v>
      </c>
      <c r="E166" s="601">
        <f>Input!$C$14-C166+0.5</f>
        <v>19.5</v>
      </c>
      <c r="F166" s="600">
        <f t="shared" si="23" ref="F166:F184">D166*E166</f>
        <v>0</v>
      </c>
      <c r="G166" s="600"/>
      <c r="H166" s="317"/>
      <c r="I166" s="600"/>
      <c r="J166" s="600"/>
      <c r="K166" s="600"/>
      <c r="L166" s="600"/>
      <c r="M166" s="600"/>
      <c r="N166" s="600"/>
      <c r="O166" s="600">
        <f t="shared" si="24" ref="O166:O184">SUM(D166,I166:N166)</f>
        <v>0</v>
      </c>
      <c r="P166" s="601">
        <f t="shared" si="21"/>
        <v>19.5</v>
      </c>
      <c r="Q166" s="600">
        <f t="shared" si="22"/>
        <v>0</v>
      </c>
      <c r="T166" s="679"/>
    </row>
    <row r="167" spans="1:20" s="598" customFormat="1" ht="15" outlineLevel="1">
      <c r="A167" s="597">
        <v>3762</v>
      </c>
      <c r="B167" s="598" t="s">
        <v>507</v>
      </c>
      <c r="C167" s="598">
        <v>2004</v>
      </c>
      <c r="D167" s="599">
        <f>1104775.62+1828.42</f>
        <v>1106604.04</v>
      </c>
      <c r="E167" s="601">
        <f>Input!$C$14-C167+0.5</f>
        <v>18.5</v>
      </c>
      <c r="F167" s="600">
        <f t="shared" si="23"/>
        <v>20472174.740000002</v>
      </c>
      <c r="G167" s="600"/>
      <c r="H167" s="317"/>
      <c r="I167" s="600"/>
      <c r="J167" s="600"/>
      <c r="K167" s="600"/>
      <c r="L167" s="600"/>
      <c r="M167" s="600"/>
      <c r="N167" s="600"/>
      <c r="O167" s="600">
        <f t="shared" si="24"/>
        <v>1106604.04</v>
      </c>
      <c r="P167" s="601">
        <f t="shared" si="21"/>
        <v>18.5</v>
      </c>
      <c r="Q167" s="600">
        <f t="shared" si="22"/>
        <v>20472174.740000002</v>
      </c>
      <c r="T167" s="679"/>
    </row>
    <row r="168" spans="1:20" s="598" customFormat="1" ht="15" outlineLevel="1">
      <c r="A168" s="597">
        <v>3762</v>
      </c>
      <c r="B168" s="598" t="s">
        <v>507</v>
      </c>
      <c r="C168" s="598">
        <v>2005</v>
      </c>
      <c r="D168" s="599">
        <v>632824.06000000006</v>
      </c>
      <c r="E168" s="601">
        <f>Input!$C$14-C168+0.5</f>
        <v>17.5</v>
      </c>
      <c r="F168" s="600">
        <f t="shared" si="23"/>
        <v>11074421.050000001</v>
      </c>
      <c r="G168" s="600"/>
      <c r="H168" s="317"/>
      <c r="I168" s="600"/>
      <c r="J168" s="600"/>
      <c r="K168" s="600"/>
      <c r="L168" s="600"/>
      <c r="M168" s="600"/>
      <c r="N168" s="600"/>
      <c r="O168" s="600">
        <f t="shared" si="24"/>
        <v>632824.06000000006</v>
      </c>
      <c r="P168" s="601">
        <f t="shared" si="21"/>
        <v>17.5</v>
      </c>
      <c r="Q168" s="600">
        <f t="shared" si="22"/>
        <v>11074421.050000001</v>
      </c>
      <c r="T168" s="679"/>
    </row>
    <row r="169" spans="1:20" s="598" customFormat="1" ht="15" outlineLevel="1">
      <c r="A169" s="597">
        <v>3762</v>
      </c>
      <c r="B169" s="598" t="s">
        <v>507</v>
      </c>
      <c r="C169" s="598">
        <v>2006</v>
      </c>
      <c r="D169" s="599">
        <f>1061469.34-1026.38999999999</f>
        <v>1060442.9500000002</v>
      </c>
      <c r="E169" s="601">
        <f>Input!$C$14-C169+0.5</f>
        <v>16.5</v>
      </c>
      <c r="F169" s="600">
        <f t="shared" si="23"/>
        <v>17497308.675000004</v>
      </c>
      <c r="G169" s="600"/>
      <c r="H169" s="317"/>
      <c r="I169" s="600"/>
      <c r="J169" s="600"/>
      <c r="K169" s="600"/>
      <c r="L169" s="600"/>
      <c r="M169" s="600"/>
      <c r="N169" s="600"/>
      <c r="O169" s="600">
        <f t="shared" si="24"/>
        <v>1060442.9500000002</v>
      </c>
      <c r="P169" s="601">
        <f t="shared" si="21"/>
        <v>16.5</v>
      </c>
      <c r="Q169" s="600">
        <f t="shared" si="22"/>
        <v>17497308.675000004</v>
      </c>
      <c r="T169" s="679"/>
    </row>
    <row r="170" spans="1:20" s="598" customFormat="1" ht="15" outlineLevel="1">
      <c r="A170" s="597">
        <v>3762</v>
      </c>
      <c r="B170" s="598" t="s">
        <v>507</v>
      </c>
      <c r="C170" s="598">
        <v>2007</v>
      </c>
      <c r="D170" s="599">
        <f>-1026.38999999999+1026.38999999999</f>
        <v>0</v>
      </c>
      <c r="E170" s="601">
        <f>Input!$C$14-C170+0.5</f>
        <v>15.5</v>
      </c>
      <c r="F170" s="600">
        <f t="shared" si="23"/>
        <v>0</v>
      </c>
      <c r="G170" s="600"/>
      <c r="H170" s="317"/>
      <c r="I170" s="600"/>
      <c r="J170" s="600"/>
      <c r="K170" s="600"/>
      <c r="L170" s="600"/>
      <c r="M170" s="600"/>
      <c r="N170" s="600"/>
      <c r="O170" s="600">
        <f t="shared" si="24"/>
        <v>0</v>
      </c>
      <c r="P170" s="601">
        <f t="shared" si="21"/>
        <v>15.5</v>
      </c>
      <c r="Q170" s="600">
        <f t="shared" si="22"/>
        <v>0</v>
      </c>
      <c r="T170" s="679"/>
    </row>
    <row r="171" spans="1:20" s="598" customFormat="1" ht="15" outlineLevel="1">
      <c r="A171" s="597">
        <v>3762</v>
      </c>
      <c r="B171" s="598" t="s">
        <v>507</v>
      </c>
      <c r="C171" s="598">
        <v>2008</v>
      </c>
      <c r="D171" s="599">
        <v>368549.87000000005</v>
      </c>
      <c r="E171" s="601">
        <f>Input!$C$14-C171+0.5</f>
        <v>14.5</v>
      </c>
      <c r="F171" s="600">
        <f t="shared" si="23"/>
        <v>5343973.1150000012</v>
      </c>
      <c r="G171" s="600"/>
      <c r="H171" s="317"/>
      <c r="I171" s="600"/>
      <c r="J171" s="600"/>
      <c r="K171" s="600"/>
      <c r="L171" s="600"/>
      <c r="M171" s="600"/>
      <c r="N171" s="600"/>
      <c r="O171" s="600">
        <f t="shared" si="24"/>
        <v>368549.87000000005</v>
      </c>
      <c r="P171" s="601">
        <f t="shared" si="21"/>
        <v>14.5</v>
      </c>
      <c r="Q171" s="600">
        <f t="shared" si="22"/>
        <v>5343973.1150000012</v>
      </c>
      <c r="T171" s="679"/>
    </row>
    <row r="172" spans="1:20" s="598" customFormat="1" ht="15" outlineLevel="1">
      <c r="A172" s="597">
        <v>3762</v>
      </c>
      <c r="B172" s="598" t="s">
        <v>507</v>
      </c>
      <c r="C172" s="598">
        <v>2009</v>
      </c>
      <c r="D172" s="599">
        <v>1656582.75</v>
      </c>
      <c r="E172" s="601">
        <f>Input!$C$14-C172+0.5</f>
        <v>13.5</v>
      </c>
      <c r="F172" s="600">
        <f t="shared" si="23"/>
        <v>22363867.125</v>
      </c>
      <c r="G172" s="600"/>
      <c r="H172" s="317"/>
      <c r="I172" s="600"/>
      <c r="J172" s="600"/>
      <c r="K172" s="600"/>
      <c r="L172" s="600"/>
      <c r="M172" s="600"/>
      <c r="N172" s="600"/>
      <c r="O172" s="600">
        <f t="shared" si="24"/>
        <v>1656582.75</v>
      </c>
      <c r="P172" s="601">
        <f t="shared" si="21"/>
        <v>13.5</v>
      </c>
      <c r="Q172" s="600">
        <f t="shared" si="22"/>
        <v>22363867.125</v>
      </c>
      <c r="T172" s="679"/>
    </row>
    <row r="173" spans="1:20" s="598" customFormat="1" ht="15" outlineLevel="1">
      <c r="A173" s="597">
        <v>3762</v>
      </c>
      <c r="B173" s="598" t="s">
        <v>507</v>
      </c>
      <c r="C173" s="598">
        <v>2010</v>
      </c>
      <c r="D173" s="599">
        <f>1861923.39+-217636.91</f>
        <v>1644286.48</v>
      </c>
      <c r="E173" s="601">
        <f>Input!$C$14-C173+0.5</f>
        <v>12.5</v>
      </c>
      <c r="F173" s="600">
        <f t="shared" si="23"/>
        <v>20553581</v>
      </c>
      <c r="G173" s="600"/>
      <c r="H173" s="317"/>
      <c r="I173" s="600"/>
      <c r="J173" s="600"/>
      <c r="K173" s="600"/>
      <c r="L173" s="600"/>
      <c r="M173" s="600"/>
      <c r="N173" s="600"/>
      <c r="O173" s="600">
        <f t="shared" si="24"/>
        <v>1644286.48</v>
      </c>
      <c r="P173" s="601">
        <f t="shared" si="21"/>
        <v>12.5</v>
      </c>
      <c r="Q173" s="600">
        <f t="shared" si="22"/>
        <v>20553581</v>
      </c>
      <c r="T173" s="679"/>
    </row>
    <row r="174" spans="1:20" s="598" customFormat="1" ht="15" outlineLevel="1">
      <c r="A174" s="597">
        <v>3762</v>
      </c>
      <c r="B174" s="598" t="s">
        <v>507</v>
      </c>
      <c r="C174" s="598">
        <v>2011</v>
      </c>
      <c r="D174" s="599">
        <v>1944255.3899999997</v>
      </c>
      <c r="E174" s="601">
        <f>Input!$C$14-C174+0.5</f>
        <v>11.5</v>
      </c>
      <c r="F174" s="600">
        <f t="shared" si="23"/>
        <v>22358936.984999996</v>
      </c>
      <c r="G174" s="600"/>
      <c r="H174" s="317"/>
      <c r="I174" s="600"/>
      <c r="J174" s="600"/>
      <c r="K174" s="600"/>
      <c r="L174" s="600"/>
      <c r="M174" s="600"/>
      <c r="N174" s="600"/>
      <c r="O174" s="600">
        <f t="shared" si="24"/>
        <v>1944255.3899999997</v>
      </c>
      <c r="P174" s="601">
        <f t="shared" si="21"/>
        <v>11.5</v>
      </c>
      <c r="Q174" s="600">
        <f t="shared" si="22"/>
        <v>22358936.984999996</v>
      </c>
      <c r="T174" s="679"/>
    </row>
    <row r="175" spans="1:20" s="598" customFormat="1" ht="15" outlineLevel="1">
      <c r="A175" s="597">
        <v>3762</v>
      </c>
      <c r="B175" s="598" t="s">
        <v>507</v>
      </c>
      <c r="C175" s="598">
        <v>2012</v>
      </c>
      <c r="D175" s="599">
        <v>1476940.6500000001</v>
      </c>
      <c r="E175" s="601">
        <f>Input!$C$14-C175+0.5</f>
        <v>10.5</v>
      </c>
      <c r="F175" s="600">
        <f t="shared" si="23"/>
        <v>15507876.825000001</v>
      </c>
      <c r="G175" s="600"/>
      <c r="H175" s="317"/>
      <c r="I175" s="600"/>
      <c r="J175" s="600"/>
      <c r="K175" s="600"/>
      <c r="L175" s="600"/>
      <c r="M175" s="600"/>
      <c r="N175" s="600"/>
      <c r="O175" s="600">
        <f t="shared" si="24"/>
        <v>1476940.6500000001</v>
      </c>
      <c r="P175" s="601">
        <f t="shared" si="21"/>
        <v>10.5</v>
      </c>
      <c r="Q175" s="600">
        <f t="shared" si="22"/>
        <v>15507876.825000001</v>
      </c>
      <c r="T175" s="679"/>
    </row>
    <row r="176" spans="1:20" s="598" customFormat="1" ht="15" outlineLevel="1">
      <c r="A176" s="597">
        <v>3762</v>
      </c>
      <c r="B176" s="598" t="s">
        <v>507</v>
      </c>
      <c r="C176" s="598">
        <v>2013</v>
      </c>
      <c r="D176" s="599">
        <f>389852.12-164160.55</f>
        <v>225691.57000000001</v>
      </c>
      <c r="E176" s="601">
        <f>Input!$C$14-C176+0.5</f>
        <v>9.5</v>
      </c>
      <c r="F176" s="600">
        <f t="shared" si="23"/>
        <v>2144069.915</v>
      </c>
      <c r="G176" s="600"/>
      <c r="H176" s="317"/>
      <c r="I176" s="600"/>
      <c r="J176" s="600"/>
      <c r="K176" s="600"/>
      <c r="L176" s="600"/>
      <c r="M176" s="600"/>
      <c r="N176" s="600"/>
      <c r="O176" s="600">
        <f t="shared" si="24"/>
        <v>225691.57000000001</v>
      </c>
      <c r="P176" s="601">
        <f t="shared" si="21"/>
        <v>9.5</v>
      </c>
      <c r="Q176" s="600">
        <f t="shared" si="22"/>
        <v>2144069.915</v>
      </c>
      <c r="T176" s="679"/>
    </row>
    <row r="177" spans="1:20" s="598" customFormat="1" ht="15" outlineLevel="1">
      <c r="A177" s="597">
        <v>3762</v>
      </c>
      <c r="B177" s="598" t="s">
        <v>507</v>
      </c>
      <c r="C177" s="598">
        <v>2014</v>
      </c>
      <c r="D177" s="599">
        <v>964455.62</v>
      </c>
      <c r="E177" s="601">
        <f>Input!$C$14-C177+0.5</f>
        <v>8.5</v>
      </c>
      <c r="F177" s="600">
        <f t="shared" si="23"/>
        <v>8197872.7699999996</v>
      </c>
      <c r="G177" s="600"/>
      <c r="H177" s="317"/>
      <c r="I177" s="600"/>
      <c r="J177" s="600"/>
      <c r="K177" s="600"/>
      <c r="L177" s="600"/>
      <c r="M177" s="600"/>
      <c r="N177" s="600"/>
      <c r="O177" s="600">
        <f t="shared" si="24"/>
        <v>964455.62</v>
      </c>
      <c r="P177" s="601">
        <f t="shared" si="21"/>
        <v>8.5</v>
      </c>
      <c r="Q177" s="600">
        <f t="shared" si="22"/>
        <v>8197872.7699999996</v>
      </c>
      <c r="T177" s="679"/>
    </row>
    <row r="178" spans="1:20" s="598" customFormat="1" ht="15" outlineLevel="1">
      <c r="A178" s="597">
        <v>3762</v>
      </c>
      <c r="B178" s="598" t="s">
        <v>507</v>
      </c>
      <c r="C178" s="598">
        <v>2015</v>
      </c>
      <c r="D178" s="599">
        <v>1650603.7300000002</v>
      </c>
      <c r="E178" s="601">
        <f>Input!$C$14-C178+0.5</f>
        <v>7.5</v>
      </c>
      <c r="F178" s="600">
        <f t="shared" si="23"/>
        <v>12379527.975000001</v>
      </c>
      <c r="G178" s="600"/>
      <c r="H178" s="317"/>
      <c r="I178" s="600"/>
      <c r="J178" s="600"/>
      <c r="K178" s="600"/>
      <c r="L178" s="600"/>
      <c r="M178" s="600"/>
      <c r="N178" s="600"/>
      <c r="O178" s="600">
        <f t="shared" si="24"/>
        <v>1650603.7300000002</v>
      </c>
      <c r="P178" s="601">
        <f t="shared" si="21"/>
        <v>7.5</v>
      </c>
      <c r="Q178" s="600">
        <f t="shared" si="22"/>
        <v>12379527.975000001</v>
      </c>
      <c r="T178" s="679"/>
    </row>
    <row r="179" spans="1:20" s="598" customFormat="1" ht="15" outlineLevel="1">
      <c r="A179" s="597">
        <v>3762</v>
      </c>
      <c r="B179" s="598" t="s">
        <v>507</v>
      </c>
      <c r="C179" s="598">
        <v>2016</v>
      </c>
      <c r="D179" s="599">
        <v>3444659.3700000001</v>
      </c>
      <c r="E179" s="601">
        <f>Input!$C$14-C179+0.5</f>
        <v>6.5</v>
      </c>
      <c r="F179" s="600">
        <f t="shared" si="23"/>
        <v>22390285.905000001</v>
      </c>
      <c r="G179" s="600"/>
      <c r="H179" s="317"/>
      <c r="I179" s="600"/>
      <c r="J179" s="600"/>
      <c r="K179" s="600"/>
      <c r="L179" s="600"/>
      <c r="M179" s="600"/>
      <c r="N179" s="600"/>
      <c r="O179" s="600">
        <f t="shared" si="24"/>
        <v>3444659.3700000001</v>
      </c>
      <c r="P179" s="601">
        <f t="shared" si="21"/>
        <v>6.5</v>
      </c>
      <c r="Q179" s="600">
        <f t="shared" si="22"/>
        <v>22390285.905000001</v>
      </c>
      <c r="T179" s="679"/>
    </row>
    <row r="180" spans="1:20" s="598" customFormat="1" ht="15" outlineLevel="1">
      <c r="A180" s="597">
        <v>3762</v>
      </c>
      <c r="B180" s="598" t="s">
        <v>507</v>
      </c>
      <c r="C180" s="598">
        <v>2017</v>
      </c>
      <c r="D180" s="599">
        <v>898687.51000000001</v>
      </c>
      <c r="E180" s="601">
        <f>Input!$C$14-C180+0.5</f>
        <v>5.5</v>
      </c>
      <c r="F180" s="600">
        <f t="shared" si="23"/>
        <v>4942781.3049999997</v>
      </c>
      <c r="G180" s="600"/>
      <c r="H180" s="317"/>
      <c r="I180" s="600"/>
      <c r="J180" s="600"/>
      <c r="K180" s="600"/>
      <c r="L180" s="600"/>
      <c r="M180" s="600"/>
      <c r="N180" s="600"/>
      <c r="O180" s="600">
        <f t="shared" si="24"/>
        <v>898687.51000000001</v>
      </c>
      <c r="P180" s="601">
        <f t="shared" si="21"/>
        <v>5.5</v>
      </c>
      <c r="Q180" s="600">
        <f t="shared" si="22"/>
        <v>4942781.3049999997</v>
      </c>
      <c r="T180" s="679"/>
    </row>
    <row r="181" spans="1:20" s="598" customFormat="1" ht="15" outlineLevel="1">
      <c r="A181" s="597">
        <v>3762</v>
      </c>
      <c r="B181" s="598" t="s">
        <v>507</v>
      </c>
      <c r="C181" s="598">
        <v>2018</v>
      </c>
      <c r="D181" s="599">
        <v>8087358.2599999998</v>
      </c>
      <c r="E181" s="601">
        <f>Input!$C$14-C181+0.5</f>
        <v>4.5</v>
      </c>
      <c r="F181" s="600">
        <f t="shared" si="23"/>
        <v>36393112.170000002</v>
      </c>
      <c r="G181" s="600"/>
      <c r="H181" s="317"/>
      <c r="I181" s="600"/>
      <c r="J181" s="600"/>
      <c r="K181" s="600"/>
      <c r="L181" s="600"/>
      <c r="M181" s="600"/>
      <c r="N181" s="600"/>
      <c r="O181" s="600">
        <f t="shared" si="24"/>
        <v>8087358.2599999998</v>
      </c>
      <c r="P181" s="601">
        <f t="shared" si="21"/>
        <v>4.5</v>
      </c>
      <c r="Q181" s="600">
        <f t="shared" si="22"/>
        <v>36393112.170000002</v>
      </c>
      <c r="T181" s="679"/>
    </row>
    <row r="182" spans="1:20" s="598" customFormat="1" ht="15" outlineLevel="1">
      <c r="A182" s="597">
        <v>3762</v>
      </c>
      <c r="B182" s="598" t="s">
        <v>507</v>
      </c>
      <c r="C182" s="598">
        <v>2019</v>
      </c>
      <c r="D182" s="599">
        <v>683029.62999999977</v>
      </c>
      <c r="E182" s="601">
        <f>Input!$C$14-C182+0.5</f>
        <v>3.5</v>
      </c>
      <c r="F182" s="600">
        <f t="shared" si="23"/>
        <v>2390603.7049999991</v>
      </c>
      <c r="G182" s="600"/>
      <c r="H182" s="317"/>
      <c r="I182" s="600"/>
      <c r="J182" s="600"/>
      <c r="K182" s="600"/>
      <c r="L182" s="600"/>
      <c r="M182" s="600"/>
      <c r="N182" s="600"/>
      <c r="O182" s="600">
        <f t="shared" si="24"/>
        <v>683029.62999999977</v>
      </c>
      <c r="P182" s="601">
        <f t="shared" si="21"/>
        <v>3.5</v>
      </c>
      <c r="Q182" s="600">
        <f t="shared" si="22"/>
        <v>2390603.7049999991</v>
      </c>
      <c r="T182" s="679"/>
    </row>
    <row r="183" spans="1:20" s="598" customFormat="1" ht="15" outlineLevel="1">
      <c r="A183" s="597">
        <v>3762</v>
      </c>
      <c r="B183" s="598" t="s">
        <v>507</v>
      </c>
      <c r="C183" s="598">
        <v>2020</v>
      </c>
      <c r="D183" s="599">
        <v>777849.67999999982</v>
      </c>
      <c r="E183" s="601">
        <f>Input!$C$14-C183+0.5</f>
        <v>2.5</v>
      </c>
      <c r="F183" s="600">
        <f t="shared" si="23"/>
        <v>1944624.1999999995</v>
      </c>
      <c r="G183" s="600"/>
      <c r="H183" s="317"/>
      <c r="I183" s="600"/>
      <c r="J183" s="600"/>
      <c r="K183" s="600"/>
      <c r="L183" s="600"/>
      <c r="M183" s="600"/>
      <c r="N183" s="600"/>
      <c r="O183" s="600">
        <f t="shared" si="24"/>
        <v>777849.67999999982</v>
      </c>
      <c r="P183" s="601">
        <f t="shared" si="21"/>
        <v>2.5</v>
      </c>
      <c r="Q183" s="600">
        <f t="shared" si="22"/>
        <v>1944624.1999999995</v>
      </c>
      <c r="T183" s="679"/>
    </row>
    <row r="184" spans="1:20" s="598" customFormat="1" ht="15" outlineLevel="1">
      <c r="A184" s="597">
        <v>3762</v>
      </c>
      <c r="B184" s="598" t="s">
        <v>507</v>
      </c>
      <c r="C184" s="598">
        <v>2021</v>
      </c>
      <c r="D184" s="599">
        <v>1756466.8699999999</v>
      </c>
      <c r="E184" s="601">
        <f>Input!$C$14-C184+0.5</f>
        <v>1.5</v>
      </c>
      <c r="F184" s="600">
        <f t="shared" si="23"/>
        <v>2634700.3049999997</v>
      </c>
      <c r="G184" s="600"/>
      <c r="H184" s="317"/>
      <c r="I184" s="600"/>
      <c r="J184" s="600"/>
      <c r="K184" s="600"/>
      <c r="L184" s="600"/>
      <c r="M184" s="600"/>
      <c r="N184" s="600"/>
      <c r="O184" s="600">
        <f t="shared" si="24"/>
        <v>1756466.8699999999</v>
      </c>
      <c r="P184" s="601">
        <f t="shared" si="21"/>
        <v>1.5</v>
      </c>
      <c r="Q184" s="600">
        <f t="shared" si="22"/>
        <v>2634700.3049999997</v>
      </c>
      <c r="T184" s="679"/>
    </row>
    <row r="185" spans="1:20" s="598" customFormat="1" ht="13.5" thickBot="1">
      <c r="A185" s="563">
        <f>A184</f>
        <v>3762</v>
      </c>
      <c r="B185" s="564" t="s">
        <v>496</v>
      </c>
      <c r="D185" s="357">
        <f>SUM(D102:D184)</f>
        <v>62159262.039999984</v>
      </c>
      <c r="E185" s="565">
        <f>ROUND(F185/D185,1)</f>
        <v>22.800000000000001</v>
      </c>
      <c r="F185" s="357">
        <f>SUM(F102:F184)</f>
        <v>1415731494.0476506</v>
      </c>
      <c r="G185" s="358"/>
      <c r="H185" s="318"/>
      <c r="I185" s="357">
        <f>SUM(I102:I184)</f>
        <v>0</v>
      </c>
      <c r="J185" s="357">
        <f>SUM(J102:J184)</f>
        <v>-13355.5</v>
      </c>
      <c r="K185" s="357">
        <f t="shared" si="25" ref="K185:N185">SUM(K102:K184)</f>
        <v>0</v>
      </c>
      <c r="L185" s="357">
        <f t="shared" si="25"/>
        <v>-966.16000000000008</v>
      </c>
      <c r="M185" s="357">
        <f t="shared" si="25"/>
        <v>0</v>
      </c>
      <c r="N185" s="357">
        <f t="shared" si="25"/>
        <v>0</v>
      </c>
      <c r="O185" s="357">
        <f>SUM(O102:O184)</f>
        <v>62144940.37999998</v>
      </c>
      <c r="P185" s="565">
        <f>ROUND(Q185/O185,1)</f>
        <v>22.800000000000001</v>
      </c>
      <c r="Q185" s="357">
        <f>SUM(Q102:Q184)</f>
        <v>1414577009.5776505</v>
      </c>
      <c r="S185" s="604">
        <f>'Sch. G 2021'!H16</f>
        <v>62159262</v>
      </c>
      <c r="T185" s="679">
        <f>D185-S185</f>
        <v>0.039999984204769135</v>
      </c>
    </row>
    <row r="186" spans="1:20" s="598" customFormat="1" ht="15.75" thickTop="1">
      <c r="A186" s="566">
        <f>A184</f>
        <v>3762</v>
      </c>
      <c r="B186" s="490" t="str">
        <f>B184&amp;" - Additions"</f>
        <v>Mains ST - Additions</v>
      </c>
      <c r="C186" s="490">
        <v>2022</v>
      </c>
      <c r="D186" s="567">
        <f>'Sch. H'!N16</f>
        <v>232132.22</v>
      </c>
      <c r="E186" s="601">
        <f>Input!$C$14-C186+0.5</f>
        <v>0.5</v>
      </c>
      <c r="F186" s="600">
        <f>D186*E186</f>
        <v>116066.11</v>
      </c>
      <c r="G186" s="600"/>
      <c r="H186" s="317"/>
      <c r="I186" s="600"/>
      <c r="J186" s="600"/>
      <c r="K186" s="600"/>
      <c r="L186" s="600"/>
      <c r="M186" s="600"/>
      <c r="N186" s="600"/>
      <c r="O186" s="600">
        <f t="shared" si="26" ref="O186:O187">SUM(D186,I186:N186)</f>
        <v>232132.22</v>
      </c>
      <c r="P186" s="601">
        <f t="shared" si="21"/>
        <v>0.5</v>
      </c>
      <c r="Q186" s="600">
        <f t="shared" si="22"/>
        <v>116066.11</v>
      </c>
      <c r="T186" s="679"/>
    </row>
    <row r="187" spans="1:20" s="598" customFormat="1" ht="15">
      <c r="A187" s="566">
        <f>A186</f>
        <v>3762</v>
      </c>
      <c r="B187" s="490" t="str">
        <f>B184&amp;" - Retirements"</f>
        <v>Mains ST - Retirements</v>
      </c>
      <c r="C187" s="490">
        <v>2022</v>
      </c>
      <c r="D187" s="567">
        <f>-'Sch. F 2022'!I90</f>
        <v>-566209</v>
      </c>
      <c r="E187" s="601">
        <f>'Sch. F 2022'!I92</f>
        <v>72.209999999999994</v>
      </c>
      <c r="F187" s="600">
        <f>D187*E187</f>
        <v>-40885951.889999993</v>
      </c>
      <c r="G187" s="600"/>
      <c r="H187" s="317"/>
      <c r="I187" s="600"/>
      <c r="J187" s="600"/>
      <c r="K187" s="600"/>
      <c r="L187" s="600"/>
      <c r="M187" s="600"/>
      <c r="N187" s="600"/>
      <c r="O187" s="600">
        <f t="shared" si="26"/>
        <v>-566209</v>
      </c>
      <c r="P187" s="601">
        <f t="shared" si="21"/>
        <v>72.209999999999994</v>
      </c>
      <c r="Q187" s="600">
        <f t="shared" si="22"/>
        <v>-40885951.889999993</v>
      </c>
      <c r="T187" s="679"/>
    </row>
    <row r="188" spans="1:20" s="598" customFormat="1" ht="13.5" thickBot="1">
      <c r="A188" s="566"/>
      <c r="B188" s="564" t="s">
        <v>557</v>
      </c>
      <c r="C188" s="490"/>
      <c r="D188" s="568">
        <f>SUM(D185:D187)</f>
        <v>61825185.259999983</v>
      </c>
      <c r="E188" s="565">
        <f>ROUND(F188/D188,1)</f>
        <v>22.199999999999999</v>
      </c>
      <c r="F188" s="569">
        <f>SUM(F185:F187)</f>
        <v>1374961608.2676504</v>
      </c>
      <c r="G188" s="570"/>
      <c r="H188" s="372"/>
      <c r="I188" s="568">
        <f>SUM(I185:I187)</f>
        <v>0</v>
      </c>
      <c r="J188" s="568">
        <f>SUM(J185:J187)</f>
        <v>-13355.5</v>
      </c>
      <c r="K188" s="568">
        <f t="shared" si="27" ref="K188:N188">SUM(K185:K187)</f>
        <v>0</v>
      </c>
      <c r="L188" s="568">
        <f t="shared" si="27"/>
        <v>-966.16000000000008</v>
      </c>
      <c r="M188" s="568">
        <f t="shared" si="27"/>
        <v>0</v>
      </c>
      <c r="N188" s="568">
        <f t="shared" si="27"/>
        <v>0</v>
      </c>
      <c r="O188" s="568">
        <f>SUM(O185:O187)</f>
        <v>61810863.599999979</v>
      </c>
      <c r="P188" s="565">
        <f>ROUND(Q188/O188,1)</f>
        <v>22.199999999999999</v>
      </c>
      <c r="Q188" s="569">
        <f>SUM(Q185:Q187)</f>
        <v>1373807123.7976503</v>
      </c>
      <c r="S188" s="604">
        <f>'Sch. G 2022'!H16</f>
        <v>61810864</v>
      </c>
      <c r="T188" s="679">
        <f>O188-S188</f>
        <v>-0.40000002086162567</v>
      </c>
    </row>
    <row r="189" spans="1:20" s="598" customFormat="1" ht="15" thickTop="1">
      <c r="A189" s="563"/>
      <c r="B189" s="571"/>
      <c r="D189" s="358"/>
      <c r="E189" s="572"/>
      <c r="F189" s="358"/>
      <c r="G189" s="358"/>
      <c r="H189" s="318"/>
      <c r="I189" s="358"/>
      <c r="J189" s="358"/>
      <c r="K189" s="358"/>
      <c r="L189" s="358"/>
      <c r="M189" s="358"/>
      <c r="N189" s="358"/>
      <c r="O189" s="600"/>
      <c r="P189" s="601"/>
      <c r="Q189" s="600"/>
      <c r="T189" s="679"/>
    </row>
    <row r="190" spans="1:20" s="598" customFormat="1" ht="15" outlineLevel="1">
      <c r="A190" s="597" t="s">
        <v>87</v>
      </c>
      <c r="B190" s="598" t="s">
        <v>508</v>
      </c>
      <c r="C190" s="598">
        <v>2012</v>
      </c>
      <c r="D190" s="599">
        <v>2132402.7999999998</v>
      </c>
      <c r="E190" s="601">
        <f>Input!$C$14-C190+0.5</f>
        <v>10.5</v>
      </c>
      <c r="F190" s="600">
        <f t="shared" si="28" ref="F190:F199">D190*E190</f>
        <v>22390229.399999999</v>
      </c>
      <c r="G190" s="600"/>
      <c r="H190" s="317"/>
      <c r="I190" s="600"/>
      <c r="J190" s="600"/>
      <c r="K190" s="600"/>
      <c r="L190" s="600"/>
      <c r="M190" s="600"/>
      <c r="N190" s="600"/>
      <c r="O190" s="600">
        <f t="shared" si="29" ref="O190:O199">SUM(D190,I190:N190)</f>
        <v>2132402.7999999998</v>
      </c>
      <c r="P190" s="601">
        <f t="shared" si="21"/>
        <v>10.5</v>
      </c>
      <c r="Q190" s="600">
        <f t="shared" si="22"/>
        <v>22390229.399999999</v>
      </c>
      <c r="T190" s="679"/>
    </row>
    <row r="191" spans="1:20" s="598" customFormat="1" ht="15" outlineLevel="1">
      <c r="A191" s="597" t="s">
        <v>87</v>
      </c>
      <c r="B191" s="598" t="s">
        <v>508</v>
      </c>
      <c r="C191" s="598">
        <v>2013</v>
      </c>
      <c r="D191" s="599">
        <v>12636400.520000001</v>
      </c>
      <c r="E191" s="601">
        <f>Input!$C$14-C191+0.5</f>
        <v>9.5</v>
      </c>
      <c r="F191" s="600">
        <f t="shared" si="28"/>
        <v>120045804.94000001</v>
      </c>
      <c r="G191" s="600"/>
      <c r="H191" s="317"/>
      <c r="I191" s="600"/>
      <c r="J191" s="600"/>
      <c r="K191" s="600"/>
      <c r="L191" s="600"/>
      <c r="M191" s="600"/>
      <c r="N191" s="600"/>
      <c r="O191" s="600">
        <f t="shared" si="29"/>
        <v>12636400.520000001</v>
      </c>
      <c r="P191" s="601">
        <f t="shared" si="21"/>
        <v>9.5</v>
      </c>
      <c r="Q191" s="600">
        <f t="shared" si="22"/>
        <v>120045804.94000001</v>
      </c>
      <c r="T191" s="679"/>
    </row>
    <row r="192" spans="1:20" s="598" customFormat="1" ht="15" outlineLevel="1">
      <c r="A192" s="597" t="s">
        <v>87</v>
      </c>
      <c r="B192" s="598" t="s">
        <v>508</v>
      </c>
      <c r="C192" s="598">
        <v>2014</v>
      </c>
      <c r="D192" s="599">
        <v>18117054.239999991</v>
      </c>
      <c r="E192" s="601">
        <f>Input!$C$14-C192+0.5</f>
        <v>8.5</v>
      </c>
      <c r="F192" s="600">
        <f t="shared" si="28"/>
        <v>153994961.03999993</v>
      </c>
      <c r="G192" s="600"/>
      <c r="H192" s="317"/>
      <c r="I192" s="600"/>
      <c r="J192" s="600"/>
      <c r="K192" s="600"/>
      <c r="L192" s="600"/>
      <c r="M192" s="600"/>
      <c r="N192" s="600"/>
      <c r="O192" s="600">
        <f t="shared" si="29"/>
        <v>18117054.239999991</v>
      </c>
      <c r="P192" s="601">
        <f t="shared" si="21"/>
        <v>8.5</v>
      </c>
      <c r="Q192" s="600">
        <f t="shared" si="22"/>
        <v>153994961.03999993</v>
      </c>
      <c r="T192" s="679"/>
    </row>
    <row r="193" spans="1:20" s="598" customFormat="1" ht="15" outlineLevel="1">
      <c r="A193" s="597" t="s">
        <v>87</v>
      </c>
      <c r="B193" s="598" t="s">
        <v>508</v>
      </c>
      <c r="C193" s="598">
        <v>2015</v>
      </c>
      <c r="D193" s="599">
        <v>28419030.68</v>
      </c>
      <c r="E193" s="601">
        <f>Input!$C$14-C193+0.5</f>
        <v>7.5</v>
      </c>
      <c r="F193" s="600">
        <f t="shared" si="28"/>
        <v>213142730.09999999</v>
      </c>
      <c r="G193" s="600"/>
      <c r="H193" s="317"/>
      <c r="I193" s="600"/>
      <c r="J193" s="600"/>
      <c r="K193" s="600"/>
      <c r="L193" s="600"/>
      <c r="M193" s="600"/>
      <c r="N193" s="600"/>
      <c r="O193" s="600">
        <f t="shared" si="29"/>
        <v>28419030.68</v>
      </c>
      <c r="P193" s="601">
        <f t="shared" si="21"/>
        <v>7.5</v>
      </c>
      <c r="Q193" s="600">
        <f t="shared" si="22"/>
        <v>213142730.09999999</v>
      </c>
      <c r="T193" s="679"/>
    </row>
    <row r="194" spans="1:20" s="598" customFormat="1" ht="15" outlineLevel="1">
      <c r="A194" s="597" t="s">
        <v>87</v>
      </c>
      <c r="B194" s="598" t="s">
        <v>508</v>
      </c>
      <c r="C194" s="598">
        <v>2016</v>
      </c>
      <c r="D194" s="599">
        <v>19531536.900000006</v>
      </c>
      <c r="E194" s="601">
        <f>Input!$C$14-C194+0.5</f>
        <v>6.5</v>
      </c>
      <c r="F194" s="600">
        <f t="shared" si="28"/>
        <v>126954989.85000004</v>
      </c>
      <c r="G194" s="600"/>
      <c r="H194" s="317"/>
      <c r="I194" s="600"/>
      <c r="J194" s="600"/>
      <c r="K194" s="600"/>
      <c r="L194" s="600"/>
      <c r="M194" s="600"/>
      <c r="N194" s="600"/>
      <c r="O194" s="600">
        <f t="shared" si="29"/>
        <v>19531536.900000006</v>
      </c>
      <c r="P194" s="601">
        <f t="shared" si="21"/>
        <v>6.5</v>
      </c>
      <c r="Q194" s="600">
        <f t="shared" si="22"/>
        <v>126954989.85000004</v>
      </c>
      <c r="T194" s="679"/>
    </row>
    <row r="195" spans="1:20" s="598" customFormat="1" ht="15" outlineLevel="1">
      <c r="A195" s="597" t="s">
        <v>87</v>
      </c>
      <c r="B195" s="598" t="s">
        <v>508</v>
      </c>
      <c r="C195" s="598">
        <v>2017</v>
      </c>
      <c r="D195" s="599">
        <v>9795520.3299999963</v>
      </c>
      <c r="E195" s="601">
        <f>Input!$C$14-C195+0.5</f>
        <v>5.5</v>
      </c>
      <c r="F195" s="600">
        <f t="shared" si="28"/>
        <v>53875361.814999983</v>
      </c>
      <c r="G195" s="600"/>
      <c r="H195" s="317"/>
      <c r="I195" s="600"/>
      <c r="J195" s="600"/>
      <c r="K195" s="600"/>
      <c r="L195" s="600"/>
      <c r="M195" s="600"/>
      <c r="N195" s="600"/>
      <c r="O195" s="600">
        <f t="shared" si="29"/>
        <v>9795520.3299999963</v>
      </c>
      <c r="P195" s="601">
        <f t="shared" si="21"/>
        <v>5.5</v>
      </c>
      <c r="Q195" s="600">
        <f t="shared" si="22"/>
        <v>53875361.814999983</v>
      </c>
      <c r="T195" s="679"/>
    </row>
    <row r="196" spans="1:20" s="598" customFormat="1" ht="15" outlineLevel="1">
      <c r="A196" s="597" t="s">
        <v>87</v>
      </c>
      <c r="B196" s="598" t="s">
        <v>508</v>
      </c>
      <c r="C196" s="598">
        <v>2018</v>
      </c>
      <c r="D196" s="599">
        <v>9466490.25</v>
      </c>
      <c r="E196" s="601">
        <f>Input!$C$14-C196+0.5</f>
        <v>4.5</v>
      </c>
      <c r="F196" s="600">
        <f t="shared" si="28"/>
        <v>42599206.125</v>
      </c>
      <c r="G196" s="600"/>
      <c r="H196" s="317"/>
      <c r="I196" s="600"/>
      <c r="J196" s="600">
        <v>13355.5</v>
      </c>
      <c r="K196" s="600"/>
      <c r="L196" s="600"/>
      <c r="M196" s="600"/>
      <c r="N196" s="600"/>
      <c r="O196" s="600">
        <f t="shared" si="29"/>
        <v>9479845.75</v>
      </c>
      <c r="P196" s="601">
        <f t="shared" si="30" ref="P196:P255">E196</f>
        <v>4.5</v>
      </c>
      <c r="Q196" s="600">
        <f t="shared" si="31" ref="Q196:Q255">O196*P196</f>
        <v>42659305.875</v>
      </c>
      <c r="T196" s="679"/>
    </row>
    <row r="197" spans="1:20" s="598" customFormat="1" ht="15" outlineLevel="1">
      <c r="A197" s="597" t="s">
        <v>87</v>
      </c>
      <c r="B197" s="598" t="s">
        <v>508</v>
      </c>
      <c r="C197" s="598">
        <v>2019</v>
      </c>
      <c r="D197" s="599">
        <v>13378370.199999997</v>
      </c>
      <c r="E197" s="601">
        <f>Input!$C$14-C197+0.5</f>
        <v>3.5</v>
      </c>
      <c r="F197" s="600">
        <f t="shared" si="28"/>
        <v>46824295.699999988</v>
      </c>
      <c r="G197" s="600"/>
      <c r="H197" s="317"/>
      <c r="I197" s="600"/>
      <c r="J197" s="600"/>
      <c r="K197" s="600"/>
      <c r="L197" s="600"/>
      <c r="M197" s="600"/>
      <c r="N197" s="600"/>
      <c r="O197" s="600">
        <f t="shared" si="29"/>
        <v>13378370.199999997</v>
      </c>
      <c r="P197" s="601">
        <f t="shared" si="30"/>
        <v>3.5</v>
      </c>
      <c r="Q197" s="600">
        <f t="shared" si="31"/>
        <v>46824295.699999988</v>
      </c>
      <c r="T197" s="679"/>
    </row>
    <row r="198" spans="1:20" s="598" customFormat="1" ht="15" outlineLevel="1">
      <c r="A198" s="597" t="s">
        <v>87</v>
      </c>
      <c r="B198" s="598" t="s">
        <v>508</v>
      </c>
      <c r="C198" s="598">
        <v>2020</v>
      </c>
      <c r="D198" s="599">
        <v>14031572.120000001</v>
      </c>
      <c r="E198" s="601">
        <f>Input!$C$14-C198+0.5</f>
        <v>2.5</v>
      </c>
      <c r="F198" s="600">
        <f t="shared" si="28"/>
        <v>35078930.300000004</v>
      </c>
      <c r="G198" s="600"/>
      <c r="H198" s="317"/>
      <c r="I198" s="600"/>
      <c r="J198" s="600"/>
      <c r="K198" s="600"/>
      <c r="L198" s="600"/>
      <c r="M198" s="600"/>
      <c r="N198" s="600"/>
      <c r="O198" s="600">
        <f t="shared" si="29"/>
        <v>14031572.120000001</v>
      </c>
      <c r="P198" s="601">
        <f t="shared" si="30"/>
        <v>2.5</v>
      </c>
      <c r="Q198" s="600">
        <f t="shared" si="31"/>
        <v>35078930.300000004</v>
      </c>
      <c r="T198" s="679"/>
    </row>
    <row r="199" spans="1:20" s="598" customFormat="1" ht="15" outlineLevel="1">
      <c r="A199" s="597" t="s">
        <v>87</v>
      </c>
      <c r="B199" s="598" t="s">
        <v>508</v>
      </c>
      <c r="C199" s="598">
        <v>2021</v>
      </c>
      <c r="D199" s="599">
        <v>14010397.590000002</v>
      </c>
      <c r="E199" s="601">
        <f>Input!$C$14-C199+0.5</f>
        <v>1.5</v>
      </c>
      <c r="F199" s="600">
        <f t="shared" si="28"/>
        <v>21015596.385000002</v>
      </c>
      <c r="G199" s="600"/>
      <c r="H199" s="317"/>
      <c r="I199" s="600"/>
      <c r="J199" s="600"/>
      <c r="K199" s="600"/>
      <c r="L199" s="600"/>
      <c r="M199" s="600"/>
      <c r="N199" s="600"/>
      <c r="O199" s="600">
        <f t="shared" si="29"/>
        <v>14010397.590000002</v>
      </c>
      <c r="P199" s="601">
        <f t="shared" si="30"/>
        <v>1.5</v>
      </c>
      <c r="Q199" s="600">
        <f t="shared" si="31"/>
        <v>21015596.385000002</v>
      </c>
      <c r="T199" s="679"/>
    </row>
    <row r="200" spans="1:20" s="598" customFormat="1" ht="13.5" thickBot="1">
      <c r="A200" s="563" t="str">
        <f>A199</f>
        <v>376G</v>
      </c>
      <c r="B200" s="564" t="s">
        <v>496</v>
      </c>
      <c r="D200" s="357">
        <f>SUM(D190:D199)</f>
        <v>141518775.63</v>
      </c>
      <c r="E200" s="565">
        <f>ROUND(F200/D200,1)</f>
        <v>5.9000000000000004</v>
      </c>
      <c r="F200" s="357">
        <f>SUM(F190:F199)</f>
        <v>835922105.65499973</v>
      </c>
      <c r="G200" s="358"/>
      <c r="H200" s="318"/>
      <c r="I200" s="357">
        <f>SUM(I190:I199)</f>
        <v>0</v>
      </c>
      <c r="J200" s="357">
        <f>SUM(J190:J199)</f>
        <v>13355.5</v>
      </c>
      <c r="K200" s="357">
        <f t="shared" si="32" ref="K200:N200">SUM(K190:K199)</f>
        <v>0</v>
      </c>
      <c r="L200" s="357">
        <f t="shared" si="32"/>
        <v>0</v>
      </c>
      <c r="M200" s="357">
        <f t="shared" si="32"/>
        <v>0</v>
      </c>
      <c r="N200" s="357">
        <f t="shared" si="32"/>
        <v>0</v>
      </c>
      <c r="O200" s="357">
        <f>SUM(O190:O199)</f>
        <v>141532131.13</v>
      </c>
      <c r="P200" s="565">
        <f>ROUND(Q200/O200,1)</f>
        <v>5.9000000000000004</v>
      </c>
      <c r="Q200" s="357">
        <f>SUM(Q190:Q199)</f>
        <v>835982205.40499973</v>
      </c>
      <c r="S200" s="604">
        <f>'Sch. G 2021'!H17</f>
        <v>141518776</v>
      </c>
      <c r="T200" s="679">
        <f>D200-S200</f>
        <v>-0.37000000476837158</v>
      </c>
    </row>
    <row r="201" spans="1:20" s="598" customFormat="1" ht="15.75" thickTop="1">
      <c r="A201" s="566" t="str">
        <f>A199</f>
        <v>376G</v>
      </c>
      <c r="B201" s="490" t="str">
        <f>B199&amp;" - Additions"</f>
        <v>Mains GRIP - Additions</v>
      </c>
      <c r="C201" s="490">
        <v>2022</v>
      </c>
      <c r="D201" s="567">
        <f>'Sch. H'!N17</f>
        <v>5373897</v>
      </c>
      <c r="E201" s="601">
        <f>Input!$C$14-C201+0.5</f>
        <v>0.5</v>
      </c>
      <c r="F201" s="600">
        <f>D201*E201</f>
        <v>2686948.5</v>
      </c>
      <c r="G201" s="600"/>
      <c r="H201" s="317"/>
      <c r="I201" s="600"/>
      <c r="J201" s="600"/>
      <c r="K201" s="600"/>
      <c r="L201" s="600"/>
      <c r="M201" s="600"/>
      <c r="N201" s="600"/>
      <c r="O201" s="600">
        <f t="shared" si="33" ref="O201:O202">SUM(D201,I201:N201)</f>
        <v>5373897</v>
      </c>
      <c r="P201" s="601">
        <f t="shared" si="30"/>
        <v>0.5</v>
      </c>
      <c r="Q201" s="600">
        <f t="shared" si="31"/>
        <v>2686948.5</v>
      </c>
      <c r="T201" s="679"/>
    </row>
    <row r="202" spans="1:20" s="598" customFormat="1" ht="15">
      <c r="A202" s="566" t="str">
        <f>A201</f>
        <v>376G</v>
      </c>
      <c r="B202" s="490" t="str">
        <f>B199&amp;" - Retirements"</f>
        <v>Mains GRIP - Retirements</v>
      </c>
      <c r="C202" s="490">
        <v>2022</v>
      </c>
      <c r="D202" s="567">
        <f>-'Sch. F 2022'!K90</f>
        <v>0</v>
      </c>
      <c r="E202" s="601">
        <f>'Sch. F 2022'!K92</f>
        <v>0</v>
      </c>
      <c r="F202" s="600">
        <f>D202*E202</f>
        <v>0</v>
      </c>
      <c r="G202" s="600"/>
      <c r="H202" s="317"/>
      <c r="I202" s="600"/>
      <c r="J202" s="600"/>
      <c r="K202" s="600"/>
      <c r="L202" s="600"/>
      <c r="M202" s="600"/>
      <c r="N202" s="600"/>
      <c r="O202" s="600">
        <f t="shared" si="33"/>
        <v>0</v>
      </c>
      <c r="P202" s="601">
        <f t="shared" si="30"/>
        <v>0</v>
      </c>
      <c r="Q202" s="600">
        <f t="shared" si="31"/>
        <v>0</v>
      </c>
      <c r="T202" s="679"/>
    </row>
    <row r="203" spans="1:20" s="598" customFormat="1" ht="13.5" thickBot="1">
      <c r="A203" s="566"/>
      <c r="B203" s="564" t="s">
        <v>557</v>
      </c>
      <c r="C203" s="490"/>
      <c r="D203" s="568">
        <f>SUM(D200:D202)</f>
        <v>146892672.63</v>
      </c>
      <c r="E203" s="565">
        <f>ROUND(F203/D203,1)</f>
        <v>5.7000000000000002</v>
      </c>
      <c r="F203" s="569">
        <f>SUM(F200:F202)</f>
        <v>838609054.15499973</v>
      </c>
      <c r="G203" s="570"/>
      <c r="H203" s="372"/>
      <c r="I203" s="568">
        <f>SUM(I200:I202)</f>
        <v>0</v>
      </c>
      <c r="J203" s="568">
        <f>SUM(J200:J202)</f>
        <v>13355.5</v>
      </c>
      <c r="K203" s="568">
        <f t="shared" si="34" ref="K203:N203">SUM(K200:K202)</f>
        <v>0</v>
      </c>
      <c r="L203" s="568">
        <f t="shared" si="34"/>
        <v>0</v>
      </c>
      <c r="M203" s="568">
        <f t="shared" si="34"/>
        <v>0</v>
      </c>
      <c r="N203" s="568">
        <f t="shared" si="34"/>
        <v>0</v>
      </c>
      <c r="O203" s="568">
        <f>SUM(O200:O202)</f>
        <v>146906028.13</v>
      </c>
      <c r="P203" s="565">
        <f>ROUND(Q203/O203,1)</f>
        <v>5.7000000000000002</v>
      </c>
      <c r="Q203" s="569">
        <f>SUM(Q200:Q202)</f>
        <v>838669153.90499973</v>
      </c>
      <c r="S203" s="604">
        <f>'Sch. G 2022'!H17</f>
        <v>146906029</v>
      </c>
      <c r="T203" s="679">
        <f>O203-S203</f>
        <v>-0.87000000476837158</v>
      </c>
    </row>
    <row r="204" spans="1:20" s="598" customFormat="1" ht="15" thickTop="1">
      <c r="A204" s="563"/>
      <c r="B204" s="571"/>
      <c r="D204" s="358"/>
      <c r="E204" s="572"/>
      <c r="F204" s="358"/>
      <c r="G204" s="358"/>
      <c r="H204" s="318"/>
      <c r="I204" s="358"/>
      <c r="J204" s="358"/>
      <c r="K204" s="358"/>
      <c r="L204" s="358"/>
      <c r="M204" s="358"/>
      <c r="N204" s="358"/>
      <c r="O204" s="600"/>
      <c r="P204" s="601"/>
      <c r="Q204" s="600"/>
      <c r="T204" s="679"/>
    </row>
    <row r="205" spans="1:17" s="598" customFormat="1" ht="15" outlineLevel="1">
      <c r="A205" s="597">
        <v>3780</v>
      </c>
      <c r="B205" s="598" t="s">
        <v>509</v>
      </c>
      <c r="C205" s="598">
        <v>1952</v>
      </c>
      <c r="D205" s="599">
        <v>142.42000000000002</v>
      </c>
      <c r="E205" s="601">
        <f>Input!$C$14-C205+0.5</f>
        <v>70.5</v>
      </c>
      <c r="F205" s="600">
        <f t="shared" si="35" ref="F205:F252">D205*E205</f>
        <v>10040.610000000001</v>
      </c>
      <c r="G205" s="600"/>
      <c r="H205" s="317"/>
      <c r="I205" s="600"/>
      <c r="J205" s="600"/>
      <c r="K205" s="600"/>
      <c r="L205" s="600"/>
      <c r="M205" s="600"/>
      <c r="N205" s="600"/>
      <c r="O205" s="600">
        <f t="shared" si="36" ref="O205:O252">SUM(D205,I205:N205)</f>
        <v>142.42000000000002</v>
      </c>
      <c r="P205" s="601">
        <f t="shared" si="30"/>
        <v>70.5</v>
      </c>
      <c r="Q205" s="600">
        <f t="shared" si="31"/>
        <v>10040.610000000001</v>
      </c>
    </row>
    <row r="206" spans="1:17" s="598" customFormat="1" ht="15" outlineLevel="1">
      <c r="A206" s="597">
        <v>3780</v>
      </c>
      <c r="B206" s="598" t="s">
        <v>509</v>
      </c>
      <c r="C206" s="598">
        <v>1961</v>
      </c>
      <c r="D206" s="599">
        <v>468.18000000000006</v>
      </c>
      <c r="E206" s="601">
        <f>Input!$C$14-C206+0.5</f>
        <v>61.5</v>
      </c>
      <c r="F206" s="600">
        <f t="shared" si="35"/>
        <v>28793.070000000003</v>
      </c>
      <c r="G206" s="600"/>
      <c r="H206" s="317"/>
      <c r="I206" s="600"/>
      <c r="J206" s="600"/>
      <c r="K206" s="600"/>
      <c r="L206" s="600"/>
      <c r="M206" s="600"/>
      <c r="N206" s="600"/>
      <c r="O206" s="600">
        <f t="shared" si="36"/>
        <v>468.18000000000006</v>
      </c>
      <c r="P206" s="601">
        <f t="shared" si="30"/>
        <v>61.5</v>
      </c>
      <c r="Q206" s="600">
        <f t="shared" si="31"/>
        <v>28793.070000000003</v>
      </c>
    </row>
    <row r="207" spans="1:17" s="598" customFormat="1" ht="15" outlineLevel="1">
      <c r="A207" s="597">
        <v>3780</v>
      </c>
      <c r="B207" s="598" t="s">
        <v>509</v>
      </c>
      <c r="C207" s="598">
        <v>1964</v>
      </c>
      <c r="D207" s="599">
        <v>1095.22</v>
      </c>
      <c r="E207" s="601">
        <f>Input!$C$14-C207+0.5</f>
        <v>58.5</v>
      </c>
      <c r="F207" s="600">
        <f t="shared" si="35"/>
        <v>64070.370000000003</v>
      </c>
      <c r="G207" s="600"/>
      <c r="H207" s="317"/>
      <c r="I207" s="600"/>
      <c r="J207" s="599"/>
      <c r="K207" s="600"/>
      <c r="L207" s="599"/>
      <c r="M207" s="599"/>
      <c r="N207" s="600"/>
      <c r="O207" s="600">
        <f t="shared" si="36"/>
        <v>1095.22</v>
      </c>
      <c r="P207" s="601">
        <f t="shared" si="30"/>
        <v>58.5</v>
      </c>
      <c r="Q207" s="600">
        <f t="shared" si="31"/>
        <v>64070.370000000003</v>
      </c>
    </row>
    <row r="208" spans="1:17" s="598" customFormat="1" ht="15" outlineLevel="1">
      <c r="A208" s="597">
        <v>3780</v>
      </c>
      <c r="B208" s="598" t="s">
        <v>509</v>
      </c>
      <c r="C208" s="598">
        <v>1970</v>
      </c>
      <c r="D208" s="573">
        <v>6902</v>
      </c>
      <c r="E208" s="601">
        <f>Input!$C$14-C208+0.5</f>
        <v>52.5</v>
      </c>
      <c r="F208" s="600">
        <f>D208*E208</f>
        <v>362355</v>
      </c>
      <c r="G208" s="600"/>
      <c r="H208" s="317"/>
      <c r="I208" s="600"/>
      <c r="J208" s="600"/>
      <c r="K208" s="600"/>
      <c r="L208" s="600"/>
      <c r="M208" s="600"/>
      <c r="N208" s="600"/>
      <c r="O208" s="600">
        <f t="shared" si="36"/>
        <v>6902</v>
      </c>
      <c r="P208" s="601">
        <f>E208</f>
        <v>52.5</v>
      </c>
      <c r="Q208" s="600">
        <f>O208*P208</f>
        <v>362355</v>
      </c>
    </row>
    <row r="209" spans="1:17" s="598" customFormat="1" ht="15" outlineLevel="1">
      <c r="A209" s="597">
        <v>3780</v>
      </c>
      <c r="B209" s="598" t="s">
        <v>509</v>
      </c>
      <c r="C209" s="598">
        <v>1971</v>
      </c>
      <c r="D209" s="574">
        <v>713</v>
      </c>
      <c r="E209" s="601">
        <f>Input!$C$14-C209+0.5</f>
        <v>51.5</v>
      </c>
      <c r="F209" s="600">
        <f>D209*E209</f>
        <v>36719.5</v>
      </c>
      <c r="G209" s="600"/>
      <c r="H209" s="317"/>
      <c r="I209" s="600"/>
      <c r="J209" s="600"/>
      <c r="K209" s="600"/>
      <c r="L209" s="600"/>
      <c r="M209" s="600"/>
      <c r="N209" s="600"/>
      <c r="O209" s="600">
        <f t="shared" si="36"/>
        <v>713</v>
      </c>
      <c r="P209" s="601">
        <f>E209</f>
        <v>51.5</v>
      </c>
      <c r="Q209" s="600">
        <f>O209*P209</f>
        <v>36719.5</v>
      </c>
    </row>
    <row r="210" spans="1:17" s="598" customFormat="1" ht="15" outlineLevel="1">
      <c r="A210" s="597">
        <v>3780</v>
      </c>
      <c r="B210" s="598" t="s">
        <v>509</v>
      </c>
      <c r="C210" s="598">
        <v>1973</v>
      </c>
      <c r="D210" s="599">
        <v>1932.0799999999999</v>
      </c>
      <c r="E210" s="601">
        <f>Input!$C$14-C210+0.5</f>
        <v>49.5</v>
      </c>
      <c r="F210" s="600">
        <f t="shared" si="35"/>
        <v>95637.959999999992</v>
      </c>
      <c r="G210" s="600"/>
      <c r="H210" s="317"/>
      <c r="I210" s="600"/>
      <c r="J210" s="599"/>
      <c r="K210" s="600"/>
      <c r="L210" s="599"/>
      <c r="M210" s="599"/>
      <c r="N210" s="600"/>
      <c r="O210" s="600">
        <f t="shared" si="36"/>
        <v>1932.0799999999999</v>
      </c>
      <c r="P210" s="601">
        <f t="shared" si="30"/>
        <v>49.5</v>
      </c>
      <c r="Q210" s="600">
        <f t="shared" si="31"/>
        <v>95637.959999999992</v>
      </c>
    </row>
    <row r="211" spans="1:17" s="598" customFormat="1" ht="15" outlineLevel="1">
      <c r="A211" s="597">
        <v>3780</v>
      </c>
      <c r="B211" s="598" t="s">
        <v>509</v>
      </c>
      <c r="C211" s="598">
        <v>1974</v>
      </c>
      <c r="D211" s="599">
        <v>2090.7000000000003</v>
      </c>
      <c r="E211" s="601">
        <f>Input!$C$14-C211+0.5</f>
        <v>48.5</v>
      </c>
      <c r="F211" s="600">
        <f t="shared" si="35"/>
        <v>101398.95000000001</v>
      </c>
      <c r="G211" s="600"/>
      <c r="H211" s="317"/>
      <c r="I211" s="600"/>
      <c r="J211" s="599"/>
      <c r="K211" s="600"/>
      <c r="L211" s="599"/>
      <c r="M211" s="599"/>
      <c r="N211" s="600"/>
      <c r="O211" s="600">
        <f t="shared" si="36"/>
        <v>2090.7000000000003</v>
      </c>
      <c r="P211" s="601">
        <f t="shared" si="30"/>
        <v>48.5</v>
      </c>
      <c r="Q211" s="600">
        <f t="shared" si="31"/>
        <v>101398.95000000001</v>
      </c>
    </row>
    <row r="212" spans="1:17" s="598" customFormat="1" ht="15" outlineLevel="1">
      <c r="A212" s="597">
        <v>3780</v>
      </c>
      <c r="B212" s="598" t="s">
        <v>509</v>
      </c>
      <c r="C212" s="598">
        <v>1981</v>
      </c>
      <c r="D212" s="599">
        <v>7263.5100000000002</v>
      </c>
      <c r="E212" s="601">
        <f>Input!$C$14-C212+0.5</f>
        <v>41.5</v>
      </c>
      <c r="F212" s="600">
        <f t="shared" si="35"/>
        <v>301435.66500000004</v>
      </c>
      <c r="G212" s="600"/>
      <c r="H212" s="317"/>
      <c r="I212" s="600"/>
      <c r="J212" s="599"/>
      <c r="K212" s="600"/>
      <c r="L212" s="599"/>
      <c r="M212" s="599"/>
      <c r="N212" s="600"/>
      <c r="O212" s="600">
        <f t="shared" si="36"/>
        <v>7263.5100000000002</v>
      </c>
      <c r="P212" s="601">
        <f t="shared" si="30"/>
        <v>41.5</v>
      </c>
      <c r="Q212" s="600">
        <f t="shared" si="31"/>
        <v>301435.66500000004</v>
      </c>
    </row>
    <row r="213" spans="1:17" s="598" customFormat="1" ht="15" outlineLevel="1">
      <c r="A213" s="597">
        <v>3780</v>
      </c>
      <c r="B213" s="598" t="s">
        <v>509</v>
      </c>
      <c r="C213" s="598">
        <v>1982</v>
      </c>
      <c r="D213" s="599">
        <v>38752.76999999999</v>
      </c>
      <c r="E213" s="601">
        <f>Input!$C$14-C213+0.5</f>
        <v>40.5</v>
      </c>
      <c r="F213" s="600">
        <f t="shared" si="35"/>
        <v>1569487.1849999996</v>
      </c>
      <c r="G213" s="600"/>
      <c r="H213" s="317"/>
      <c r="I213" s="600"/>
      <c r="J213" s="600"/>
      <c r="K213" s="600"/>
      <c r="L213" s="600"/>
      <c r="M213" s="600"/>
      <c r="N213" s="600"/>
      <c r="O213" s="600">
        <f t="shared" si="36"/>
        <v>38752.76999999999</v>
      </c>
      <c r="P213" s="601">
        <f t="shared" si="30"/>
        <v>40.5</v>
      </c>
      <c r="Q213" s="600">
        <f t="shared" si="31"/>
        <v>1569487.1849999996</v>
      </c>
    </row>
    <row r="214" spans="1:17" s="598" customFormat="1" ht="15" outlineLevel="1">
      <c r="A214" s="597">
        <v>3780</v>
      </c>
      <c r="B214" s="598" t="s">
        <v>509</v>
      </c>
      <c r="C214" s="598">
        <v>1983</v>
      </c>
      <c r="D214" s="599">
        <v>1782.5900000000001</v>
      </c>
      <c r="E214" s="601">
        <f>Input!$C$14-C214+0.5</f>
        <v>39.5</v>
      </c>
      <c r="F214" s="600">
        <f t="shared" si="35"/>
        <v>70412.305000000008</v>
      </c>
      <c r="G214" s="600"/>
      <c r="H214" s="317"/>
      <c r="I214" s="600"/>
      <c r="J214" s="599"/>
      <c r="K214" s="600"/>
      <c r="L214" s="599"/>
      <c r="M214" s="599"/>
      <c r="N214" s="600"/>
      <c r="O214" s="600">
        <f t="shared" si="36"/>
        <v>1782.5900000000001</v>
      </c>
      <c r="P214" s="601">
        <f t="shared" si="30"/>
        <v>39.5</v>
      </c>
      <c r="Q214" s="600">
        <f t="shared" si="31"/>
        <v>70412.305000000008</v>
      </c>
    </row>
    <row r="215" spans="1:17" s="598" customFormat="1" ht="15" outlineLevel="1">
      <c r="A215" s="597">
        <v>3780</v>
      </c>
      <c r="B215" s="598" t="s">
        <v>509</v>
      </c>
      <c r="C215" s="598">
        <v>1984</v>
      </c>
      <c r="D215" s="599">
        <v>80.329999999999998</v>
      </c>
      <c r="E215" s="601">
        <f>Input!$C$14-C215+0.5</f>
        <v>38.5</v>
      </c>
      <c r="F215" s="600">
        <f t="shared" si="35"/>
        <v>3092.7049999999999</v>
      </c>
      <c r="G215" s="600"/>
      <c r="H215" s="317"/>
      <c r="I215" s="600"/>
      <c r="J215" s="599"/>
      <c r="K215" s="600"/>
      <c r="L215" s="599"/>
      <c r="M215" s="599"/>
      <c r="N215" s="600"/>
      <c r="O215" s="600">
        <f t="shared" si="36"/>
        <v>80.329999999999998</v>
      </c>
      <c r="P215" s="601">
        <f t="shared" si="30"/>
        <v>38.5</v>
      </c>
      <c r="Q215" s="600">
        <f t="shared" si="31"/>
        <v>3092.7049999999999</v>
      </c>
    </row>
    <row r="216" spans="1:17" s="598" customFormat="1" ht="15" outlineLevel="1">
      <c r="A216" s="597">
        <v>3780</v>
      </c>
      <c r="B216" s="598" t="s">
        <v>509</v>
      </c>
      <c r="C216" s="598">
        <v>1985</v>
      </c>
      <c r="D216" s="599">
        <v>14844.91</v>
      </c>
      <c r="E216" s="601">
        <f>Input!$C$14-C216+0.5</f>
        <v>37.5</v>
      </c>
      <c r="F216" s="600">
        <f t="shared" si="35"/>
        <v>556684.125</v>
      </c>
      <c r="G216" s="600"/>
      <c r="H216" s="317"/>
      <c r="I216" s="600"/>
      <c r="J216" s="600"/>
      <c r="K216" s="600"/>
      <c r="L216" s="600"/>
      <c r="M216" s="600"/>
      <c r="N216" s="600"/>
      <c r="O216" s="600">
        <f t="shared" si="36"/>
        <v>14844.91</v>
      </c>
      <c r="P216" s="601">
        <f t="shared" si="30"/>
        <v>37.5</v>
      </c>
      <c r="Q216" s="600">
        <f t="shared" si="31"/>
        <v>556684.125</v>
      </c>
    </row>
    <row r="217" spans="1:17" s="598" customFormat="1" ht="15" outlineLevel="1">
      <c r="A217" s="597">
        <v>3780</v>
      </c>
      <c r="B217" s="598" t="s">
        <v>509</v>
      </c>
      <c r="C217" s="598">
        <v>1986</v>
      </c>
      <c r="D217" s="599">
        <v>2154.8400000000001</v>
      </c>
      <c r="E217" s="601">
        <f>Input!$C$14-C217+0.5</f>
        <v>36.5</v>
      </c>
      <c r="F217" s="600">
        <f t="shared" si="35"/>
        <v>78651.660000000003</v>
      </c>
      <c r="G217" s="600"/>
      <c r="H217" s="317"/>
      <c r="I217" s="600"/>
      <c r="J217" s="599"/>
      <c r="K217" s="600"/>
      <c r="L217" s="599"/>
      <c r="M217" s="599"/>
      <c r="N217" s="600"/>
      <c r="O217" s="600">
        <f t="shared" si="36"/>
        <v>2154.8400000000001</v>
      </c>
      <c r="P217" s="601">
        <f t="shared" si="30"/>
        <v>36.5</v>
      </c>
      <c r="Q217" s="600">
        <f t="shared" si="31"/>
        <v>78651.660000000003</v>
      </c>
    </row>
    <row r="218" spans="1:17" s="598" customFormat="1" ht="15" outlineLevel="1">
      <c r="A218" s="597">
        <v>3780</v>
      </c>
      <c r="B218" s="598" t="s">
        <v>509</v>
      </c>
      <c r="C218" s="598">
        <v>1987</v>
      </c>
      <c r="D218" s="599">
        <v>5861.7399999999998</v>
      </c>
      <c r="E218" s="601">
        <f>Input!$C$14-C218+0.5</f>
        <v>35.5</v>
      </c>
      <c r="F218" s="600">
        <f t="shared" si="35"/>
        <v>208091.76999999999</v>
      </c>
      <c r="G218" s="600"/>
      <c r="H218" s="317"/>
      <c r="I218" s="600"/>
      <c r="J218" s="599"/>
      <c r="K218" s="600"/>
      <c r="L218" s="599"/>
      <c r="M218" s="599"/>
      <c r="N218" s="600"/>
      <c r="O218" s="600">
        <f t="shared" si="36"/>
        <v>5861.7399999999998</v>
      </c>
      <c r="P218" s="601">
        <f t="shared" si="30"/>
        <v>35.5</v>
      </c>
      <c r="Q218" s="600">
        <f t="shared" si="31"/>
        <v>208091.76999999999</v>
      </c>
    </row>
    <row r="219" spans="1:17" s="598" customFormat="1" ht="15" outlineLevel="1">
      <c r="A219" s="597">
        <v>3780</v>
      </c>
      <c r="B219" s="598" t="s">
        <v>509</v>
      </c>
      <c r="C219" s="598">
        <v>1988</v>
      </c>
      <c r="D219" s="599">
        <v>10409.860000000001</v>
      </c>
      <c r="E219" s="601">
        <f>Input!$C$14-C219+0.5</f>
        <v>34.5</v>
      </c>
      <c r="F219" s="600">
        <f t="shared" si="35"/>
        <v>359140.17000000004</v>
      </c>
      <c r="G219" s="600"/>
      <c r="H219" s="317"/>
      <c r="I219" s="600"/>
      <c r="J219" s="600"/>
      <c r="K219" s="600"/>
      <c r="L219" s="600"/>
      <c r="M219" s="600"/>
      <c r="N219" s="600"/>
      <c r="O219" s="600">
        <f t="shared" si="36"/>
        <v>10409.860000000001</v>
      </c>
      <c r="P219" s="601">
        <f t="shared" si="30"/>
        <v>34.5</v>
      </c>
      <c r="Q219" s="600">
        <f t="shared" si="31"/>
        <v>359140.17000000004</v>
      </c>
    </row>
    <row r="220" spans="1:17" s="598" customFormat="1" ht="15" outlineLevel="1">
      <c r="A220" s="597">
        <v>3780</v>
      </c>
      <c r="B220" s="598" t="s">
        <v>509</v>
      </c>
      <c r="C220" s="598">
        <v>1989</v>
      </c>
      <c r="D220" s="599">
        <v>8387.9099999999999</v>
      </c>
      <c r="E220" s="601">
        <f>Input!$C$14-C220+0.5</f>
        <v>33.5</v>
      </c>
      <c r="F220" s="600">
        <f t="shared" si="35"/>
        <v>280994.98499999999</v>
      </c>
      <c r="G220" s="600"/>
      <c r="H220" s="317"/>
      <c r="I220" s="600"/>
      <c r="J220" s="600"/>
      <c r="K220" s="600"/>
      <c r="L220" s="600"/>
      <c r="M220" s="600"/>
      <c r="N220" s="600"/>
      <c r="O220" s="600">
        <f t="shared" si="36"/>
        <v>8387.9099999999999</v>
      </c>
      <c r="P220" s="601">
        <f t="shared" si="30"/>
        <v>33.5</v>
      </c>
      <c r="Q220" s="600">
        <f t="shared" si="31"/>
        <v>280994.98499999999</v>
      </c>
    </row>
    <row r="221" spans="1:17" s="598" customFormat="1" ht="15" outlineLevel="1">
      <c r="A221" s="597">
        <v>3780</v>
      </c>
      <c r="B221" s="598" t="s">
        <v>509</v>
      </c>
      <c r="C221" s="598">
        <v>1990</v>
      </c>
      <c r="D221" s="599">
        <v>6308.4700000000003</v>
      </c>
      <c r="E221" s="601">
        <f>Input!$C$14-C221+0.5</f>
        <v>32.5</v>
      </c>
      <c r="F221" s="600">
        <f t="shared" si="35"/>
        <v>205025.27499999999</v>
      </c>
      <c r="G221" s="600"/>
      <c r="H221" s="317"/>
      <c r="I221" s="600"/>
      <c r="J221" s="600"/>
      <c r="K221" s="600"/>
      <c r="L221" s="600"/>
      <c r="M221" s="600"/>
      <c r="N221" s="600"/>
      <c r="O221" s="600">
        <f t="shared" si="36"/>
        <v>6308.4700000000003</v>
      </c>
      <c r="P221" s="601">
        <f t="shared" si="30"/>
        <v>32.5</v>
      </c>
      <c r="Q221" s="600">
        <f t="shared" si="31"/>
        <v>205025.27499999999</v>
      </c>
    </row>
    <row r="222" spans="1:17" s="598" customFormat="1" ht="15" outlineLevel="1">
      <c r="A222" s="597">
        <v>3780</v>
      </c>
      <c r="B222" s="598" t="s">
        <v>509</v>
      </c>
      <c r="C222" s="598">
        <v>1991</v>
      </c>
      <c r="D222" s="599">
        <v>84280.699999999983</v>
      </c>
      <c r="E222" s="601">
        <f>Input!$C$14-C222+0.5</f>
        <v>31.5</v>
      </c>
      <c r="F222" s="600">
        <f t="shared" si="35"/>
        <v>2654842.0499999993</v>
      </c>
      <c r="G222" s="600"/>
      <c r="H222" s="317"/>
      <c r="I222" s="600"/>
      <c r="J222" s="600"/>
      <c r="K222" s="600"/>
      <c r="L222" s="600"/>
      <c r="M222" s="600"/>
      <c r="N222" s="600"/>
      <c r="O222" s="600">
        <f t="shared" si="36"/>
        <v>84280.699999999983</v>
      </c>
      <c r="P222" s="601">
        <f t="shared" si="30"/>
        <v>31.5</v>
      </c>
      <c r="Q222" s="600">
        <f t="shared" si="31"/>
        <v>2654842.0499999993</v>
      </c>
    </row>
    <row r="223" spans="1:17" s="598" customFormat="1" ht="15" outlineLevel="1">
      <c r="A223" s="597">
        <v>3780</v>
      </c>
      <c r="B223" s="598" t="s">
        <v>509</v>
      </c>
      <c r="C223" s="598">
        <v>1992</v>
      </c>
      <c r="D223" s="599">
        <v>34585.449999999997</v>
      </c>
      <c r="E223" s="601">
        <f>Input!$C$14-C223+0.5</f>
        <v>30.5</v>
      </c>
      <c r="F223" s="600">
        <f t="shared" si="35"/>
        <v>1054856.2249999999</v>
      </c>
      <c r="G223" s="600"/>
      <c r="H223" s="317"/>
      <c r="I223" s="600"/>
      <c r="J223" s="600"/>
      <c r="K223" s="600"/>
      <c r="L223" s="600"/>
      <c r="M223" s="600"/>
      <c r="N223" s="600"/>
      <c r="O223" s="600">
        <f t="shared" si="36"/>
        <v>34585.449999999997</v>
      </c>
      <c r="P223" s="601">
        <f t="shared" si="30"/>
        <v>30.5</v>
      </c>
      <c r="Q223" s="600">
        <f t="shared" si="31"/>
        <v>1054856.2249999999</v>
      </c>
    </row>
    <row r="224" spans="1:17" s="598" customFormat="1" ht="15" outlineLevel="1">
      <c r="A224" s="597">
        <v>3780</v>
      </c>
      <c r="B224" s="598" t="s">
        <v>509</v>
      </c>
      <c r="C224" s="598">
        <v>1993</v>
      </c>
      <c r="D224" s="599">
        <f>86277.81+3307</f>
        <v>89584.809999999998</v>
      </c>
      <c r="E224" s="601">
        <f>Input!$C$14-C224+0.5</f>
        <v>29.5</v>
      </c>
      <c r="F224" s="600">
        <f t="shared" si="35"/>
        <v>2642751.895</v>
      </c>
      <c r="G224" s="600"/>
      <c r="H224" s="317"/>
      <c r="I224" s="600"/>
      <c r="J224" s="600"/>
      <c r="K224" s="600"/>
      <c r="L224" s="600"/>
      <c r="M224" s="600"/>
      <c r="N224" s="600"/>
      <c r="O224" s="600">
        <f t="shared" si="36"/>
        <v>89584.809999999998</v>
      </c>
      <c r="P224" s="601">
        <f t="shared" si="30"/>
        <v>29.5</v>
      </c>
      <c r="Q224" s="600">
        <f t="shared" si="31"/>
        <v>2642751.895</v>
      </c>
    </row>
    <row r="225" spans="1:17" s="598" customFormat="1" ht="15" outlineLevel="1">
      <c r="A225" s="597">
        <v>3780</v>
      </c>
      <c r="B225" s="598" t="s">
        <v>509</v>
      </c>
      <c r="C225" s="598">
        <v>1994</v>
      </c>
      <c r="D225" s="599">
        <f>64581.47+4784</f>
        <v>69365.470000000001</v>
      </c>
      <c r="E225" s="601">
        <f>Input!$C$14-C225+0.5</f>
        <v>28.5</v>
      </c>
      <c r="F225" s="600">
        <f t="shared" si="35"/>
        <v>1976915.895</v>
      </c>
      <c r="G225" s="600"/>
      <c r="H225" s="317"/>
      <c r="I225" s="600"/>
      <c r="J225" s="600"/>
      <c r="K225" s="600"/>
      <c r="L225" s="600"/>
      <c r="M225" s="600"/>
      <c r="N225" s="600"/>
      <c r="O225" s="600">
        <f t="shared" si="36"/>
        <v>69365.470000000001</v>
      </c>
      <c r="P225" s="601">
        <f t="shared" si="30"/>
        <v>28.5</v>
      </c>
      <c r="Q225" s="600">
        <f t="shared" si="31"/>
        <v>1976915.895</v>
      </c>
    </row>
    <row r="226" spans="1:17" s="598" customFormat="1" ht="15" outlineLevel="1">
      <c r="A226" s="597">
        <v>3780</v>
      </c>
      <c r="B226" s="598" t="s">
        <v>509</v>
      </c>
      <c r="C226" s="598">
        <v>1995</v>
      </c>
      <c r="D226" s="599">
        <v>78314.959999999992</v>
      </c>
      <c r="E226" s="601">
        <f>Input!$C$14-C226+0.5</f>
        <v>27.5</v>
      </c>
      <c r="F226" s="600">
        <f t="shared" si="35"/>
        <v>2153661.3999999999</v>
      </c>
      <c r="G226" s="600"/>
      <c r="H226" s="317"/>
      <c r="I226" s="600"/>
      <c r="J226" s="600"/>
      <c r="K226" s="600"/>
      <c r="L226" s="600"/>
      <c r="M226" s="600"/>
      <c r="N226" s="600"/>
      <c r="O226" s="600">
        <f t="shared" si="36"/>
        <v>78314.959999999992</v>
      </c>
      <c r="P226" s="601">
        <f t="shared" si="30"/>
        <v>27.5</v>
      </c>
      <c r="Q226" s="600">
        <f t="shared" si="31"/>
        <v>2153661.3999999999</v>
      </c>
    </row>
    <row r="227" spans="1:17" s="598" customFormat="1" ht="15" outlineLevel="1">
      <c r="A227" s="597">
        <v>3780</v>
      </c>
      <c r="B227" s="598" t="s">
        <v>509</v>
      </c>
      <c r="C227" s="598">
        <v>1996</v>
      </c>
      <c r="D227" s="599">
        <f>99628.61+7661</f>
        <v>107289.61</v>
      </c>
      <c r="E227" s="601">
        <f>Input!$C$14-C227+0.5</f>
        <v>26.5</v>
      </c>
      <c r="F227" s="600">
        <f t="shared" si="35"/>
        <v>2843174.665</v>
      </c>
      <c r="G227" s="600"/>
      <c r="H227" s="317"/>
      <c r="I227" s="600"/>
      <c r="J227" s="600"/>
      <c r="K227" s="600"/>
      <c r="L227" s="600"/>
      <c r="M227" s="600"/>
      <c r="N227" s="600"/>
      <c r="O227" s="600">
        <f t="shared" si="36"/>
        <v>107289.61</v>
      </c>
      <c r="P227" s="601">
        <f t="shared" si="30"/>
        <v>26.5</v>
      </c>
      <c r="Q227" s="600">
        <f t="shared" si="31"/>
        <v>2843174.665</v>
      </c>
    </row>
    <row r="228" spans="1:17" s="598" customFormat="1" ht="15" outlineLevel="1">
      <c r="A228" s="597">
        <v>3780</v>
      </c>
      <c r="B228" s="598" t="s">
        <v>509</v>
      </c>
      <c r="C228" s="598">
        <v>1997</v>
      </c>
      <c r="D228" s="599">
        <f>73519.83+1495</f>
        <v>75014.830000000002</v>
      </c>
      <c r="E228" s="601">
        <f>Input!$C$14-C228+0.5</f>
        <v>25.5</v>
      </c>
      <c r="F228" s="600">
        <f t="shared" si="35"/>
        <v>1912878.165</v>
      </c>
      <c r="G228" s="600"/>
      <c r="H228" s="317"/>
      <c r="I228" s="600"/>
      <c r="J228" s="600"/>
      <c r="K228" s="600"/>
      <c r="L228" s="600"/>
      <c r="M228" s="600"/>
      <c r="N228" s="600"/>
      <c r="O228" s="600">
        <f t="shared" si="36"/>
        <v>75014.830000000002</v>
      </c>
      <c r="P228" s="601">
        <f t="shared" si="30"/>
        <v>25.5</v>
      </c>
      <c r="Q228" s="600">
        <f t="shared" si="31"/>
        <v>1912878.165</v>
      </c>
    </row>
    <row r="229" spans="1:17" s="598" customFormat="1" ht="15" outlineLevel="1">
      <c r="A229" s="597">
        <v>3780</v>
      </c>
      <c r="B229" s="598" t="s">
        <v>509</v>
      </c>
      <c r="C229" s="598">
        <v>1998</v>
      </c>
      <c r="D229" s="599">
        <v>36732.780000000006</v>
      </c>
      <c r="E229" s="601">
        <f>Input!$C$14-C229+0.5</f>
        <v>24.5</v>
      </c>
      <c r="F229" s="600">
        <f t="shared" si="35"/>
        <v>899953.1100000001</v>
      </c>
      <c r="G229" s="600"/>
      <c r="H229" s="317"/>
      <c r="I229" s="600"/>
      <c r="J229" s="600"/>
      <c r="K229" s="600"/>
      <c r="L229" s="600"/>
      <c r="M229" s="600"/>
      <c r="N229" s="600"/>
      <c r="O229" s="600">
        <f t="shared" si="36"/>
        <v>36732.780000000006</v>
      </c>
      <c r="P229" s="601">
        <f t="shared" si="30"/>
        <v>24.5</v>
      </c>
      <c r="Q229" s="600">
        <f t="shared" si="31"/>
        <v>899953.1100000001</v>
      </c>
    </row>
    <row r="230" spans="1:17" s="598" customFormat="1" ht="15" outlineLevel="1">
      <c r="A230" s="597">
        <v>3780</v>
      </c>
      <c r="B230" s="598" t="s">
        <v>509</v>
      </c>
      <c r="C230" s="598">
        <v>1999</v>
      </c>
      <c r="D230" s="599">
        <v>46386.010000000002</v>
      </c>
      <c r="E230" s="601">
        <f>Input!$C$14-C230+0.5</f>
        <v>23.5</v>
      </c>
      <c r="F230" s="600">
        <f t="shared" si="35"/>
        <v>1090071.2350000001</v>
      </c>
      <c r="G230" s="600"/>
      <c r="H230" s="317"/>
      <c r="I230" s="600"/>
      <c r="J230" s="600"/>
      <c r="K230" s="600"/>
      <c r="L230" s="600"/>
      <c r="M230" s="600"/>
      <c r="N230" s="600"/>
      <c r="O230" s="600">
        <f t="shared" si="36"/>
        <v>46386.010000000002</v>
      </c>
      <c r="P230" s="601">
        <f t="shared" si="30"/>
        <v>23.5</v>
      </c>
      <c r="Q230" s="600">
        <f t="shared" si="31"/>
        <v>1090071.2350000001</v>
      </c>
    </row>
    <row r="231" spans="1:17" s="598" customFormat="1" ht="15" outlineLevel="1">
      <c r="A231" s="597">
        <v>3780</v>
      </c>
      <c r="B231" s="598" t="s">
        <v>509</v>
      </c>
      <c r="C231" s="598">
        <v>2000</v>
      </c>
      <c r="D231" s="599">
        <f>34344.47+20947</f>
        <v>55291.470000000001</v>
      </c>
      <c r="E231" s="601">
        <f>Input!$C$14-C231+0.5</f>
        <v>22.5</v>
      </c>
      <c r="F231" s="600">
        <f t="shared" si="35"/>
        <v>1244058.075</v>
      </c>
      <c r="G231" s="600"/>
      <c r="H231" s="317"/>
      <c r="I231" s="600"/>
      <c r="J231" s="600"/>
      <c r="K231" s="600"/>
      <c r="L231" s="600"/>
      <c r="M231" s="600"/>
      <c r="N231" s="600"/>
      <c r="O231" s="600">
        <f t="shared" si="36"/>
        <v>55291.470000000001</v>
      </c>
      <c r="P231" s="601">
        <f t="shared" si="30"/>
        <v>22.5</v>
      </c>
      <c r="Q231" s="600">
        <f t="shared" si="31"/>
        <v>1244058.075</v>
      </c>
    </row>
    <row r="232" spans="1:17" s="598" customFormat="1" ht="15" outlineLevel="1">
      <c r="A232" s="597">
        <v>3780</v>
      </c>
      <c r="B232" s="598" t="s">
        <v>509</v>
      </c>
      <c r="C232" s="598">
        <v>2001</v>
      </c>
      <c r="D232" s="599">
        <v>55499.360000000001</v>
      </c>
      <c r="E232" s="601">
        <f>Input!$C$14-C232+0.5</f>
        <v>21.5</v>
      </c>
      <c r="F232" s="600">
        <f t="shared" si="35"/>
        <v>1193236.24</v>
      </c>
      <c r="G232" s="600"/>
      <c r="H232" s="317"/>
      <c r="I232" s="600"/>
      <c r="J232" s="600"/>
      <c r="K232" s="600"/>
      <c r="L232" s="600">
        <v>-33852.959999999999</v>
      </c>
      <c r="M232" s="600"/>
      <c r="N232" s="600"/>
      <c r="O232" s="600">
        <f t="shared" si="36"/>
        <v>21646.400000000001</v>
      </c>
      <c r="P232" s="601">
        <f t="shared" si="30"/>
        <v>21.5</v>
      </c>
      <c r="Q232" s="600">
        <f t="shared" si="31"/>
        <v>465397.60000000003</v>
      </c>
    </row>
    <row r="233" spans="1:17" s="598" customFormat="1" ht="15" outlineLevel="1">
      <c r="A233" s="597">
        <v>3780</v>
      </c>
      <c r="B233" s="598" t="s">
        <v>509</v>
      </c>
      <c r="C233" s="598">
        <v>2002</v>
      </c>
      <c r="D233" s="599">
        <f>21629.98+2173+1068.8</f>
        <v>24871.779999999999</v>
      </c>
      <c r="E233" s="601">
        <f>Input!$C$14-C233+0.5</f>
        <v>20.5</v>
      </c>
      <c r="F233" s="600">
        <f t="shared" si="35"/>
        <v>509871.48999999999</v>
      </c>
      <c r="G233" s="600"/>
      <c r="H233" s="317"/>
      <c r="I233" s="600"/>
      <c r="J233" s="600"/>
      <c r="K233" s="600"/>
      <c r="L233" s="600"/>
      <c r="M233" s="600"/>
      <c r="N233" s="600"/>
      <c r="O233" s="600">
        <f t="shared" si="36"/>
        <v>24871.779999999999</v>
      </c>
      <c r="P233" s="601">
        <f t="shared" si="30"/>
        <v>20.5</v>
      </c>
      <c r="Q233" s="600">
        <f t="shared" si="31"/>
        <v>509871.48999999999</v>
      </c>
    </row>
    <row r="234" spans="1:17" s="598" customFormat="1" ht="15" outlineLevel="1">
      <c r="A234" s="597">
        <v>3780</v>
      </c>
      <c r="B234" s="598" t="s">
        <v>509</v>
      </c>
      <c r="C234" s="598">
        <v>2003</v>
      </c>
      <c r="D234" s="599">
        <v>184438.93000000002</v>
      </c>
      <c r="E234" s="601">
        <f>Input!$C$14-C234+0.5</f>
        <v>19.5</v>
      </c>
      <c r="F234" s="600">
        <f t="shared" si="35"/>
        <v>3596559.1350000002</v>
      </c>
      <c r="G234" s="600"/>
      <c r="H234" s="317"/>
      <c r="I234" s="600"/>
      <c r="J234" s="600"/>
      <c r="K234" s="600"/>
      <c r="L234" s="600">
        <v>-401.80000000000001</v>
      </c>
      <c r="M234" s="600"/>
      <c r="N234" s="600"/>
      <c r="O234" s="600">
        <f t="shared" si="36"/>
        <v>184037.13000000003</v>
      </c>
      <c r="P234" s="601">
        <f t="shared" si="30"/>
        <v>19.5</v>
      </c>
      <c r="Q234" s="600">
        <f t="shared" si="31"/>
        <v>3588724.0350000006</v>
      </c>
    </row>
    <row r="235" spans="1:17" s="598" customFormat="1" ht="15" outlineLevel="1">
      <c r="A235" s="597">
        <v>3780</v>
      </c>
      <c r="B235" s="598" t="s">
        <v>509</v>
      </c>
      <c r="C235" s="598">
        <v>2004</v>
      </c>
      <c r="D235" s="599">
        <v>140466.82000000001</v>
      </c>
      <c r="E235" s="601">
        <f>Input!$C$14-C235+0.5</f>
        <v>18.5</v>
      </c>
      <c r="F235" s="600">
        <f t="shared" si="35"/>
        <v>2598636.1699999999</v>
      </c>
      <c r="G235" s="600"/>
      <c r="H235" s="317"/>
      <c r="I235" s="600"/>
      <c r="J235" s="600"/>
      <c r="K235" s="600"/>
      <c r="L235" s="600"/>
      <c r="M235" s="600"/>
      <c r="N235" s="600"/>
      <c r="O235" s="600">
        <f t="shared" si="36"/>
        <v>140466.82000000001</v>
      </c>
      <c r="P235" s="601">
        <f t="shared" si="30"/>
        <v>18.5</v>
      </c>
      <c r="Q235" s="600">
        <f t="shared" si="31"/>
        <v>2598636.1699999999</v>
      </c>
    </row>
    <row r="236" spans="1:17" s="598" customFormat="1" ht="15" outlineLevel="1">
      <c r="A236" s="597">
        <v>3780</v>
      </c>
      <c r="B236" s="598" t="s">
        <v>509</v>
      </c>
      <c r="C236" s="598">
        <v>2005</v>
      </c>
      <c r="D236" s="599">
        <v>37848.110000000008</v>
      </c>
      <c r="E236" s="601">
        <f>Input!$C$14-C236+0.5</f>
        <v>17.5</v>
      </c>
      <c r="F236" s="600">
        <f t="shared" si="35"/>
        <v>662341.92500000016</v>
      </c>
      <c r="G236" s="600"/>
      <c r="H236" s="317"/>
      <c r="I236" s="600"/>
      <c r="J236" s="600"/>
      <c r="K236" s="600"/>
      <c r="L236" s="600"/>
      <c r="M236" s="600"/>
      <c r="N236" s="600"/>
      <c r="O236" s="600">
        <f t="shared" si="36"/>
        <v>37848.110000000008</v>
      </c>
      <c r="P236" s="601">
        <f t="shared" si="30"/>
        <v>17.5</v>
      </c>
      <c r="Q236" s="600">
        <f t="shared" si="31"/>
        <v>662341.92500000016</v>
      </c>
    </row>
    <row r="237" spans="1:17" s="598" customFormat="1" ht="15" outlineLevel="1">
      <c r="A237" s="597">
        <v>3780</v>
      </c>
      <c r="B237" s="598" t="s">
        <v>509</v>
      </c>
      <c r="C237" s="598">
        <v>2006</v>
      </c>
      <c r="D237" s="599">
        <v>22554.739999999998</v>
      </c>
      <c r="E237" s="601">
        <f>Input!$C$14-C237+0.5</f>
        <v>16.5</v>
      </c>
      <c r="F237" s="600">
        <f t="shared" si="35"/>
        <v>372153.20999999996</v>
      </c>
      <c r="G237" s="600"/>
      <c r="H237" s="317"/>
      <c r="I237" s="600"/>
      <c r="J237" s="600"/>
      <c r="K237" s="600"/>
      <c r="L237" s="600"/>
      <c r="M237" s="600"/>
      <c r="N237" s="600"/>
      <c r="O237" s="600">
        <f t="shared" si="36"/>
        <v>22554.739999999998</v>
      </c>
      <c r="P237" s="601">
        <f t="shared" si="30"/>
        <v>16.5</v>
      </c>
      <c r="Q237" s="600">
        <f t="shared" si="31"/>
        <v>372153.20999999996</v>
      </c>
    </row>
    <row r="238" spans="1:17" s="598" customFormat="1" ht="15" outlineLevel="1">
      <c r="A238" s="597">
        <v>3780</v>
      </c>
      <c r="B238" s="598" t="s">
        <v>509</v>
      </c>
      <c r="C238" s="598">
        <v>2007</v>
      </c>
      <c r="D238" s="599">
        <v>66</v>
      </c>
      <c r="E238" s="601">
        <f>Input!$C$14-C238+0.5</f>
        <v>15.5</v>
      </c>
      <c r="F238" s="600">
        <f t="shared" si="35"/>
        <v>1023</v>
      </c>
      <c r="G238" s="600"/>
      <c r="H238" s="317"/>
      <c r="I238" s="600"/>
      <c r="J238" s="600"/>
      <c r="K238" s="600"/>
      <c r="L238" s="600"/>
      <c r="M238" s="600"/>
      <c r="N238" s="600"/>
      <c r="O238" s="600">
        <f t="shared" si="36"/>
        <v>66</v>
      </c>
      <c r="P238" s="601">
        <f t="shared" si="30"/>
        <v>15.5</v>
      </c>
      <c r="Q238" s="600">
        <f t="shared" si="31"/>
        <v>1023</v>
      </c>
    </row>
    <row r="239" spans="1:17" s="598" customFormat="1" ht="15" outlineLevel="1">
      <c r="A239" s="597">
        <v>3780</v>
      </c>
      <c r="B239" s="598" t="s">
        <v>509</v>
      </c>
      <c r="C239" s="598">
        <v>2008</v>
      </c>
      <c r="D239" s="599">
        <v>21906.110000000001</v>
      </c>
      <c r="E239" s="601">
        <f>Input!$C$14-C239+0.5</f>
        <v>14.5</v>
      </c>
      <c r="F239" s="600">
        <f t="shared" si="35"/>
        <v>317638.59500000003</v>
      </c>
      <c r="G239" s="600"/>
      <c r="H239" s="317"/>
      <c r="I239" s="600"/>
      <c r="J239" s="600"/>
      <c r="K239" s="600"/>
      <c r="L239" s="600"/>
      <c r="M239" s="600"/>
      <c r="N239" s="600"/>
      <c r="O239" s="600">
        <f t="shared" si="36"/>
        <v>21906.110000000001</v>
      </c>
      <c r="P239" s="601">
        <f t="shared" si="30"/>
        <v>14.5</v>
      </c>
      <c r="Q239" s="600">
        <f t="shared" si="31"/>
        <v>317638.59500000003</v>
      </c>
    </row>
    <row r="240" spans="1:17" s="598" customFormat="1" ht="15" outlineLevel="1">
      <c r="A240" s="597">
        <v>3780</v>
      </c>
      <c r="B240" s="598" t="s">
        <v>509</v>
      </c>
      <c r="C240" s="598">
        <v>2009</v>
      </c>
      <c r="D240" s="599">
        <v>24201.670000000002</v>
      </c>
      <c r="E240" s="601">
        <f>Input!$C$14-C240+0.5</f>
        <v>13.5</v>
      </c>
      <c r="F240" s="600">
        <f t="shared" si="35"/>
        <v>326722.54500000004</v>
      </c>
      <c r="G240" s="600"/>
      <c r="H240" s="317"/>
      <c r="I240" s="600"/>
      <c r="J240" s="600"/>
      <c r="K240" s="600"/>
      <c r="L240" s="600"/>
      <c r="M240" s="600"/>
      <c r="N240" s="600"/>
      <c r="O240" s="600">
        <f t="shared" si="36"/>
        <v>24201.670000000002</v>
      </c>
      <c r="P240" s="601">
        <f t="shared" si="30"/>
        <v>13.5</v>
      </c>
      <c r="Q240" s="600">
        <f t="shared" si="31"/>
        <v>326722.54500000004</v>
      </c>
    </row>
    <row r="241" spans="1:17" s="598" customFormat="1" ht="15" outlineLevel="1">
      <c r="A241" s="597">
        <v>3780</v>
      </c>
      <c r="B241" s="598" t="s">
        <v>509</v>
      </c>
      <c r="C241" s="598">
        <v>2010</v>
      </c>
      <c r="D241" s="599">
        <f>57239.14-47981.93</f>
        <v>9257.2099999999991</v>
      </c>
      <c r="E241" s="601">
        <f>Input!$C$14-C241+0.5</f>
        <v>12.5</v>
      </c>
      <c r="F241" s="600">
        <f t="shared" si="35"/>
        <v>115715.12499999999</v>
      </c>
      <c r="G241" s="600"/>
      <c r="H241" s="317"/>
      <c r="I241" s="600"/>
      <c r="J241" s="600"/>
      <c r="K241" s="600"/>
      <c r="L241" s="600"/>
      <c r="M241" s="600"/>
      <c r="N241" s="600"/>
      <c r="O241" s="600">
        <f t="shared" si="36"/>
        <v>9257.2099999999991</v>
      </c>
      <c r="P241" s="601">
        <f t="shared" si="30"/>
        <v>12.5</v>
      </c>
      <c r="Q241" s="600">
        <f t="shared" si="31"/>
        <v>115715.12499999999</v>
      </c>
    </row>
    <row r="242" spans="1:17" s="598" customFormat="1" ht="15" outlineLevel="1">
      <c r="A242" s="597">
        <v>3780</v>
      </c>
      <c r="B242" s="598" t="s">
        <v>509</v>
      </c>
      <c r="C242" s="598">
        <v>2011</v>
      </c>
      <c r="D242" s="599">
        <v>241316.73999999999</v>
      </c>
      <c r="E242" s="601">
        <f>Input!$C$14-C242+0.5</f>
        <v>11.5</v>
      </c>
      <c r="F242" s="600">
        <f t="shared" si="35"/>
        <v>2775142.5099999998</v>
      </c>
      <c r="G242" s="600"/>
      <c r="H242" s="317"/>
      <c r="I242" s="600"/>
      <c r="J242" s="600"/>
      <c r="K242" s="600"/>
      <c r="L242" s="600"/>
      <c r="M242" s="600"/>
      <c r="N242" s="600"/>
      <c r="O242" s="600">
        <f t="shared" si="36"/>
        <v>241316.73999999999</v>
      </c>
      <c r="P242" s="601">
        <f t="shared" si="30"/>
        <v>11.5</v>
      </c>
      <c r="Q242" s="600">
        <f t="shared" si="31"/>
        <v>2775142.5099999998</v>
      </c>
    </row>
    <row r="243" spans="1:17" s="598" customFormat="1" ht="15" outlineLevel="1">
      <c r="A243" s="597">
        <v>3780</v>
      </c>
      <c r="B243" s="598" t="s">
        <v>509</v>
      </c>
      <c r="C243" s="598">
        <v>2012</v>
      </c>
      <c r="D243" s="599">
        <v>124606.34</v>
      </c>
      <c r="E243" s="601">
        <f>Input!$C$14-C243+0.5</f>
        <v>10.5</v>
      </c>
      <c r="F243" s="600">
        <f t="shared" si="35"/>
        <v>1308366.5700000001</v>
      </c>
      <c r="G243" s="600"/>
      <c r="H243" s="317"/>
      <c r="I243" s="600"/>
      <c r="J243" s="600"/>
      <c r="K243" s="600"/>
      <c r="L243" s="600"/>
      <c r="M243" s="600"/>
      <c r="N243" s="600"/>
      <c r="O243" s="600">
        <f t="shared" si="36"/>
        <v>124606.34</v>
      </c>
      <c r="P243" s="601">
        <f t="shared" si="30"/>
        <v>10.5</v>
      </c>
      <c r="Q243" s="600">
        <f t="shared" si="31"/>
        <v>1308366.5700000001</v>
      </c>
    </row>
    <row r="244" spans="1:17" s="598" customFormat="1" ht="15" outlineLevel="1">
      <c r="A244" s="597">
        <v>3780</v>
      </c>
      <c r="B244" s="598" t="s">
        <v>509</v>
      </c>
      <c r="C244" s="598">
        <v>2013</v>
      </c>
      <c r="D244" s="599">
        <f>177587.64-1068.8</f>
        <v>176518.84000000003</v>
      </c>
      <c r="E244" s="601">
        <f>Input!$C$14-C244+0.5</f>
        <v>9.5</v>
      </c>
      <c r="F244" s="600">
        <f t="shared" si="35"/>
        <v>1676928.9800000002</v>
      </c>
      <c r="G244" s="600"/>
      <c r="H244" s="317"/>
      <c r="I244" s="600"/>
      <c r="J244" s="600"/>
      <c r="K244" s="600"/>
      <c r="L244" s="600"/>
      <c r="M244" s="600"/>
      <c r="N244" s="600"/>
      <c r="O244" s="600">
        <f t="shared" si="36"/>
        <v>176518.84000000003</v>
      </c>
      <c r="P244" s="601">
        <f t="shared" si="30"/>
        <v>9.5</v>
      </c>
      <c r="Q244" s="600">
        <f t="shared" si="31"/>
        <v>1676928.9800000002</v>
      </c>
    </row>
    <row r="245" spans="1:17" s="598" customFormat="1" ht="15" outlineLevel="1">
      <c r="A245" s="597">
        <v>3780</v>
      </c>
      <c r="B245" s="598" t="s">
        <v>509</v>
      </c>
      <c r="C245" s="598">
        <v>2014</v>
      </c>
      <c r="D245" s="599">
        <v>230314.13999999998</v>
      </c>
      <c r="E245" s="601">
        <f>Input!$C$14-C245+0.5</f>
        <v>8.5</v>
      </c>
      <c r="F245" s="600">
        <f t="shared" si="35"/>
        <v>1957670.1899999999</v>
      </c>
      <c r="G245" s="600"/>
      <c r="H245" s="317"/>
      <c r="I245" s="600"/>
      <c r="J245" s="600"/>
      <c r="K245" s="600"/>
      <c r="L245" s="600"/>
      <c r="M245" s="600"/>
      <c r="N245" s="600"/>
      <c r="O245" s="600">
        <f t="shared" si="36"/>
        <v>230314.13999999998</v>
      </c>
      <c r="P245" s="601">
        <f t="shared" si="30"/>
        <v>8.5</v>
      </c>
      <c r="Q245" s="600">
        <f t="shared" si="31"/>
        <v>1957670.1899999999</v>
      </c>
    </row>
    <row r="246" spans="1:17" s="598" customFormat="1" ht="15" outlineLevel="1">
      <c r="A246" s="597">
        <v>3780</v>
      </c>
      <c r="B246" s="598" t="s">
        <v>509</v>
      </c>
      <c r="C246" s="598">
        <v>2015</v>
      </c>
      <c r="D246" s="599">
        <v>288122.48000000004</v>
      </c>
      <c r="E246" s="601">
        <f>Input!$C$14-C246+0.5</f>
        <v>7.5</v>
      </c>
      <c r="F246" s="600">
        <f t="shared" si="35"/>
        <v>2160918.6000000001</v>
      </c>
      <c r="G246" s="600"/>
      <c r="H246" s="317"/>
      <c r="I246" s="600"/>
      <c r="J246" s="600"/>
      <c r="K246" s="600"/>
      <c r="L246" s="600"/>
      <c r="M246" s="600"/>
      <c r="N246" s="600"/>
      <c r="O246" s="600">
        <f t="shared" si="36"/>
        <v>288122.48000000004</v>
      </c>
      <c r="P246" s="601">
        <f t="shared" si="30"/>
        <v>7.5</v>
      </c>
      <c r="Q246" s="600">
        <f t="shared" si="31"/>
        <v>2160918.6000000001</v>
      </c>
    </row>
    <row r="247" spans="1:17" s="598" customFormat="1" ht="15" outlineLevel="1">
      <c r="A247" s="597">
        <v>3780</v>
      </c>
      <c r="B247" s="598" t="s">
        <v>509</v>
      </c>
      <c r="C247" s="598">
        <v>2016</v>
      </c>
      <c r="D247" s="599">
        <v>350782.32000000001</v>
      </c>
      <c r="E247" s="601">
        <f>Input!$C$14-C247+0.5</f>
        <v>6.5</v>
      </c>
      <c r="F247" s="600">
        <f t="shared" si="35"/>
        <v>2280085.0800000001</v>
      </c>
      <c r="G247" s="600"/>
      <c r="H247" s="317"/>
      <c r="I247" s="600"/>
      <c r="J247" s="600"/>
      <c r="K247" s="600"/>
      <c r="L247" s="600"/>
      <c r="M247" s="600"/>
      <c r="N247" s="600"/>
      <c r="O247" s="600">
        <f t="shared" si="36"/>
        <v>350782.32000000001</v>
      </c>
      <c r="P247" s="601">
        <f t="shared" si="30"/>
        <v>6.5</v>
      </c>
      <c r="Q247" s="600">
        <f t="shared" si="31"/>
        <v>2280085.0800000001</v>
      </c>
    </row>
    <row r="248" spans="1:17" s="598" customFormat="1" ht="15" outlineLevel="1">
      <c r="A248" s="597">
        <v>3780</v>
      </c>
      <c r="B248" s="598" t="s">
        <v>509</v>
      </c>
      <c r="C248" s="598">
        <v>2017</v>
      </c>
      <c r="D248" s="599">
        <v>1373357.2199999995</v>
      </c>
      <c r="E248" s="601">
        <f>Input!$C$14-C248+0.5</f>
        <v>5.5</v>
      </c>
      <c r="F248" s="600">
        <f t="shared" si="35"/>
        <v>7553464.7099999972</v>
      </c>
      <c r="G248" s="600"/>
      <c r="H248" s="317"/>
      <c r="I248" s="600"/>
      <c r="J248" s="600"/>
      <c r="K248" s="600"/>
      <c r="L248" s="600"/>
      <c r="M248" s="600"/>
      <c r="N248" s="600"/>
      <c r="O248" s="600">
        <f t="shared" si="36"/>
        <v>1373357.2199999995</v>
      </c>
      <c r="P248" s="601">
        <f t="shared" si="30"/>
        <v>5.5</v>
      </c>
      <c r="Q248" s="600">
        <f t="shared" si="31"/>
        <v>7553464.7099999972</v>
      </c>
    </row>
    <row r="249" spans="1:17" s="598" customFormat="1" ht="15" outlineLevel="1">
      <c r="A249" s="597">
        <v>3780</v>
      </c>
      <c r="B249" s="598" t="s">
        <v>509</v>
      </c>
      <c r="C249" s="598">
        <v>2018</v>
      </c>
      <c r="D249" s="599">
        <v>266032</v>
      </c>
      <c r="E249" s="601">
        <f>Input!$C$14-C249+0.5</f>
        <v>4.5</v>
      </c>
      <c r="F249" s="600">
        <f t="shared" si="35"/>
        <v>1197144</v>
      </c>
      <c r="G249" s="600"/>
      <c r="H249" s="317"/>
      <c r="I249" s="600"/>
      <c r="J249" s="600"/>
      <c r="K249" s="600"/>
      <c r="L249" s="600"/>
      <c r="M249" s="600"/>
      <c r="N249" s="600"/>
      <c r="O249" s="600">
        <f t="shared" si="36"/>
        <v>266032</v>
      </c>
      <c r="P249" s="601">
        <f t="shared" si="30"/>
        <v>4.5</v>
      </c>
      <c r="Q249" s="600">
        <f t="shared" si="31"/>
        <v>1197144</v>
      </c>
    </row>
    <row r="250" spans="1:17" s="598" customFormat="1" ht="15" outlineLevel="1">
      <c r="A250" s="597">
        <v>3780</v>
      </c>
      <c r="B250" s="598" t="s">
        <v>509</v>
      </c>
      <c r="C250" s="598">
        <v>2019</v>
      </c>
      <c r="D250" s="599">
        <v>155769.14000000001</v>
      </c>
      <c r="E250" s="601">
        <f>Input!$C$14-C250+0.5</f>
        <v>3.5</v>
      </c>
      <c r="F250" s="600">
        <f t="shared" si="35"/>
        <v>545191.98999999999</v>
      </c>
      <c r="G250" s="600"/>
      <c r="H250" s="317"/>
      <c r="I250" s="600"/>
      <c r="J250" s="600"/>
      <c r="K250" s="600"/>
      <c r="L250" s="600"/>
      <c r="M250" s="600"/>
      <c r="N250" s="600"/>
      <c r="O250" s="600">
        <f t="shared" si="36"/>
        <v>155769.14000000001</v>
      </c>
      <c r="P250" s="601">
        <f t="shared" si="30"/>
        <v>3.5</v>
      </c>
      <c r="Q250" s="600">
        <f t="shared" si="31"/>
        <v>545191.98999999999</v>
      </c>
    </row>
    <row r="251" spans="1:17" s="598" customFormat="1" ht="15" outlineLevel="1">
      <c r="A251" s="597">
        <v>3780</v>
      </c>
      <c r="B251" s="598" t="s">
        <v>509</v>
      </c>
      <c r="C251" s="598">
        <v>2020</v>
      </c>
      <c r="D251" s="599">
        <v>220755.76000000004</v>
      </c>
      <c r="E251" s="601">
        <f>Input!$C$14-C251+0.5</f>
        <v>2.5</v>
      </c>
      <c r="F251" s="600">
        <f t="shared" si="35"/>
        <v>551889.40000000014</v>
      </c>
      <c r="G251" s="600"/>
      <c r="H251" s="317"/>
      <c r="I251" s="600"/>
      <c r="J251" s="600"/>
      <c r="K251" s="600"/>
      <c r="L251" s="600"/>
      <c r="M251" s="600"/>
      <c r="N251" s="600"/>
      <c r="O251" s="600">
        <f t="shared" si="36"/>
        <v>220755.76000000004</v>
      </c>
      <c r="P251" s="601">
        <f t="shared" si="30"/>
        <v>2.5</v>
      </c>
      <c r="Q251" s="600">
        <f t="shared" si="31"/>
        <v>551889.40000000014</v>
      </c>
    </row>
    <row r="252" spans="1:17" s="598" customFormat="1" ht="15" outlineLevel="1">
      <c r="A252" s="597">
        <v>3780</v>
      </c>
      <c r="B252" s="598" t="s">
        <v>509</v>
      </c>
      <c r="C252" s="598">
        <v>2021</v>
      </c>
      <c r="D252" s="599">
        <v>108485.81</v>
      </c>
      <c r="E252" s="601">
        <f>Input!$C$14-C252+0.5</f>
        <v>1.5</v>
      </c>
      <c r="F252" s="600">
        <f t="shared" si="35"/>
        <v>162728.715</v>
      </c>
      <c r="G252" s="600"/>
      <c r="H252" s="317"/>
      <c r="I252" s="600"/>
      <c r="J252" s="600"/>
      <c r="K252" s="600"/>
      <c r="L252" s="600"/>
      <c r="M252" s="600"/>
      <c r="N252" s="600"/>
      <c r="O252" s="600">
        <f t="shared" si="36"/>
        <v>108485.81</v>
      </c>
      <c r="P252" s="601">
        <f t="shared" si="30"/>
        <v>1.5</v>
      </c>
      <c r="Q252" s="600">
        <f t="shared" si="31"/>
        <v>162728.715</v>
      </c>
    </row>
    <row r="253" spans="1:20" s="598" customFormat="1" ht="13.5" thickBot="1">
      <c r="A253" s="563">
        <f>A252</f>
        <v>3780</v>
      </c>
      <c r="B253" s="564" t="s">
        <v>496</v>
      </c>
      <c r="D253" s="357">
        <f>SUM(D205:D252)</f>
        <v>4843208.1399999987</v>
      </c>
      <c r="E253" s="565">
        <f>ROUND(F253/D253,1)</f>
        <v>11.300000000000001</v>
      </c>
      <c r="F253" s="357">
        <f>SUM(F205:F252)</f>
        <v>54668622.199999988</v>
      </c>
      <c r="G253" s="358"/>
      <c r="H253" s="318"/>
      <c r="I253" s="357">
        <f>SUM(I205:I252)</f>
        <v>0</v>
      </c>
      <c r="J253" s="357">
        <f>SUM(J205:J252)</f>
        <v>0</v>
      </c>
      <c r="K253" s="357">
        <f t="shared" si="37" ref="K253:N253">SUM(K205:K252)</f>
        <v>0</v>
      </c>
      <c r="L253" s="357">
        <f t="shared" si="37"/>
        <v>-34254.760000000002</v>
      </c>
      <c r="M253" s="357">
        <f t="shared" si="37"/>
        <v>0</v>
      </c>
      <c r="N253" s="357">
        <f t="shared" si="37"/>
        <v>0</v>
      </c>
      <c r="O253" s="357">
        <f>SUM(O205:O252)</f>
        <v>4808953.379999999</v>
      </c>
      <c r="P253" s="565">
        <f>ROUND(Q253/O253,1)</f>
        <v>11.199999999999999</v>
      </c>
      <c r="Q253" s="357">
        <f>SUM(Q205:Q252)</f>
        <v>53932948.459999993</v>
      </c>
      <c r="S253" s="604">
        <f>'Sch. G 2021'!H18</f>
        <v>4843208</v>
      </c>
      <c r="T253" s="679">
        <f>D253-S253</f>
        <v>0.1399999987334013</v>
      </c>
    </row>
    <row r="254" spans="1:20" s="598" customFormat="1" ht="15.75" thickTop="1">
      <c r="A254" s="566">
        <f>A252</f>
        <v>3780</v>
      </c>
      <c r="B254" s="490" t="str">
        <f>B252&amp;" - Additions"</f>
        <v>M&amp;R Stat Eq-Gen - Additions</v>
      </c>
      <c r="C254" s="490">
        <v>2022</v>
      </c>
      <c r="D254" s="567">
        <f>'Sch. H'!N18</f>
        <v>2081900</v>
      </c>
      <c r="E254" s="601">
        <f>Input!$C$14-C254+0.5</f>
        <v>0.5</v>
      </c>
      <c r="F254" s="600">
        <f>D254*E254</f>
        <v>1040950</v>
      </c>
      <c r="G254" s="600"/>
      <c r="H254" s="317"/>
      <c r="I254" s="600"/>
      <c r="J254" s="600"/>
      <c r="K254" s="600"/>
      <c r="L254" s="600"/>
      <c r="M254" s="600"/>
      <c r="N254" s="600"/>
      <c r="O254" s="600">
        <f t="shared" si="38" ref="O254:O255">SUM(D254,I254:N254)</f>
        <v>2081900</v>
      </c>
      <c r="P254" s="601">
        <f t="shared" si="30"/>
        <v>0.5</v>
      </c>
      <c r="Q254" s="600">
        <f t="shared" si="31"/>
        <v>1040950</v>
      </c>
      <c r="T254" s="679"/>
    </row>
    <row r="255" spans="1:20" s="598" customFormat="1" ht="15">
      <c r="A255" s="566">
        <f>A254</f>
        <v>3780</v>
      </c>
      <c r="B255" s="490" t="str">
        <f>B252&amp;" - Retirements"</f>
        <v>M&amp;R Stat Eq-Gen - Retirements</v>
      </c>
      <c r="C255" s="490">
        <v>2022</v>
      </c>
      <c r="D255" s="567">
        <f>-'Sch. F 2022'!M90</f>
        <v>0</v>
      </c>
      <c r="E255" s="601">
        <f>'Sch. F 2022'!M92</f>
        <v>0</v>
      </c>
      <c r="F255" s="600">
        <f>D255*E255</f>
        <v>0</v>
      </c>
      <c r="G255" s="600"/>
      <c r="H255" s="317"/>
      <c r="I255" s="600"/>
      <c r="J255" s="600"/>
      <c r="K255" s="600"/>
      <c r="L255" s="600"/>
      <c r="M255" s="600"/>
      <c r="N255" s="600"/>
      <c r="O255" s="600">
        <f t="shared" si="38"/>
        <v>0</v>
      </c>
      <c r="P255" s="601">
        <f t="shared" si="30"/>
        <v>0</v>
      </c>
      <c r="Q255" s="600">
        <f t="shared" si="31"/>
        <v>0</v>
      </c>
      <c r="T255" s="679"/>
    </row>
    <row r="256" spans="1:20" s="598" customFormat="1" ht="13.5" thickBot="1">
      <c r="A256" s="566"/>
      <c r="B256" s="564" t="s">
        <v>557</v>
      </c>
      <c r="C256" s="490"/>
      <c r="D256" s="568">
        <f>SUM(D253:D255)</f>
        <v>6925108.1399999987</v>
      </c>
      <c r="E256" s="565">
        <f>ROUND(F256/D256,1)</f>
        <v>8</v>
      </c>
      <c r="F256" s="569">
        <f>SUM(F253:F255)</f>
        <v>55709572.199999988</v>
      </c>
      <c r="G256" s="570"/>
      <c r="H256" s="372"/>
      <c r="I256" s="568">
        <f>SUM(I253:I255)</f>
        <v>0</v>
      </c>
      <c r="J256" s="568">
        <f>SUM(J253:J255)</f>
        <v>0</v>
      </c>
      <c r="K256" s="568">
        <f t="shared" si="39" ref="K256:N256">SUM(K253:K255)</f>
        <v>0</v>
      </c>
      <c r="L256" s="568">
        <f t="shared" si="39"/>
        <v>-34254.760000000002</v>
      </c>
      <c r="M256" s="568">
        <f t="shared" si="39"/>
        <v>0</v>
      </c>
      <c r="N256" s="568">
        <f t="shared" si="39"/>
        <v>0</v>
      </c>
      <c r="O256" s="568">
        <f>SUM(O253:O255)</f>
        <v>6890853.379999999</v>
      </c>
      <c r="P256" s="565">
        <f>ROUND(Q256/O256,1)</f>
        <v>8</v>
      </c>
      <c r="Q256" s="569">
        <f>SUM(Q253:Q255)</f>
        <v>54973898.459999993</v>
      </c>
      <c r="S256" s="604">
        <f>'Sch. G 2022'!H18</f>
        <v>6890853</v>
      </c>
      <c r="T256" s="679">
        <f>O256-S256</f>
        <v>0.37999999895691872</v>
      </c>
    </row>
    <row r="257" spans="1:20" s="598" customFormat="1" ht="15" thickTop="1">
      <c r="A257" s="563"/>
      <c r="B257" s="571"/>
      <c r="D257" s="358"/>
      <c r="E257" s="572"/>
      <c r="F257" s="358"/>
      <c r="G257" s="358"/>
      <c r="H257" s="318"/>
      <c r="I257" s="358"/>
      <c r="J257" s="358"/>
      <c r="K257" s="358"/>
      <c r="L257" s="358"/>
      <c r="M257" s="358"/>
      <c r="N257" s="358"/>
      <c r="O257" s="600"/>
      <c r="P257" s="601"/>
      <c r="Q257" s="600"/>
      <c r="T257" s="679"/>
    </row>
    <row r="258" spans="1:17" s="598" customFormat="1" ht="15" outlineLevel="1">
      <c r="A258" s="597">
        <v>3790</v>
      </c>
      <c r="B258" s="598" t="s">
        <v>528</v>
      </c>
      <c r="C258" s="598">
        <v>1959</v>
      </c>
      <c r="D258" s="599">
        <v>17083.259999999998</v>
      </c>
      <c r="E258" s="601">
        <f>Input!$C$14-C258+0.5</f>
        <v>63.5</v>
      </c>
      <c r="F258" s="600">
        <f t="shared" si="40" ref="F258:F302">D258*E258</f>
        <v>1084787.01</v>
      </c>
      <c r="G258" s="600"/>
      <c r="H258" s="317"/>
      <c r="I258" s="600"/>
      <c r="J258" s="599"/>
      <c r="K258" s="600"/>
      <c r="L258" s="599"/>
      <c r="M258" s="599"/>
      <c r="N258" s="599"/>
      <c r="O258" s="600">
        <f t="shared" si="41" ref="O258:O302">SUM(D258,I258:N258)</f>
        <v>17083.259999999998</v>
      </c>
      <c r="P258" s="601">
        <f t="shared" si="42" ref="P258:P322">E258</f>
        <v>63.5</v>
      </c>
      <c r="Q258" s="600">
        <f t="shared" si="43" ref="Q258:Q322">O258*P258</f>
        <v>1084787.01</v>
      </c>
    </row>
    <row r="259" spans="1:17" s="598" customFormat="1" ht="15" outlineLevel="1">
      <c r="A259" s="597">
        <v>3790</v>
      </c>
      <c r="B259" s="598" t="s">
        <v>528</v>
      </c>
      <c r="C259" s="598">
        <v>1960</v>
      </c>
      <c r="D259" s="599">
        <v>21277.610000000001</v>
      </c>
      <c r="E259" s="601">
        <f>Input!$C$14-C259+0.5</f>
        <v>62.5</v>
      </c>
      <c r="F259" s="600">
        <f t="shared" si="40"/>
        <v>1329850.625</v>
      </c>
      <c r="G259" s="600"/>
      <c r="H259" s="317"/>
      <c r="I259" s="600"/>
      <c r="J259" s="599"/>
      <c r="K259" s="600"/>
      <c r="L259" s="599"/>
      <c r="M259" s="599"/>
      <c r="N259" s="599"/>
      <c r="O259" s="600">
        <f t="shared" si="41"/>
        <v>21277.610000000001</v>
      </c>
      <c r="P259" s="601">
        <f t="shared" si="42"/>
        <v>62.5</v>
      </c>
      <c r="Q259" s="600">
        <f t="shared" si="43"/>
        <v>1329850.625</v>
      </c>
    </row>
    <row r="260" spans="1:17" s="598" customFormat="1" ht="15" outlineLevel="1">
      <c r="A260" s="597">
        <v>3790</v>
      </c>
      <c r="B260" s="598" t="s">
        <v>528</v>
      </c>
      <c r="C260" s="598">
        <v>1963</v>
      </c>
      <c r="D260" s="599">
        <v>2121.0599999999999</v>
      </c>
      <c r="E260" s="601">
        <f>Input!$C$14-C260+0.5</f>
        <v>59.5</v>
      </c>
      <c r="F260" s="600">
        <f t="shared" si="40"/>
        <v>126203.06999999999</v>
      </c>
      <c r="G260" s="600"/>
      <c r="H260" s="317"/>
      <c r="I260" s="600"/>
      <c r="J260" s="599"/>
      <c r="K260" s="600"/>
      <c r="L260" s="599"/>
      <c r="M260" s="599"/>
      <c r="N260" s="599"/>
      <c r="O260" s="600">
        <f t="shared" si="41"/>
        <v>2121.0599999999999</v>
      </c>
      <c r="P260" s="601">
        <f t="shared" si="42"/>
        <v>59.5</v>
      </c>
      <c r="Q260" s="600">
        <f t="shared" si="43"/>
        <v>126203.06999999999</v>
      </c>
    </row>
    <row r="261" spans="1:17" s="598" customFormat="1" ht="15" outlineLevel="1">
      <c r="A261" s="597">
        <v>3790</v>
      </c>
      <c r="B261" s="598" t="s">
        <v>528</v>
      </c>
      <c r="C261" s="598">
        <v>1967</v>
      </c>
      <c r="D261" s="599">
        <v>1246.27</v>
      </c>
      <c r="E261" s="601">
        <f>Input!$C$14-C261+0.5</f>
        <v>55.5</v>
      </c>
      <c r="F261" s="600">
        <f t="shared" si="40"/>
        <v>69167.985000000001</v>
      </c>
      <c r="G261" s="600"/>
      <c r="H261" s="317"/>
      <c r="I261" s="600"/>
      <c r="J261" s="599"/>
      <c r="K261" s="600"/>
      <c r="L261" s="599"/>
      <c r="M261" s="599"/>
      <c r="N261" s="599"/>
      <c r="O261" s="600">
        <f t="shared" si="41"/>
        <v>1246.27</v>
      </c>
      <c r="P261" s="601">
        <f t="shared" si="42"/>
        <v>55.5</v>
      </c>
      <c r="Q261" s="600">
        <f t="shared" si="43"/>
        <v>69167.985000000001</v>
      </c>
    </row>
    <row r="262" spans="1:17" s="598" customFormat="1" ht="15" outlineLevel="1">
      <c r="A262" s="597">
        <v>3790</v>
      </c>
      <c r="B262" s="598" t="s">
        <v>528</v>
      </c>
      <c r="C262" s="598">
        <v>1970</v>
      </c>
      <c r="D262" s="599">
        <v>131.05000000000001</v>
      </c>
      <c r="E262" s="601">
        <f>Input!$C$14-C262+0.5</f>
        <v>52.5</v>
      </c>
      <c r="F262" s="600">
        <f t="shared" si="40"/>
        <v>6880.1250000000009</v>
      </c>
      <c r="G262" s="600"/>
      <c r="H262" s="317"/>
      <c r="I262" s="600"/>
      <c r="J262" s="599"/>
      <c r="K262" s="600"/>
      <c r="L262" s="599"/>
      <c r="M262" s="599"/>
      <c r="N262" s="599"/>
      <c r="O262" s="600">
        <f t="shared" si="41"/>
        <v>131.05000000000001</v>
      </c>
      <c r="P262" s="601">
        <f t="shared" si="42"/>
        <v>52.5</v>
      </c>
      <c r="Q262" s="600">
        <f t="shared" si="43"/>
        <v>6880.1250000000009</v>
      </c>
    </row>
    <row r="263" spans="1:17" s="598" customFormat="1" ht="15" outlineLevel="1">
      <c r="A263" s="597">
        <v>3790</v>
      </c>
      <c r="B263" s="598" t="s">
        <v>528</v>
      </c>
      <c r="C263" s="598">
        <v>1972</v>
      </c>
      <c r="D263" s="599">
        <v>1270</v>
      </c>
      <c r="E263" s="601">
        <f>Input!$C$14-C263+0.5</f>
        <v>50.5</v>
      </c>
      <c r="F263" s="600">
        <f t="shared" si="40"/>
        <v>64135</v>
      </c>
      <c r="G263" s="600"/>
      <c r="H263" s="317"/>
      <c r="I263" s="600"/>
      <c r="J263" s="599"/>
      <c r="K263" s="600"/>
      <c r="L263" s="599"/>
      <c r="M263" s="599"/>
      <c r="N263" s="599"/>
      <c r="O263" s="600">
        <f t="shared" si="41"/>
        <v>1270</v>
      </c>
      <c r="P263" s="601">
        <f t="shared" si="42"/>
        <v>50.5</v>
      </c>
      <c r="Q263" s="600">
        <f t="shared" si="43"/>
        <v>64135</v>
      </c>
    </row>
    <row r="264" spans="1:17" s="598" customFormat="1" ht="15" outlineLevel="1">
      <c r="A264" s="597">
        <v>3790</v>
      </c>
      <c r="B264" s="598" t="s">
        <v>528</v>
      </c>
      <c r="C264" s="598">
        <v>1974</v>
      </c>
      <c r="D264" s="599">
        <v>838.56999999999994</v>
      </c>
      <c r="E264" s="601">
        <f>Input!$C$14-C264+0.5</f>
        <v>48.5</v>
      </c>
      <c r="F264" s="600">
        <f t="shared" si="40"/>
        <v>40670.644999999997</v>
      </c>
      <c r="G264" s="600"/>
      <c r="H264" s="317"/>
      <c r="I264" s="600"/>
      <c r="J264" s="599"/>
      <c r="K264" s="600"/>
      <c r="L264" s="599"/>
      <c r="M264" s="599"/>
      <c r="N264" s="599"/>
      <c r="O264" s="600">
        <f t="shared" si="41"/>
        <v>838.56999999999994</v>
      </c>
      <c r="P264" s="601">
        <f t="shared" si="42"/>
        <v>48.5</v>
      </c>
      <c r="Q264" s="600">
        <f t="shared" si="43"/>
        <v>40670.644999999997</v>
      </c>
    </row>
    <row r="265" spans="1:17" s="598" customFormat="1" ht="15" outlineLevel="1">
      <c r="A265" s="597">
        <v>3790</v>
      </c>
      <c r="B265" s="598" t="s">
        <v>528</v>
      </c>
      <c r="C265" s="598">
        <v>1978</v>
      </c>
      <c r="D265" s="599">
        <v>1846.6900000000001</v>
      </c>
      <c r="E265" s="601">
        <f>Input!$C$14-C265+0.5</f>
        <v>44.5</v>
      </c>
      <c r="F265" s="600">
        <f t="shared" si="40"/>
        <v>82177.705000000002</v>
      </c>
      <c r="G265" s="600"/>
      <c r="H265" s="317"/>
      <c r="I265" s="600"/>
      <c r="J265" s="599"/>
      <c r="K265" s="600"/>
      <c r="L265" s="599"/>
      <c r="M265" s="599"/>
      <c r="N265" s="599"/>
      <c r="O265" s="600">
        <f t="shared" si="41"/>
        <v>1846.6900000000001</v>
      </c>
      <c r="P265" s="601">
        <f t="shared" si="42"/>
        <v>44.5</v>
      </c>
      <c r="Q265" s="600">
        <f t="shared" si="43"/>
        <v>82177.705000000002</v>
      </c>
    </row>
    <row r="266" spans="1:17" s="598" customFormat="1" ht="15" outlineLevel="1">
      <c r="A266" s="597">
        <v>3790</v>
      </c>
      <c r="B266" s="598" t="s">
        <v>528</v>
      </c>
      <c r="C266" s="598">
        <v>1982</v>
      </c>
      <c r="D266" s="599">
        <v>3413.0999999999999</v>
      </c>
      <c r="E266" s="601">
        <f>Input!$C$14-C266+0.5</f>
        <v>40.5</v>
      </c>
      <c r="F266" s="600">
        <f t="shared" si="40"/>
        <v>138230.54999999999</v>
      </c>
      <c r="G266" s="600"/>
      <c r="H266" s="317"/>
      <c r="I266" s="600"/>
      <c r="J266" s="599"/>
      <c r="K266" s="600"/>
      <c r="L266" s="599"/>
      <c r="M266" s="599"/>
      <c r="N266" s="599"/>
      <c r="O266" s="600">
        <f t="shared" si="41"/>
        <v>3413.0999999999999</v>
      </c>
      <c r="P266" s="601">
        <f t="shared" si="42"/>
        <v>40.5</v>
      </c>
      <c r="Q266" s="600">
        <f t="shared" si="43"/>
        <v>138230.54999999999</v>
      </c>
    </row>
    <row r="267" spans="1:17" s="598" customFormat="1" ht="15" outlineLevel="1">
      <c r="A267" s="597">
        <v>3790</v>
      </c>
      <c r="B267" s="598" t="s">
        <v>528</v>
      </c>
      <c r="C267" s="598">
        <v>1983</v>
      </c>
      <c r="D267" s="599">
        <v>2643.8199999999997</v>
      </c>
      <c r="E267" s="601">
        <f>Input!$C$14-C267+0.5</f>
        <v>39.5</v>
      </c>
      <c r="F267" s="600">
        <f t="shared" si="40"/>
        <v>104430.88999999998</v>
      </c>
      <c r="G267" s="600"/>
      <c r="H267" s="317"/>
      <c r="I267" s="600"/>
      <c r="J267" s="599"/>
      <c r="K267" s="600"/>
      <c r="L267" s="599"/>
      <c r="M267" s="599"/>
      <c r="N267" s="599"/>
      <c r="O267" s="600">
        <f t="shared" si="41"/>
        <v>2643.8199999999997</v>
      </c>
      <c r="P267" s="601">
        <f t="shared" si="42"/>
        <v>39.5</v>
      </c>
      <c r="Q267" s="600">
        <f t="shared" si="43"/>
        <v>104430.88999999998</v>
      </c>
    </row>
    <row r="268" spans="1:17" s="598" customFormat="1" ht="15" outlineLevel="1">
      <c r="A268" s="597">
        <v>3790</v>
      </c>
      <c r="B268" s="598" t="s">
        <v>528</v>
      </c>
      <c r="C268" s="598">
        <v>1984</v>
      </c>
      <c r="D268" s="599">
        <v>16952.639999999999</v>
      </c>
      <c r="E268" s="601">
        <f>Input!$C$14-C268+0.5</f>
        <v>38.5</v>
      </c>
      <c r="F268" s="600">
        <f t="shared" si="40"/>
        <v>652676.64000000001</v>
      </c>
      <c r="G268" s="600"/>
      <c r="H268" s="317"/>
      <c r="I268" s="600"/>
      <c r="J268" s="599"/>
      <c r="K268" s="600"/>
      <c r="L268" s="599">
        <v>-14810.719999999999</v>
      </c>
      <c r="M268" s="599"/>
      <c r="N268" s="599"/>
      <c r="O268" s="600">
        <f t="shared" si="41"/>
        <v>2141.9200000000001</v>
      </c>
      <c r="P268" s="601">
        <f t="shared" si="42"/>
        <v>38.5</v>
      </c>
      <c r="Q268" s="600">
        <f t="shared" si="43"/>
        <v>82463.919999999998</v>
      </c>
    </row>
    <row r="269" spans="1:17" s="598" customFormat="1" ht="15" outlineLevel="1">
      <c r="A269" s="597">
        <v>3790</v>
      </c>
      <c r="B269" s="598" t="s">
        <v>528</v>
      </c>
      <c r="C269" s="598">
        <v>1986</v>
      </c>
      <c r="D269" s="599">
        <v>260454.22000000003</v>
      </c>
      <c r="E269" s="601">
        <f>Input!$C$14-C269+0.5</f>
        <v>36.5</v>
      </c>
      <c r="F269" s="600">
        <f t="shared" si="40"/>
        <v>9506579.0300000012</v>
      </c>
      <c r="G269" s="600"/>
      <c r="H269" s="317"/>
      <c r="I269" s="600"/>
      <c r="J269" s="599"/>
      <c r="K269" s="600"/>
      <c r="L269" s="599">
        <v>-23505.169999999998</v>
      </c>
      <c r="M269" s="599"/>
      <c r="N269" s="599"/>
      <c r="O269" s="600">
        <f t="shared" si="41"/>
        <v>236949.05000000005</v>
      </c>
      <c r="P269" s="601">
        <f t="shared" si="42"/>
        <v>36.5</v>
      </c>
      <c r="Q269" s="600">
        <f t="shared" si="43"/>
        <v>8648640.3250000011</v>
      </c>
    </row>
    <row r="270" spans="1:17" s="598" customFormat="1" ht="15" outlineLevel="1">
      <c r="A270" s="597">
        <v>3790</v>
      </c>
      <c r="B270" s="598" t="s">
        <v>528</v>
      </c>
      <c r="C270" s="598">
        <v>1988</v>
      </c>
      <c r="D270" s="599">
        <v>14126.029999999999</v>
      </c>
      <c r="E270" s="601">
        <f>Input!$C$14-C270+0.5</f>
        <v>34.5</v>
      </c>
      <c r="F270" s="600">
        <f t="shared" si="40"/>
        <v>487348.03499999997</v>
      </c>
      <c r="G270" s="600"/>
      <c r="H270" s="317"/>
      <c r="I270" s="600"/>
      <c r="J270" s="599"/>
      <c r="K270" s="600"/>
      <c r="L270" s="599"/>
      <c r="M270" s="599"/>
      <c r="N270" s="599"/>
      <c r="O270" s="600">
        <f t="shared" si="41"/>
        <v>14126.029999999999</v>
      </c>
      <c r="P270" s="601">
        <f t="shared" si="42"/>
        <v>34.5</v>
      </c>
      <c r="Q270" s="600">
        <f t="shared" si="43"/>
        <v>487348.03499999997</v>
      </c>
    </row>
    <row r="271" spans="1:17" s="598" customFormat="1" ht="15" outlineLevel="1">
      <c r="A271" s="597">
        <v>3790</v>
      </c>
      <c r="B271" s="598" t="s">
        <v>528</v>
      </c>
      <c r="C271" s="598">
        <v>1989</v>
      </c>
      <c r="D271" s="599">
        <v>36409.339999999997</v>
      </c>
      <c r="E271" s="601">
        <f>Input!$C$14-C271+0.5</f>
        <v>33.5</v>
      </c>
      <c r="F271" s="600">
        <f t="shared" si="40"/>
        <v>1219712.8899999999</v>
      </c>
      <c r="G271" s="600"/>
      <c r="H271" s="317"/>
      <c r="I271" s="600"/>
      <c r="J271" s="599"/>
      <c r="K271" s="600"/>
      <c r="L271" s="599">
        <v>-4275.1300000000001</v>
      </c>
      <c r="M271" s="599"/>
      <c r="N271" s="599"/>
      <c r="O271" s="600">
        <f t="shared" si="41"/>
        <v>32134.209999999995</v>
      </c>
      <c r="P271" s="601">
        <f t="shared" si="42"/>
        <v>33.5</v>
      </c>
      <c r="Q271" s="600">
        <f t="shared" si="43"/>
        <v>1076496.0349999999</v>
      </c>
    </row>
    <row r="272" spans="1:17" s="598" customFormat="1" ht="15" outlineLevel="1">
      <c r="A272" s="597">
        <v>3790</v>
      </c>
      <c r="B272" s="598" t="s">
        <v>528</v>
      </c>
      <c r="C272" s="598">
        <v>1990</v>
      </c>
      <c r="D272" s="599">
        <v>69754.100000000006</v>
      </c>
      <c r="E272" s="601">
        <f>Input!$C$14-C272+0.5</f>
        <v>32.5</v>
      </c>
      <c r="F272" s="600">
        <f t="shared" si="40"/>
        <v>2267008.25</v>
      </c>
      <c r="G272" s="600"/>
      <c r="H272" s="317"/>
      <c r="I272" s="600"/>
      <c r="J272" s="599"/>
      <c r="K272" s="600"/>
      <c r="L272" s="599">
        <v>-3083.8000000000002</v>
      </c>
      <c r="M272" s="599"/>
      <c r="N272" s="599"/>
      <c r="O272" s="600">
        <f t="shared" si="41"/>
        <v>66670.300000000003</v>
      </c>
      <c r="P272" s="601">
        <f t="shared" si="42"/>
        <v>32.5</v>
      </c>
      <c r="Q272" s="600">
        <f t="shared" si="43"/>
        <v>2166784.75</v>
      </c>
    </row>
    <row r="273" spans="1:17" s="598" customFormat="1" ht="15" outlineLevel="1">
      <c r="A273" s="597">
        <v>3790</v>
      </c>
      <c r="B273" s="598" t="s">
        <v>528</v>
      </c>
      <c r="C273" s="598">
        <v>1992</v>
      </c>
      <c r="D273" s="599">
        <v>61950.729999999996</v>
      </c>
      <c r="E273" s="601">
        <f>Input!$C$14-C273+0.5</f>
        <v>30.5</v>
      </c>
      <c r="F273" s="600">
        <f t="shared" si="40"/>
        <v>1889497.2649999999</v>
      </c>
      <c r="G273" s="600"/>
      <c r="H273" s="317"/>
      <c r="I273" s="600"/>
      <c r="J273" s="599"/>
      <c r="K273" s="600"/>
      <c r="L273" s="599">
        <v>-1193.24</v>
      </c>
      <c r="M273" s="599"/>
      <c r="N273" s="599"/>
      <c r="O273" s="600">
        <f t="shared" si="41"/>
        <v>60757.489999999998</v>
      </c>
      <c r="P273" s="601">
        <f t="shared" si="42"/>
        <v>30.5</v>
      </c>
      <c r="Q273" s="600">
        <f t="shared" si="43"/>
        <v>1853103.4449999998</v>
      </c>
    </row>
    <row r="274" spans="1:17" s="598" customFormat="1" ht="15" outlineLevel="1">
      <c r="A274" s="597">
        <v>3790</v>
      </c>
      <c r="B274" s="598" t="s">
        <v>528</v>
      </c>
      <c r="C274" s="598">
        <v>1993</v>
      </c>
      <c r="D274" s="599">
        <v>342679.28000000003</v>
      </c>
      <c r="E274" s="601">
        <f>Input!$C$14-C274+0.5</f>
        <v>29.5</v>
      </c>
      <c r="F274" s="600">
        <f t="shared" si="40"/>
        <v>10109038.760000002</v>
      </c>
      <c r="G274" s="600"/>
      <c r="H274" s="317"/>
      <c r="I274" s="600"/>
      <c r="J274" s="599"/>
      <c r="K274" s="600"/>
      <c r="L274" s="599"/>
      <c r="M274" s="599"/>
      <c r="N274" s="599"/>
      <c r="O274" s="600">
        <f t="shared" si="41"/>
        <v>342679.28000000003</v>
      </c>
      <c r="P274" s="601">
        <f t="shared" si="42"/>
        <v>29.5</v>
      </c>
      <c r="Q274" s="600">
        <f t="shared" si="43"/>
        <v>10109038.760000002</v>
      </c>
    </row>
    <row r="275" spans="1:17" s="598" customFormat="1" ht="15" outlineLevel="1">
      <c r="A275" s="597">
        <v>3790</v>
      </c>
      <c r="B275" s="598" t="s">
        <v>528</v>
      </c>
      <c r="C275" s="598">
        <v>1994</v>
      </c>
      <c r="D275" s="599">
        <v>190002.88</v>
      </c>
      <c r="E275" s="601">
        <f>Input!$C$14-C275+0.5</f>
        <v>28.5</v>
      </c>
      <c r="F275" s="600">
        <f t="shared" si="40"/>
        <v>5415082.0800000001</v>
      </c>
      <c r="G275" s="600"/>
      <c r="H275" s="317"/>
      <c r="I275" s="600"/>
      <c r="J275" s="599"/>
      <c r="K275" s="600"/>
      <c r="L275" s="599"/>
      <c r="M275" s="599"/>
      <c r="N275" s="599"/>
      <c r="O275" s="600">
        <f t="shared" si="41"/>
        <v>190002.88</v>
      </c>
      <c r="P275" s="601">
        <f t="shared" si="42"/>
        <v>28.5</v>
      </c>
      <c r="Q275" s="600">
        <f t="shared" si="43"/>
        <v>5415082.0800000001</v>
      </c>
    </row>
    <row r="276" spans="1:17" s="598" customFormat="1" ht="15" outlineLevel="1">
      <c r="A276" s="597">
        <v>3790</v>
      </c>
      <c r="B276" s="598" t="s">
        <v>528</v>
      </c>
      <c r="C276" s="598">
        <v>1995</v>
      </c>
      <c r="D276" s="599">
        <v>45537.400000000001</v>
      </c>
      <c r="E276" s="601">
        <f>Input!$C$14-C276+0.5</f>
        <v>27.5</v>
      </c>
      <c r="F276" s="600">
        <f t="shared" si="40"/>
        <v>1252278.5</v>
      </c>
      <c r="G276" s="600"/>
      <c r="H276" s="317"/>
      <c r="I276" s="600"/>
      <c r="J276" s="599"/>
      <c r="K276" s="600"/>
      <c r="L276" s="599"/>
      <c r="M276" s="599"/>
      <c r="N276" s="599"/>
      <c r="O276" s="600">
        <f t="shared" si="41"/>
        <v>45537.400000000001</v>
      </c>
      <c r="P276" s="601">
        <f t="shared" si="42"/>
        <v>27.5</v>
      </c>
      <c r="Q276" s="600">
        <f t="shared" si="43"/>
        <v>1252278.5</v>
      </c>
    </row>
    <row r="277" spans="1:17" s="598" customFormat="1" ht="15" outlineLevel="1">
      <c r="A277" s="597">
        <v>3790</v>
      </c>
      <c r="B277" s="598" t="s">
        <v>528</v>
      </c>
      <c r="C277" s="598">
        <v>1996</v>
      </c>
      <c r="D277" s="599">
        <v>65523.930000000008</v>
      </c>
      <c r="E277" s="601">
        <f>Input!$C$14-C277+0.5</f>
        <v>26.5</v>
      </c>
      <c r="F277" s="600">
        <f t="shared" si="40"/>
        <v>1736384.1450000003</v>
      </c>
      <c r="G277" s="600"/>
      <c r="H277" s="317"/>
      <c r="I277" s="600"/>
      <c r="J277" s="599"/>
      <c r="K277" s="600"/>
      <c r="L277" s="599"/>
      <c r="M277" s="599"/>
      <c r="N277" s="599"/>
      <c r="O277" s="600">
        <f t="shared" si="41"/>
        <v>65523.930000000008</v>
      </c>
      <c r="P277" s="601">
        <f t="shared" si="42"/>
        <v>26.5</v>
      </c>
      <c r="Q277" s="600">
        <f t="shared" si="43"/>
        <v>1736384.1450000003</v>
      </c>
    </row>
    <row r="278" spans="1:17" s="598" customFormat="1" ht="15" outlineLevel="1">
      <c r="A278" s="597">
        <v>3790</v>
      </c>
      <c r="B278" s="598" t="s">
        <v>528</v>
      </c>
      <c r="C278" s="598">
        <v>1997</v>
      </c>
      <c r="D278" s="599">
        <v>169021.82000000001</v>
      </c>
      <c r="E278" s="601">
        <f>Input!$C$14-C278+0.5</f>
        <v>25.5</v>
      </c>
      <c r="F278" s="600">
        <f t="shared" si="40"/>
        <v>4310056.4100000001</v>
      </c>
      <c r="G278" s="600"/>
      <c r="H278" s="317"/>
      <c r="I278" s="600"/>
      <c r="J278" s="599"/>
      <c r="K278" s="600"/>
      <c r="L278" s="599"/>
      <c r="M278" s="599"/>
      <c r="N278" s="599"/>
      <c r="O278" s="600">
        <f t="shared" si="41"/>
        <v>169021.82000000001</v>
      </c>
      <c r="P278" s="601">
        <f t="shared" si="42"/>
        <v>25.5</v>
      </c>
      <c r="Q278" s="600">
        <f t="shared" si="43"/>
        <v>4310056.4100000001</v>
      </c>
    </row>
    <row r="279" spans="1:17" s="598" customFormat="1" ht="15" outlineLevel="1">
      <c r="A279" s="597">
        <v>3790</v>
      </c>
      <c r="B279" s="598" t="s">
        <v>528</v>
      </c>
      <c r="C279" s="598">
        <v>1998</v>
      </c>
      <c r="D279" s="599">
        <v>139592.12</v>
      </c>
      <c r="E279" s="601">
        <f>Input!$C$14-C279+0.5</f>
        <v>24.5</v>
      </c>
      <c r="F279" s="600">
        <f t="shared" si="40"/>
        <v>3420006.9399999999</v>
      </c>
      <c r="G279" s="600"/>
      <c r="H279" s="317"/>
      <c r="I279" s="600"/>
      <c r="J279" s="599"/>
      <c r="K279" s="600"/>
      <c r="L279" s="599"/>
      <c r="M279" s="599"/>
      <c r="N279" s="599"/>
      <c r="O279" s="600">
        <f t="shared" si="41"/>
        <v>139592.12</v>
      </c>
      <c r="P279" s="601">
        <f t="shared" si="42"/>
        <v>24.5</v>
      </c>
      <c r="Q279" s="600">
        <f t="shared" si="43"/>
        <v>3420006.9399999999</v>
      </c>
    </row>
    <row r="280" spans="1:17" s="598" customFormat="1" ht="15" outlineLevel="1">
      <c r="A280" s="597">
        <v>3790</v>
      </c>
      <c r="B280" s="598" t="s">
        <v>528</v>
      </c>
      <c r="C280" s="598">
        <v>1999</v>
      </c>
      <c r="D280" s="599">
        <v>230206.28999999998</v>
      </c>
      <c r="E280" s="601">
        <f>Input!$C$14-C280+0.5</f>
        <v>23.5</v>
      </c>
      <c r="F280" s="600">
        <f t="shared" si="40"/>
        <v>5409847.8149999995</v>
      </c>
      <c r="G280" s="600"/>
      <c r="H280" s="317"/>
      <c r="I280" s="600"/>
      <c r="J280" s="599"/>
      <c r="K280" s="600"/>
      <c r="L280" s="599"/>
      <c r="M280" s="599"/>
      <c r="N280" s="599"/>
      <c r="O280" s="600">
        <f t="shared" si="41"/>
        <v>230206.28999999998</v>
      </c>
      <c r="P280" s="601">
        <f t="shared" si="42"/>
        <v>23.5</v>
      </c>
      <c r="Q280" s="600">
        <f t="shared" si="43"/>
        <v>5409847.8149999995</v>
      </c>
    </row>
    <row r="281" spans="1:17" s="598" customFormat="1" ht="15" outlineLevel="1">
      <c r="A281" s="597">
        <v>3790</v>
      </c>
      <c r="B281" s="598" t="s">
        <v>528</v>
      </c>
      <c r="C281" s="598">
        <v>2000</v>
      </c>
      <c r="D281" s="599">
        <v>102672.5</v>
      </c>
      <c r="E281" s="601">
        <f>Input!$C$14-C281+0.5</f>
        <v>22.5</v>
      </c>
      <c r="F281" s="600">
        <f t="shared" si="40"/>
        <v>2310131.25</v>
      </c>
      <c r="G281" s="600"/>
      <c r="H281" s="317"/>
      <c r="I281" s="600"/>
      <c r="J281" s="599"/>
      <c r="K281" s="600"/>
      <c r="L281" s="599"/>
      <c r="M281" s="599"/>
      <c r="N281" s="599"/>
      <c r="O281" s="600">
        <f t="shared" si="41"/>
        <v>102672.5</v>
      </c>
      <c r="P281" s="601">
        <f t="shared" si="42"/>
        <v>22.5</v>
      </c>
      <c r="Q281" s="600">
        <f t="shared" si="43"/>
        <v>2310131.25</v>
      </c>
    </row>
    <row r="282" spans="1:17" s="598" customFormat="1" ht="15" outlineLevel="1">
      <c r="A282" s="597">
        <v>3790</v>
      </c>
      <c r="B282" s="598" t="s">
        <v>528</v>
      </c>
      <c r="C282" s="598">
        <v>2001</v>
      </c>
      <c r="D282" s="599">
        <v>438624.74000000005</v>
      </c>
      <c r="E282" s="601">
        <f>Input!$C$14-C282+0.5</f>
        <v>21.5</v>
      </c>
      <c r="F282" s="600">
        <f t="shared" si="40"/>
        <v>9430431.9100000001</v>
      </c>
      <c r="G282" s="600"/>
      <c r="H282" s="317"/>
      <c r="I282" s="600"/>
      <c r="J282" s="599"/>
      <c r="K282" s="600"/>
      <c r="L282" s="599">
        <v>-30100.09</v>
      </c>
      <c r="M282" s="599"/>
      <c r="N282" s="599"/>
      <c r="O282" s="600">
        <f t="shared" si="41"/>
        <v>408524.65000000002</v>
      </c>
      <c r="P282" s="601">
        <f t="shared" si="42"/>
        <v>21.5</v>
      </c>
      <c r="Q282" s="600">
        <f t="shared" si="43"/>
        <v>8783279.9749999996</v>
      </c>
    </row>
    <row r="283" spans="1:17" s="598" customFormat="1" ht="15" outlineLevel="1">
      <c r="A283" s="597">
        <v>3790</v>
      </c>
      <c r="B283" s="598" t="s">
        <v>528</v>
      </c>
      <c r="C283" s="598">
        <v>2002</v>
      </c>
      <c r="D283" s="599">
        <v>1712251.0600000001</v>
      </c>
      <c r="E283" s="601">
        <f>Input!$C$14-C283+0.5</f>
        <v>20.5</v>
      </c>
      <c r="F283" s="600">
        <f t="shared" si="40"/>
        <v>35101146.730000004</v>
      </c>
      <c r="G283" s="600"/>
      <c r="H283" s="317"/>
      <c r="I283" s="600"/>
      <c r="J283" s="599"/>
      <c r="K283" s="600"/>
      <c r="L283" s="599"/>
      <c r="M283" s="599"/>
      <c r="N283" s="599"/>
      <c r="O283" s="600">
        <f t="shared" si="41"/>
        <v>1712251.0600000001</v>
      </c>
      <c r="P283" s="601">
        <f t="shared" si="42"/>
        <v>20.5</v>
      </c>
      <c r="Q283" s="600">
        <f t="shared" si="43"/>
        <v>35101146.730000004</v>
      </c>
    </row>
    <row r="284" spans="1:17" s="598" customFormat="1" ht="15" outlineLevel="1">
      <c r="A284" s="597">
        <v>3790</v>
      </c>
      <c r="B284" s="598" t="s">
        <v>528</v>
      </c>
      <c r="C284" s="598">
        <v>2003</v>
      </c>
      <c r="D284" s="599">
        <v>95271.599999999977</v>
      </c>
      <c r="E284" s="601">
        <f>Input!$C$14-C284+0.5</f>
        <v>19.5</v>
      </c>
      <c r="F284" s="600">
        <f t="shared" si="40"/>
        <v>1857796.1999999995</v>
      </c>
      <c r="G284" s="600"/>
      <c r="H284" s="317"/>
      <c r="I284" s="600"/>
      <c r="J284" s="599"/>
      <c r="K284" s="600"/>
      <c r="L284" s="599"/>
      <c r="M284" s="599"/>
      <c r="N284" s="599"/>
      <c r="O284" s="600">
        <f t="shared" si="41"/>
        <v>95271.599999999977</v>
      </c>
      <c r="P284" s="601">
        <f t="shared" si="42"/>
        <v>19.5</v>
      </c>
      <c r="Q284" s="600">
        <f t="shared" si="43"/>
        <v>1857796.1999999995</v>
      </c>
    </row>
    <row r="285" spans="1:17" s="598" customFormat="1" ht="15" outlineLevel="1">
      <c r="A285" s="597">
        <v>3790</v>
      </c>
      <c r="B285" s="598" t="s">
        <v>528</v>
      </c>
      <c r="C285" s="598">
        <v>2004</v>
      </c>
      <c r="D285" s="599">
        <v>175751.36000000002</v>
      </c>
      <c r="E285" s="601">
        <f>Input!$C$14-C285+0.5</f>
        <v>18.5</v>
      </c>
      <c r="F285" s="600">
        <f t="shared" si="40"/>
        <v>3251400.1600000001</v>
      </c>
      <c r="G285" s="600"/>
      <c r="H285" s="317"/>
      <c r="I285" s="600"/>
      <c r="J285" s="599"/>
      <c r="K285" s="600"/>
      <c r="L285" s="599"/>
      <c r="M285" s="599"/>
      <c r="N285" s="599"/>
      <c r="O285" s="600">
        <f t="shared" si="41"/>
        <v>175751.36000000002</v>
      </c>
      <c r="P285" s="601">
        <f t="shared" si="42"/>
        <v>18.5</v>
      </c>
      <c r="Q285" s="600">
        <f t="shared" si="43"/>
        <v>3251400.1600000001</v>
      </c>
    </row>
    <row r="286" spans="1:17" s="598" customFormat="1" ht="15" outlineLevel="1">
      <c r="A286" s="597">
        <v>3790</v>
      </c>
      <c r="B286" s="598" t="s">
        <v>528</v>
      </c>
      <c r="C286" s="598">
        <v>2005</v>
      </c>
      <c r="D286" s="599">
        <f>411046.05-70663.3</f>
        <v>340382.75</v>
      </c>
      <c r="E286" s="601">
        <f>Input!$C$14-C286+0.5</f>
        <v>17.5</v>
      </c>
      <c r="F286" s="600">
        <f t="shared" si="40"/>
        <v>5956698.125</v>
      </c>
      <c r="G286" s="600"/>
      <c r="H286" s="317"/>
      <c r="I286" s="600"/>
      <c r="J286" s="599"/>
      <c r="K286" s="600"/>
      <c r="L286" s="599">
        <v>-2448.5999999999999</v>
      </c>
      <c r="M286" s="599"/>
      <c r="N286" s="599"/>
      <c r="O286" s="600">
        <f t="shared" si="41"/>
        <v>337934.15000000002</v>
      </c>
      <c r="P286" s="601">
        <f t="shared" si="42"/>
        <v>17.5</v>
      </c>
      <c r="Q286" s="600">
        <f t="shared" si="43"/>
        <v>5913847.625</v>
      </c>
    </row>
    <row r="287" spans="1:17" s="598" customFormat="1" ht="15" outlineLevel="1">
      <c r="A287" s="597">
        <v>3790</v>
      </c>
      <c r="B287" s="598" t="s">
        <v>528</v>
      </c>
      <c r="C287" s="598">
        <v>2006</v>
      </c>
      <c r="D287" s="599">
        <v>206566.48999999999</v>
      </c>
      <c r="E287" s="601">
        <f>Input!$C$14-C287+0.5</f>
        <v>16.5</v>
      </c>
      <c r="F287" s="600">
        <f t="shared" si="40"/>
        <v>3408347.085</v>
      </c>
      <c r="G287" s="600"/>
      <c r="H287" s="317"/>
      <c r="I287" s="600"/>
      <c r="J287" s="599"/>
      <c r="K287" s="600"/>
      <c r="L287" s="599"/>
      <c r="M287" s="599"/>
      <c r="N287" s="599"/>
      <c r="O287" s="600">
        <f t="shared" si="41"/>
        <v>206566.48999999999</v>
      </c>
      <c r="P287" s="601">
        <f t="shared" si="42"/>
        <v>16.5</v>
      </c>
      <c r="Q287" s="600">
        <f t="shared" si="43"/>
        <v>3408347.085</v>
      </c>
    </row>
    <row r="288" spans="1:17" s="598" customFormat="1" ht="15" outlineLevel="1">
      <c r="A288" s="597">
        <v>3790</v>
      </c>
      <c r="B288" s="598" t="s">
        <v>528</v>
      </c>
      <c r="C288" s="598">
        <v>2007</v>
      </c>
      <c r="D288" s="599">
        <f>-70663.3+70663.3</f>
        <v>0</v>
      </c>
      <c r="E288" s="601">
        <f>Input!$C$14-C288+0.5</f>
        <v>15.5</v>
      </c>
      <c r="F288" s="600">
        <f t="shared" si="40"/>
        <v>0</v>
      </c>
      <c r="G288" s="600"/>
      <c r="H288" s="317"/>
      <c r="I288" s="600"/>
      <c r="J288" s="599"/>
      <c r="K288" s="600"/>
      <c r="L288" s="599"/>
      <c r="M288" s="599"/>
      <c r="N288" s="599"/>
      <c r="O288" s="600">
        <f t="shared" si="41"/>
        <v>0</v>
      </c>
      <c r="P288" s="601">
        <f t="shared" si="42"/>
        <v>15.5</v>
      </c>
      <c r="Q288" s="600">
        <f t="shared" si="43"/>
        <v>0</v>
      </c>
    </row>
    <row r="289" spans="1:17" s="598" customFormat="1" ht="15" outlineLevel="1">
      <c r="A289" s="597">
        <v>3790</v>
      </c>
      <c r="B289" s="598" t="s">
        <v>528</v>
      </c>
      <c r="C289" s="598">
        <v>2008</v>
      </c>
      <c r="D289" s="599">
        <v>42141.109999999993</v>
      </c>
      <c r="E289" s="601">
        <f>Input!$C$14-C289+0.5</f>
        <v>14.5</v>
      </c>
      <c r="F289" s="600">
        <f t="shared" si="40"/>
        <v>611046.09499999986</v>
      </c>
      <c r="G289" s="600"/>
      <c r="H289" s="317"/>
      <c r="I289" s="600"/>
      <c r="J289" s="599"/>
      <c r="K289" s="600"/>
      <c r="L289" s="599">
        <v>-15237.889999999999</v>
      </c>
      <c r="M289" s="599"/>
      <c r="N289" s="599"/>
      <c r="O289" s="600">
        <f t="shared" si="41"/>
        <v>26903.219999999994</v>
      </c>
      <c r="P289" s="601">
        <f t="shared" si="42"/>
        <v>14.5</v>
      </c>
      <c r="Q289" s="600">
        <f t="shared" si="43"/>
        <v>390096.68999999989</v>
      </c>
    </row>
    <row r="290" spans="1:17" s="598" customFormat="1" ht="15" outlineLevel="1">
      <c r="A290" s="597">
        <v>3790</v>
      </c>
      <c r="B290" s="598" t="s">
        <v>528</v>
      </c>
      <c r="C290" s="598">
        <v>2009</v>
      </c>
      <c r="D290" s="599">
        <v>24709.82</v>
      </c>
      <c r="E290" s="601">
        <f>Input!$C$14-C290+0.5</f>
        <v>13.5</v>
      </c>
      <c r="F290" s="600">
        <f t="shared" si="40"/>
        <v>333582.57000000001</v>
      </c>
      <c r="G290" s="600"/>
      <c r="H290" s="317"/>
      <c r="I290" s="600"/>
      <c r="J290" s="599"/>
      <c r="K290" s="600"/>
      <c r="L290" s="599"/>
      <c r="M290" s="599"/>
      <c r="N290" s="599"/>
      <c r="O290" s="600">
        <f t="shared" si="41"/>
        <v>24709.82</v>
      </c>
      <c r="P290" s="601">
        <f t="shared" si="42"/>
        <v>13.5</v>
      </c>
      <c r="Q290" s="600">
        <f t="shared" si="43"/>
        <v>333582.57000000001</v>
      </c>
    </row>
    <row r="291" spans="1:17" s="598" customFormat="1" ht="15" outlineLevel="1">
      <c r="A291" s="597">
        <v>3790</v>
      </c>
      <c r="B291" s="598" t="s">
        <v>528</v>
      </c>
      <c r="C291" s="598">
        <v>2010</v>
      </c>
      <c r="D291" s="599">
        <v>1273709.2600000005</v>
      </c>
      <c r="E291" s="601">
        <f>Input!$C$14-C291+0.5</f>
        <v>12.5</v>
      </c>
      <c r="F291" s="600">
        <f t="shared" si="40"/>
        <v>15921365.750000006</v>
      </c>
      <c r="G291" s="600"/>
      <c r="H291" s="317"/>
      <c r="I291" s="600"/>
      <c r="J291" s="599"/>
      <c r="K291" s="600"/>
      <c r="L291" s="599"/>
      <c r="M291" s="599"/>
      <c r="N291" s="599"/>
      <c r="O291" s="600">
        <f t="shared" si="41"/>
        <v>1273709.2600000005</v>
      </c>
      <c r="P291" s="601">
        <f t="shared" si="42"/>
        <v>12.5</v>
      </c>
      <c r="Q291" s="600">
        <f t="shared" si="43"/>
        <v>15921365.750000006</v>
      </c>
    </row>
    <row r="292" spans="1:17" s="598" customFormat="1" ht="15" outlineLevel="1">
      <c r="A292" s="597">
        <v>3790</v>
      </c>
      <c r="B292" s="598" t="s">
        <v>528</v>
      </c>
      <c r="C292" s="598">
        <v>2011</v>
      </c>
      <c r="D292" s="599">
        <v>1331278.9000000001</v>
      </c>
      <c r="E292" s="601">
        <f>Input!$C$14-C292+0.5</f>
        <v>11.5</v>
      </c>
      <c r="F292" s="600">
        <f t="shared" si="40"/>
        <v>15309707.350000001</v>
      </c>
      <c r="G292" s="600"/>
      <c r="H292" s="317"/>
      <c r="I292" s="600"/>
      <c r="J292" s="599"/>
      <c r="K292" s="600"/>
      <c r="L292" s="599"/>
      <c r="M292" s="599"/>
      <c r="N292" s="599"/>
      <c r="O292" s="600">
        <f t="shared" si="41"/>
        <v>1331278.9000000001</v>
      </c>
      <c r="P292" s="601">
        <f t="shared" si="42"/>
        <v>11.5</v>
      </c>
      <c r="Q292" s="600">
        <f t="shared" si="43"/>
        <v>15309707.350000001</v>
      </c>
    </row>
    <row r="293" spans="1:17" s="598" customFormat="1" ht="15" outlineLevel="1">
      <c r="A293" s="597">
        <v>3790</v>
      </c>
      <c r="B293" s="598" t="s">
        <v>528</v>
      </c>
      <c r="C293" s="598">
        <v>2012</v>
      </c>
      <c r="D293" s="599">
        <v>113818.79000000001</v>
      </c>
      <c r="E293" s="601">
        <f>Input!$C$14-C293+0.5</f>
        <v>10.5</v>
      </c>
      <c r="F293" s="600">
        <f t="shared" si="40"/>
        <v>1195097.2950000002</v>
      </c>
      <c r="G293" s="600"/>
      <c r="H293" s="317"/>
      <c r="I293" s="600"/>
      <c r="J293" s="599"/>
      <c r="K293" s="600"/>
      <c r="L293" s="599"/>
      <c r="M293" s="599"/>
      <c r="N293" s="599"/>
      <c r="O293" s="600">
        <f t="shared" si="41"/>
        <v>113818.79000000001</v>
      </c>
      <c r="P293" s="601">
        <f t="shared" si="42"/>
        <v>10.5</v>
      </c>
      <c r="Q293" s="600">
        <f t="shared" si="43"/>
        <v>1195097.2950000002</v>
      </c>
    </row>
    <row r="294" spans="1:17" s="598" customFormat="1" ht="15" outlineLevel="1">
      <c r="A294" s="597">
        <v>3790</v>
      </c>
      <c r="B294" s="598" t="s">
        <v>528</v>
      </c>
      <c r="C294" s="598">
        <v>2013</v>
      </c>
      <c r="D294" s="599">
        <v>1116194.9099999999</v>
      </c>
      <c r="E294" s="601">
        <f>Input!$C$14-C294+0.5</f>
        <v>9.5</v>
      </c>
      <c r="F294" s="600">
        <f t="shared" si="40"/>
        <v>10603851.645</v>
      </c>
      <c r="G294" s="600"/>
      <c r="H294" s="317"/>
      <c r="I294" s="600"/>
      <c r="J294" s="599"/>
      <c r="K294" s="600"/>
      <c r="L294" s="599"/>
      <c r="M294" s="599"/>
      <c r="N294" s="599"/>
      <c r="O294" s="600">
        <f t="shared" si="41"/>
        <v>1116194.9099999999</v>
      </c>
      <c r="P294" s="601">
        <f t="shared" si="42"/>
        <v>9.5</v>
      </c>
      <c r="Q294" s="600">
        <f t="shared" si="43"/>
        <v>10603851.645</v>
      </c>
    </row>
    <row r="295" spans="1:17" s="598" customFormat="1" ht="15" outlineLevel="1">
      <c r="A295" s="597">
        <v>3790</v>
      </c>
      <c r="B295" s="598" t="s">
        <v>528</v>
      </c>
      <c r="C295" s="598">
        <v>2014</v>
      </c>
      <c r="D295" s="599">
        <v>1164585.99</v>
      </c>
      <c r="E295" s="601">
        <f>Input!$C$14-C295+0.5</f>
        <v>8.5</v>
      </c>
      <c r="F295" s="600">
        <f t="shared" si="40"/>
        <v>9898980.9149999991</v>
      </c>
      <c r="G295" s="600"/>
      <c r="H295" s="317"/>
      <c r="I295" s="600"/>
      <c r="J295" s="599"/>
      <c r="K295" s="600"/>
      <c r="L295" s="599"/>
      <c r="M295" s="599"/>
      <c r="N295" s="599"/>
      <c r="O295" s="600">
        <f t="shared" si="41"/>
        <v>1164585.99</v>
      </c>
      <c r="P295" s="601">
        <f t="shared" si="42"/>
        <v>8.5</v>
      </c>
      <c r="Q295" s="600">
        <f t="shared" si="43"/>
        <v>9898980.9149999991</v>
      </c>
    </row>
    <row r="296" spans="1:17" s="598" customFormat="1" ht="15" outlineLevel="1">
      <c r="A296" s="597">
        <v>3790</v>
      </c>
      <c r="B296" s="598" t="s">
        <v>528</v>
      </c>
      <c r="C296" s="598">
        <v>2015</v>
      </c>
      <c r="D296" s="599">
        <v>767225.28999999992</v>
      </c>
      <c r="E296" s="601">
        <f>Input!$C$14-C296+0.5</f>
        <v>7.5</v>
      </c>
      <c r="F296" s="600">
        <f t="shared" si="40"/>
        <v>5754189.6749999998</v>
      </c>
      <c r="G296" s="600"/>
      <c r="H296" s="317"/>
      <c r="I296" s="600"/>
      <c r="J296" s="599"/>
      <c r="K296" s="600"/>
      <c r="L296" s="599"/>
      <c r="M296" s="599"/>
      <c r="N296" s="599"/>
      <c r="O296" s="600">
        <f t="shared" si="41"/>
        <v>767225.28999999992</v>
      </c>
      <c r="P296" s="601">
        <f t="shared" si="42"/>
        <v>7.5</v>
      </c>
      <c r="Q296" s="600">
        <f t="shared" si="43"/>
        <v>5754189.6749999998</v>
      </c>
    </row>
    <row r="297" spans="1:17" s="598" customFormat="1" ht="15" outlineLevel="1">
      <c r="A297" s="597">
        <v>3790</v>
      </c>
      <c r="B297" s="598" t="s">
        <v>528</v>
      </c>
      <c r="C297" s="598">
        <v>2016</v>
      </c>
      <c r="D297" s="599">
        <v>628938.8600000001</v>
      </c>
      <c r="E297" s="601">
        <f>Input!$C$14-C297+0.5</f>
        <v>6.5</v>
      </c>
      <c r="F297" s="600">
        <f t="shared" si="40"/>
        <v>4088102.5900000008</v>
      </c>
      <c r="G297" s="600"/>
      <c r="H297" s="317"/>
      <c r="I297" s="600"/>
      <c r="J297" s="599"/>
      <c r="K297" s="600"/>
      <c r="L297" s="599"/>
      <c r="M297" s="599"/>
      <c r="N297" s="599"/>
      <c r="O297" s="600">
        <f t="shared" si="41"/>
        <v>628938.8600000001</v>
      </c>
      <c r="P297" s="601">
        <f t="shared" si="42"/>
        <v>6.5</v>
      </c>
      <c r="Q297" s="600">
        <f t="shared" si="43"/>
        <v>4088102.5900000008</v>
      </c>
    </row>
    <row r="298" spans="1:17" s="598" customFormat="1" ht="15" outlineLevel="1">
      <c r="A298" s="597">
        <v>3790</v>
      </c>
      <c r="B298" s="598" t="s">
        <v>528</v>
      </c>
      <c r="C298" s="598">
        <v>2017</v>
      </c>
      <c r="D298" s="599">
        <v>347961.26000000001</v>
      </c>
      <c r="E298" s="601">
        <f>Input!$C$14-C298+0.5</f>
        <v>5.5</v>
      </c>
      <c r="F298" s="600">
        <f t="shared" si="40"/>
        <v>1913786.9300000002</v>
      </c>
      <c r="G298" s="600"/>
      <c r="H298" s="317"/>
      <c r="I298" s="600"/>
      <c r="J298" s="599"/>
      <c r="K298" s="600"/>
      <c r="L298" s="599"/>
      <c r="M298" s="599"/>
      <c r="N298" s="599"/>
      <c r="O298" s="600">
        <f t="shared" si="41"/>
        <v>347961.26000000001</v>
      </c>
      <c r="P298" s="601">
        <f t="shared" si="42"/>
        <v>5.5</v>
      </c>
      <c r="Q298" s="600">
        <f t="shared" si="43"/>
        <v>1913786.9300000002</v>
      </c>
    </row>
    <row r="299" spans="1:17" s="598" customFormat="1" ht="15" outlineLevel="1">
      <c r="A299" s="597">
        <v>3790</v>
      </c>
      <c r="B299" s="598" t="s">
        <v>528</v>
      </c>
      <c r="C299" s="598">
        <v>2018</v>
      </c>
      <c r="D299" s="599">
        <v>1441497.1599999999</v>
      </c>
      <c r="E299" s="601">
        <f>Input!$C$14-C299+0.5</f>
        <v>4.5</v>
      </c>
      <c r="F299" s="600">
        <f t="shared" si="40"/>
        <v>6486737.2199999997</v>
      </c>
      <c r="G299" s="600"/>
      <c r="H299" s="317"/>
      <c r="I299" s="600"/>
      <c r="J299" s="599"/>
      <c r="K299" s="600"/>
      <c r="L299" s="599"/>
      <c r="M299" s="599"/>
      <c r="N299" s="599"/>
      <c r="O299" s="600">
        <f t="shared" si="41"/>
        <v>1441497.1599999999</v>
      </c>
      <c r="P299" s="601">
        <f t="shared" si="42"/>
        <v>4.5</v>
      </c>
      <c r="Q299" s="600">
        <f t="shared" si="43"/>
        <v>6486737.2199999997</v>
      </c>
    </row>
    <row r="300" spans="1:17" s="598" customFormat="1" ht="15" outlineLevel="1">
      <c r="A300" s="597">
        <v>3790</v>
      </c>
      <c r="B300" s="598" t="s">
        <v>528</v>
      </c>
      <c r="C300" s="598">
        <v>2019</v>
      </c>
      <c r="D300" s="599">
        <v>591642.05000000005</v>
      </c>
      <c r="E300" s="601">
        <f>Input!$C$14-C300+0.5</f>
        <v>3.5</v>
      </c>
      <c r="F300" s="600">
        <f t="shared" si="40"/>
        <v>2070747.1750000003</v>
      </c>
      <c r="G300" s="600"/>
      <c r="H300" s="317"/>
      <c r="I300" s="600"/>
      <c r="J300" s="599"/>
      <c r="K300" s="600"/>
      <c r="L300" s="599"/>
      <c r="M300" s="599"/>
      <c r="N300" s="599"/>
      <c r="O300" s="600">
        <f t="shared" si="41"/>
        <v>591642.05000000005</v>
      </c>
      <c r="P300" s="601">
        <f t="shared" si="42"/>
        <v>3.5</v>
      </c>
      <c r="Q300" s="600">
        <f t="shared" si="43"/>
        <v>2070747.1750000003</v>
      </c>
    </row>
    <row r="301" spans="1:17" s="598" customFormat="1" ht="15" outlineLevel="1">
      <c r="A301" s="597">
        <v>3790</v>
      </c>
      <c r="B301" s="598" t="s">
        <v>528</v>
      </c>
      <c r="C301" s="598">
        <v>2020</v>
      </c>
      <c r="D301" s="599">
        <v>268122.77000000002</v>
      </c>
      <c r="E301" s="601">
        <f>Input!$C$14-C301+0.5</f>
        <v>2.5</v>
      </c>
      <c r="F301" s="600">
        <f t="shared" si="40"/>
        <v>670306.92500000005</v>
      </c>
      <c r="G301" s="600"/>
      <c r="H301" s="317"/>
      <c r="I301" s="600"/>
      <c r="J301" s="600"/>
      <c r="K301" s="600"/>
      <c r="L301" s="600"/>
      <c r="M301" s="600"/>
      <c r="N301" s="600"/>
      <c r="O301" s="600">
        <f t="shared" si="41"/>
        <v>268122.77000000002</v>
      </c>
      <c r="P301" s="601">
        <f t="shared" si="42"/>
        <v>2.5</v>
      </c>
      <c r="Q301" s="600">
        <f t="shared" si="43"/>
        <v>670306.92500000005</v>
      </c>
    </row>
    <row r="302" spans="1:17" s="598" customFormat="1" ht="15" outlineLevel="1">
      <c r="A302" s="597">
        <v>3790</v>
      </c>
      <c r="B302" s="598" t="s">
        <v>528</v>
      </c>
      <c r="C302" s="598">
        <v>2021</v>
      </c>
      <c r="D302" s="599">
        <v>155286.49000000002</v>
      </c>
      <c r="E302" s="601">
        <f>Input!$C$14-C302+0.5</f>
        <v>1.5</v>
      </c>
      <c r="F302" s="600">
        <f t="shared" si="40"/>
        <v>232929.73500000004</v>
      </c>
      <c r="G302" s="600"/>
      <c r="H302" s="317"/>
      <c r="I302" s="600"/>
      <c r="J302" s="600"/>
      <c r="K302" s="600"/>
      <c r="L302" s="600"/>
      <c r="M302" s="600"/>
      <c r="N302" s="600"/>
      <c r="O302" s="600">
        <f t="shared" si="41"/>
        <v>155286.49000000002</v>
      </c>
      <c r="P302" s="601">
        <f t="shared" si="42"/>
        <v>1.5</v>
      </c>
      <c r="Q302" s="600">
        <f t="shared" si="43"/>
        <v>232929.73500000004</v>
      </c>
    </row>
    <row r="303" spans="1:20" s="598" customFormat="1" ht="15.75" thickBot="1">
      <c r="A303" s="563">
        <f>A302</f>
        <v>3790</v>
      </c>
      <c r="B303" s="564" t="s">
        <v>496</v>
      </c>
      <c r="D303" s="357">
        <f>SUM(D258:D302)</f>
        <v>14032715.370000001</v>
      </c>
      <c r="E303" s="565">
        <f>ROUND(F303/D303,1)</f>
        <v>13.300000000000001</v>
      </c>
      <c r="F303" s="357">
        <f>SUM(F258:F302)</f>
        <v>187128433.69500005</v>
      </c>
      <c r="G303" s="600"/>
      <c r="H303" s="317"/>
      <c r="I303" s="357">
        <f>SUM(I258:I302)</f>
        <v>0</v>
      </c>
      <c r="J303" s="357">
        <f>SUM(J258:J302)</f>
        <v>0</v>
      </c>
      <c r="K303" s="357">
        <f t="shared" si="44" ref="K303:N303">SUM(K258:K302)</f>
        <v>0</v>
      </c>
      <c r="L303" s="357">
        <f t="shared" si="44"/>
        <v>-94654.639999999999</v>
      </c>
      <c r="M303" s="357">
        <f t="shared" si="44"/>
        <v>0</v>
      </c>
      <c r="N303" s="357">
        <f t="shared" si="44"/>
        <v>0</v>
      </c>
      <c r="O303" s="357">
        <f>SUM(O258:O302)</f>
        <v>13938060.73</v>
      </c>
      <c r="P303" s="565">
        <f>ROUND(Q303/O303,1)</f>
        <v>13.199999999999999</v>
      </c>
      <c r="Q303" s="357">
        <f>SUM(Q258:Q302)</f>
        <v>184509496.25500003</v>
      </c>
      <c r="S303" s="604">
        <f>'Sch. G 2021'!H19</f>
        <v>14032716</v>
      </c>
      <c r="T303" s="679">
        <f>D303-S303</f>
        <v>-0.62999999895691872</v>
      </c>
    </row>
    <row r="304" spans="1:20" s="598" customFormat="1" ht="15.75" thickTop="1">
      <c r="A304" s="566">
        <f>A302</f>
        <v>3790</v>
      </c>
      <c r="B304" s="490" t="str">
        <f>B302&amp;" - Additions"</f>
        <v>M&amp;R Stat Eq-CGate - Additions</v>
      </c>
      <c r="C304" s="490">
        <v>2022</v>
      </c>
      <c r="D304" s="567">
        <f>'Sch. H'!N19</f>
        <v>665937.80000000005</v>
      </c>
      <c r="E304" s="601">
        <f>Input!$C$14-C304+0.5</f>
        <v>0.5</v>
      </c>
      <c r="F304" s="600">
        <f>D304*E304</f>
        <v>332968.90000000002</v>
      </c>
      <c r="G304" s="600"/>
      <c r="H304" s="317"/>
      <c r="I304" s="600"/>
      <c r="J304" s="600"/>
      <c r="K304" s="600"/>
      <c r="L304" s="600"/>
      <c r="M304" s="600"/>
      <c r="N304" s="600"/>
      <c r="O304" s="600">
        <f t="shared" si="45" ref="O304:O305">SUM(D304,I304:N304)</f>
        <v>665937.80000000005</v>
      </c>
      <c r="P304" s="601">
        <f t="shared" si="42"/>
        <v>0.5</v>
      </c>
      <c r="Q304" s="600">
        <f t="shared" si="43"/>
        <v>332968.90000000002</v>
      </c>
      <c r="T304" s="679"/>
    </row>
    <row r="305" spans="1:20" s="598" customFormat="1" ht="15">
      <c r="A305" s="566">
        <f>A304</f>
        <v>3790</v>
      </c>
      <c r="B305" s="490" t="str">
        <f>B302&amp;" - Retirements"</f>
        <v>M&amp;R Stat Eq-CGate - Retirements</v>
      </c>
      <c r="C305" s="490">
        <v>2022</v>
      </c>
      <c r="D305" s="567">
        <f>-'Sch. F 2022'!O90</f>
        <v>0</v>
      </c>
      <c r="E305" s="601">
        <f>'Sch. F 2022'!O92</f>
        <v>0</v>
      </c>
      <c r="F305" s="600">
        <f>D305*E305</f>
        <v>0</v>
      </c>
      <c r="G305" s="600"/>
      <c r="H305" s="317"/>
      <c r="I305" s="600"/>
      <c r="J305" s="600"/>
      <c r="K305" s="600"/>
      <c r="L305" s="600"/>
      <c r="M305" s="600"/>
      <c r="N305" s="600"/>
      <c r="O305" s="600">
        <f t="shared" si="45"/>
        <v>0</v>
      </c>
      <c r="P305" s="601">
        <f t="shared" si="42"/>
        <v>0</v>
      </c>
      <c r="Q305" s="600">
        <f t="shared" si="43"/>
        <v>0</v>
      </c>
      <c r="T305" s="679"/>
    </row>
    <row r="306" spans="1:20" s="598" customFormat="1" ht="13.5" thickBot="1">
      <c r="A306" s="566"/>
      <c r="B306" s="564" t="s">
        <v>557</v>
      </c>
      <c r="C306" s="490"/>
      <c r="D306" s="568">
        <f>SUM(D303:D305)</f>
        <v>14698653.170000002</v>
      </c>
      <c r="E306" s="565">
        <f>ROUND(F306/D306,1)</f>
        <v>12.800000000000001</v>
      </c>
      <c r="F306" s="569">
        <f>SUM(F303:F305)</f>
        <v>187461402.59500006</v>
      </c>
      <c r="G306" s="570"/>
      <c r="H306" s="372"/>
      <c r="I306" s="568">
        <f>SUM(I303:I305)</f>
        <v>0</v>
      </c>
      <c r="J306" s="568">
        <f>SUM(J303:J305)</f>
        <v>0</v>
      </c>
      <c r="K306" s="568">
        <f t="shared" si="46" ref="K306:N306">SUM(K303:K305)</f>
        <v>0</v>
      </c>
      <c r="L306" s="568">
        <f t="shared" si="46"/>
        <v>-94654.639999999999</v>
      </c>
      <c r="M306" s="568">
        <f t="shared" si="46"/>
        <v>0</v>
      </c>
      <c r="N306" s="568">
        <f t="shared" si="46"/>
        <v>0</v>
      </c>
      <c r="O306" s="568">
        <f>SUM(O303:O305)</f>
        <v>14603998.530000001</v>
      </c>
      <c r="P306" s="565">
        <f>ROUND(Q306/O306,1)</f>
        <v>12.699999999999999</v>
      </c>
      <c r="Q306" s="569">
        <f>SUM(Q303:Q305)</f>
        <v>184842465.15500003</v>
      </c>
      <c r="S306" s="604">
        <f>'Sch. G 2022'!H19</f>
        <v>14603999</v>
      </c>
      <c r="T306" s="679">
        <f>O306-S306</f>
        <v>-0.4699999988079071</v>
      </c>
    </row>
    <row r="307" spans="1:20" s="598" customFormat="1" ht="15" thickTop="1">
      <c r="A307" s="563"/>
      <c r="B307" s="571"/>
      <c r="D307" s="358"/>
      <c r="E307" s="572"/>
      <c r="F307" s="358"/>
      <c r="G307" s="358"/>
      <c r="H307" s="318"/>
      <c r="I307" s="358"/>
      <c r="J307" s="358"/>
      <c r="K307" s="358"/>
      <c r="L307" s="358"/>
      <c r="M307" s="358"/>
      <c r="N307" s="358"/>
      <c r="O307" s="600"/>
      <c r="P307" s="601"/>
      <c r="Q307" s="600"/>
      <c r="T307" s="679"/>
    </row>
    <row r="308" spans="1:17" s="598" customFormat="1" ht="15" outlineLevel="1">
      <c r="A308" s="597">
        <v>3801</v>
      </c>
      <c r="B308" s="598" t="s">
        <v>529</v>
      </c>
      <c r="C308" s="598">
        <v>1968</v>
      </c>
      <c r="D308" s="599">
        <v>21358</v>
      </c>
      <c r="E308" s="601">
        <f>Input!$C$14-C308+0.5</f>
        <v>54.5</v>
      </c>
      <c r="F308" s="600">
        <f t="shared" si="47" ref="F308:F356">D308*E308</f>
        <v>1164011</v>
      </c>
      <c r="G308" s="600"/>
      <c r="H308" s="317"/>
      <c r="I308" s="600"/>
      <c r="J308" s="600"/>
      <c r="K308" s="600"/>
      <c r="L308" s="600"/>
      <c r="M308" s="600"/>
      <c r="N308" s="600"/>
      <c r="O308" s="600">
        <f t="shared" si="48" ref="O308:O356">SUM(D308,I308:N308)</f>
        <v>21358</v>
      </c>
      <c r="P308" s="601">
        <f t="shared" si="42"/>
        <v>54.5</v>
      </c>
      <c r="Q308" s="600">
        <f t="shared" si="43"/>
        <v>1164011</v>
      </c>
    </row>
    <row r="309" spans="1:17" s="598" customFormat="1" ht="15" outlineLevel="1">
      <c r="A309" s="597">
        <v>3801</v>
      </c>
      <c r="B309" s="598" t="s">
        <v>529</v>
      </c>
      <c r="C309" s="598">
        <v>1970</v>
      </c>
      <c r="D309" s="599">
        <v>1791</v>
      </c>
      <c r="E309" s="601">
        <f>Input!$C$14-C309+0.5</f>
        <v>52.5</v>
      </c>
      <c r="F309" s="600">
        <f>D309*E309</f>
        <v>94027.5</v>
      </c>
      <c r="G309" s="600"/>
      <c r="H309" s="317"/>
      <c r="I309" s="600"/>
      <c r="J309" s="600"/>
      <c r="K309" s="600"/>
      <c r="L309" s="600">
        <v>-1791</v>
      </c>
      <c r="M309" s="600"/>
      <c r="N309" s="600"/>
      <c r="O309" s="600">
        <f t="shared" si="48"/>
        <v>0</v>
      </c>
      <c r="P309" s="601">
        <f>E309</f>
        <v>52.5</v>
      </c>
      <c r="Q309" s="600">
        <f>O309*P309</f>
        <v>0</v>
      </c>
    </row>
    <row r="310" spans="1:17" s="598" customFormat="1" ht="15" outlineLevel="1">
      <c r="A310" s="597">
        <v>3801</v>
      </c>
      <c r="B310" s="598" t="s">
        <v>529</v>
      </c>
      <c r="C310" s="598">
        <v>1971</v>
      </c>
      <c r="D310" s="599">
        <v>722</v>
      </c>
      <c r="E310" s="601">
        <f>Input!$C$14-C310+0.5</f>
        <v>51.5</v>
      </c>
      <c r="F310" s="600">
        <f>D310*E310</f>
        <v>37183</v>
      </c>
      <c r="G310" s="600"/>
      <c r="H310" s="317"/>
      <c r="I310" s="600"/>
      <c r="J310" s="600"/>
      <c r="K310" s="600"/>
      <c r="L310" s="600">
        <v>-722</v>
      </c>
      <c r="M310" s="600"/>
      <c r="N310" s="600"/>
      <c r="O310" s="600">
        <f t="shared" si="48"/>
        <v>0</v>
      </c>
      <c r="P310" s="601">
        <f>E310</f>
        <v>51.5</v>
      </c>
      <c r="Q310" s="600">
        <f>O310*P310</f>
        <v>0</v>
      </c>
    </row>
    <row r="311" spans="1:17" s="598" customFormat="1" ht="15" outlineLevel="1">
      <c r="A311" s="597">
        <v>3801</v>
      </c>
      <c r="B311" s="598" t="s">
        <v>529</v>
      </c>
      <c r="C311" s="598">
        <v>1976</v>
      </c>
      <c r="D311" s="599">
        <v>1634.95</v>
      </c>
      <c r="E311" s="601">
        <f>Input!$C$14-C311+0.5</f>
        <v>46.5</v>
      </c>
      <c r="F311" s="600">
        <f>D311*E311</f>
        <v>76025.175000000003</v>
      </c>
      <c r="G311" s="600"/>
      <c r="H311" s="317"/>
      <c r="I311" s="600"/>
      <c r="J311" s="600"/>
      <c r="K311" s="600"/>
      <c r="L311" s="600"/>
      <c r="M311" s="600"/>
      <c r="N311" s="600"/>
      <c r="O311" s="600">
        <f t="shared" si="48"/>
        <v>1634.95</v>
      </c>
      <c r="P311" s="601">
        <f>E311</f>
        <v>46.5</v>
      </c>
      <c r="Q311" s="600">
        <f>O311*P311</f>
        <v>76025.175000000003</v>
      </c>
    </row>
    <row r="312" spans="1:17" s="598" customFormat="1" ht="15" outlineLevel="1">
      <c r="A312" s="597">
        <v>3801</v>
      </c>
      <c r="B312" s="598" t="s">
        <v>529</v>
      </c>
      <c r="C312" s="598">
        <v>1977</v>
      </c>
      <c r="D312" s="599">
        <v>19151.969999999998</v>
      </c>
      <c r="E312" s="601">
        <f>Input!$C$14-C312+0.5</f>
        <v>45.5</v>
      </c>
      <c r="F312" s="600">
        <f t="shared" si="47"/>
        <v>871414.63499999989</v>
      </c>
      <c r="G312" s="600"/>
      <c r="H312" s="317"/>
      <c r="I312" s="600"/>
      <c r="J312" s="600"/>
      <c r="K312" s="600"/>
      <c r="L312" s="600"/>
      <c r="M312" s="600"/>
      <c r="N312" s="600"/>
      <c r="O312" s="600">
        <f t="shared" si="48"/>
        <v>19151.969999999998</v>
      </c>
      <c r="P312" s="601">
        <f t="shared" si="42"/>
        <v>45.5</v>
      </c>
      <c r="Q312" s="600">
        <f t="shared" si="43"/>
        <v>871414.63499999989</v>
      </c>
    </row>
    <row r="313" spans="1:17" s="598" customFormat="1" ht="15" outlineLevel="1">
      <c r="A313" s="597">
        <v>3801</v>
      </c>
      <c r="B313" s="598" t="s">
        <v>529</v>
      </c>
      <c r="C313" s="598">
        <v>1978</v>
      </c>
      <c r="D313" s="599">
        <v>54357.089999999997</v>
      </c>
      <c r="E313" s="601">
        <f>Input!$C$14-C313+0.5</f>
        <v>44.5</v>
      </c>
      <c r="F313" s="600">
        <f t="shared" si="47"/>
        <v>2418890.5049999999</v>
      </c>
      <c r="G313" s="600"/>
      <c r="H313" s="317"/>
      <c r="I313" s="600"/>
      <c r="J313" s="600"/>
      <c r="K313" s="600"/>
      <c r="L313" s="600"/>
      <c r="M313" s="600"/>
      <c r="N313" s="600"/>
      <c r="O313" s="600">
        <f t="shared" si="48"/>
        <v>54357.089999999997</v>
      </c>
      <c r="P313" s="601">
        <f t="shared" si="42"/>
        <v>44.5</v>
      </c>
      <c r="Q313" s="600">
        <f t="shared" si="43"/>
        <v>2418890.5049999999</v>
      </c>
    </row>
    <row r="314" spans="1:17" s="598" customFormat="1" ht="15" outlineLevel="1">
      <c r="A314" s="597">
        <v>3801</v>
      </c>
      <c r="B314" s="598" t="s">
        <v>529</v>
      </c>
      <c r="C314" s="598">
        <v>1979</v>
      </c>
      <c r="D314" s="599">
        <f>43979.39+1321</f>
        <v>45300.389999999999</v>
      </c>
      <c r="E314" s="601">
        <f>Input!$C$14-C314+0.5</f>
        <v>43.5</v>
      </c>
      <c r="F314" s="600">
        <f t="shared" si="47"/>
        <v>1970566.9650000001</v>
      </c>
      <c r="G314" s="600"/>
      <c r="H314" s="317"/>
      <c r="I314" s="600"/>
      <c r="J314" s="600"/>
      <c r="K314" s="600"/>
      <c r="L314" s="600">
        <v>-1321</v>
      </c>
      <c r="M314" s="600"/>
      <c r="N314" s="600"/>
      <c r="O314" s="600">
        <f t="shared" si="48"/>
        <v>43979.389999999999</v>
      </c>
      <c r="P314" s="601">
        <f t="shared" si="42"/>
        <v>43.5</v>
      </c>
      <c r="Q314" s="600">
        <f t="shared" si="43"/>
        <v>1913103.4650000001</v>
      </c>
    </row>
    <row r="315" spans="1:17" s="598" customFormat="1" ht="15" outlineLevel="1">
      <c r="A315" s="597">
        <v>3801</v>
      </c>
      <c r="B315" s="598" t="s">
        <v>529</v>
      </c>
      <c r="C315" s="598">
        <v>1980</v>
      </c>
      <c r="D315" s="599">
        <v>78588.260000000009</v>
      </c>
      <c r="E315" s="601">
        <f>Input!$C$14-C315+0.5</f>
        <v>42.5</v>
      </c>
      <c r="F315" s="600">
        <f t="shared" si="47"/>
        <v>3340001.0500000003</v>
      </c>
      <c r="G315" s="600"/>
      <c r="H315" s="317"/>
      <c r="I315" s="600"/>
      <c r="J315" s="600"/>
      <c r="K315" s="600"/>
      <c r="L315" s="600"/>
      <c r="M315" s="600"/>
      <c r="N315" s="600"/>
      <c r="O315" s="600">
        <f t="shared" si="48"/>
        <v>78588.260000000009</v>
      </c>
      <c r="P315" s="601">
        <f t="shared" si="42"/>
        <v>42.5</v>
      </c>
      <c r="Q315" s="600">
        <f t="shared" si="43"/>
        <v>3340001.0500000003</v>
      </c>
    </row>
    <row r="316" spans="1:17" s="598" customFormat="1" ht="15" outlineLevel="1">
      <c r="A316" s="597">
        <v>3801</v>
      </c>
      <c r="B316" s="598" t="s">
        <v>529</v>
      </c>
      <c r="C316" s="598">
        <v>1981</v>
      </c>
      <c r="D316" s="599">
        <v>43386.270000000004</v>
      </c>
      <c r="E316" s="601">
        <f>Input!$C$14-C316+0.5</f>
        <v>41.5</v>
      </c>
      <c r="F316" s="600">
        <f t="shared" si="47"/>
        <v>1800530.2050000001</v>
      </c>
      <c r="G316" s="600"/>
      <c r="H316" s="317"/>
      <c r="I316" s="600"/>
      <c r="J316" s="600"/>
      <c r="K316" s="600"/>
      <c r="L316" s="600"/>
      <c r="M316" s="600"/>
      <c r="N316" s="600"/>
      <c r="O316" s="600">
        <f t="shared" si="48"/>
        <v>43386.270000000004</v>
      </c>
      <c r="P316" s="601">
        <f t="shared" si="42"/>
        <v>41.5</v>
      </c>
      <c r="Q316" s="600">
        <f t="shared" si="43"/>
        <v>1800530.2050000001</v>
      </c>
    </row>
    <row r="317" spans="1:17" s="598" customFormat="1" ht="15" outlineLevel="1">
      <c r="A317" s="597">
        <v>3801</v>
      </c>
      <c r="B317" s="598" t="s">
        <v>529</v>
      </c>
      <c r="C317" s="598">
        <v>1982</v>
      </c>
      <c r="D317" s="599">
        <v>161371.10000000001</v>
      </c>
      <c r="E317" s="601">
        <f>Input!$C$14-C317+0.5</f>
        <v>40.5</v>
      </c>
      <c r="F317" s="600">
        <f t="shared" si="47"/>
        <v>6535529.5499999998</v>
      </c>
      <c r="G317" s="600"/>
      <c r="H317" s="317"/>
      <c r="I317" s="600"/>
      <c r="J317" s="600"/>
      <c r="K317" s="600"/>
      <c r="L317" s="600"/>
      <c r="M317" s="600"/>
      <c r="N317" s="600"/>
      <c r="O317" s="600">
        <f t="shared" si="48"/>
        <v>161371.10000000001</v>
      </c>
      <c r="P317" s="601">
        <f t="shared" si="42"/>
        <v>40.5</v>
      </c>
      <c r="Q317" s="600">
        <f t="shared" si="43"/>
        <v>6535529.5499999998</v>
      </c>
    </row>
    <row r="318" spans="1:17" s="598" customFormat="1" ht="15" outlineLevel="1">
      <c r="A318" s="597">
        <v>3801</v>
      </c>
      <c r="B318" s="598" t="s">
        <v>529</v>
      </c>
      <c r="C318" s="598">
        <v>1983</v>
      </c>
      <c r="D318" s="599">
        <v>194006.36000000002</v>
      </c>
      <c r="E318" s="601">
        <f>Input!$C$14-C318+0.5</f>
        <v>39.5</v>
      </c>
      <c r="F318" s="600">
        <f t="shared" si="47"/>
        <v>7663251.2200000007</v>
      </c>
      <c r="G318" s="600"/>
      <c r="H318" s="317"/>
      <c r="I318" s="600"/>
      <c r="J318" s="600"/>
      <c r="K318" s="600"/>
      <c r="L318" s="600"/>
      <c r="M318" s="600"/>
      <c r="N318" s="600"/>
      <c r="O318" s="600">
        <f t="shared" si="48"/>
        <v>194006.36000000002</v>
      </c>
      <c r="P318" s="601">
        <f t="shared" si="42"/>
        <v>39.5</v>
      </c>
      <c r="Q318" s="600">
        <f t="shared" si="43"/>
        <v>7663251.2200000007</v>
      </c>
    </row>
    <row r="319" spans="1:17" s="598" customFormat="1" ht="15" outlineLevel="1">
      <c r="A319" s="597">
        <v>3801</v>
      </c>
      <c r="B319" s="598" t="s">
        <v>529</v>
      </c>
      <c r="C319" s="598">
        <v>1984</v>
      </c>
      <c r="D319" s="599">
        <v>197280.01999999999</v>
      </c>
      <c r="E319" s="601">
        <f>Input!$C$14-C319+0.5</f>
        <v>38.5</v>
      </c>
      <c r="F319" s="600">
        <f t="shared" si="47"/>
        <v>7595280.7699999996</v>
      </c>
      <c r="G319" s="600"/>
      <c r="H319" s="317"/>
      <c r="I319" s="600"/>
      <c r="J319" s="600"/>
      <c r="K319" s="600"/>
      <c r="L319" s="600"/>
      <c r="M319" s="600"/>
      <c r="N319" s="600"/>
      <c r="O319" s="600">
        <f t="shared" si="48"/>
        <v>197280.01999999999</v>
      </c>
      <c r="P319" s="601">
        <f t="shared" si="42"/>
        <v>38.5</v>
      </c>
      <c r="Q319" s="600">
        <f t="shared" si="43"/>
        <v>7595280.7699999996</v>
      </c>
    </row>
    <row r="320" spans="1:17" s="598" customFormat="1" ht="15" outlineLevel="1">
      <c r="A320" s="597">
        <v>3801</v>
      </c>
      <c r="B320" s="598" t="s">
        <v>529</v>
      </c>
      <c r="C320" s="598">
        <v>1985</v>
      </c>
      <c r="D320" s="599">
        <v>157280.51999999999</v>
      </c>
      <c r="E320" s="601">
        <f>Input!$C$14-C320+0.5</f>
        <v>37.5</v>
      </c>
      <c r="F320" s="600">
        <f t="shared" si="47"/>
        <v>5898019.5</v>
      </c>
      <c r="G320" s="600"/>
      <c r="H320" s="317"/>
      <c r="I320" s="600"/>
      <c r="J320" s="600"/>
      <c r="K320" s="600"/>
      <c r="L320" s="600"/>
      <c r="M320" s="600"/>
      <c r="N320" s="600"/>
      <c r="O320" s="600">
        <f t="shared" si="48"/>
        <v>157280.51999999999</v>
      </c>
      <c r="P320" s="601">
        <f t="shared" si="42"/>
        <v>37.5</v>
      </c>
      <c r="Q320" s="600">
        <f t="shared" si="43"/>
        <v>5898019.5</v>
      </c>
    </row>
    <row r="321" spans="1:17" s="598" customFormat="1" ht="15" outlineLevel="1">
      <c r="A321" s="597">
        <v>3801</v>
      </c>
      <c r="B321" s="598" t="s">
        <v>529</v>
      </c>
      <c r="C321" s="598">
        <v>1986</v>
      </c>
      <c r="D321" s="599">
        <v>240011.07000000001</v>
      </c>
      <c r="E321" s="601">
        <f>Input!$C$14-C321+0.5</f>
        <v>36.5</v>
      </c>
      <c r="F321" s="600">
        <f t="shared" si="47"/>
        <v>8760404.0549999997</v>
      </c>
      <c r="G321" s="600"/>
      <c r="H321" s="317"/>
      <c r="I321" s="600"/>
      <c r="J321" s="600"/>
      <c r="K321" s="600"/>
      <c r="L321" s="600"/>
      <c r="M321" s="600"/>
      <c r="N321" s="600"/>
      <c r="O321" s="600">
        <f t="shared" si="48"/>
        <v>240011.07000000001</v>
      </c>
      <c r="P321" s="601">
        <f t="shared" si="42"/>
        <v>36.5</v>
      </c>
      <c r="Q321" s="600">
        <f t="shared" si="43"/>
        <v>8760404.0549999997</v>
      </c>
    </row>
    <row r="322" spans="1:17" s="598" customFormat="1" ht="15" outlineLevel="1">
      <c r="A322" s="597">
        <v>3801</v>
      </c>
      <c r="B322" s="598" t="s">
        <v>529</v>
      </c>
      <c r="C322" s="598">
        <v>1987</v>
      </c>
      <c r="D322" s="599">
        <v>375329.89000000007</v>
      </c>
      <c r="E322" s="601">
        <f>Input!$C$14-C322+0.5</f>
        <v>35.5</v>
      </c>
      <c r="F322" s="600">
        <f t="shared" si="47"/>
        <v>13324211.095000003</v>
      </c>
      <c r="G322" s="600"/>
      <c r="H322" s="317"/>
      <c r="I322" s="600"/>
      <c r="J322" s="600"/>
      <c r="K322" s="600"/>
      <c r="L322" s="600"/>
      <c r="M322" s="600"/>
      <c r="N322" s="600"/>
      <c r="O322" s="600">
        <f t="shared" si="48"/>
        <v>375329.89000000007</v>
      </c>
      <c r="P322" s="601">
        <f t="shared" si="42"/>
        <v>35.5</v>
      </c>
      <c r="Q322" s="600">
        <f t="shared" si="43"/>
        <v>13324211.095000003</v>
      </c>
    </row>
    <row r="323" spans="1:17" s="598" customFormat="1" ht="15" outlineLevel="1">
      <c r="A323" s="597">
        <v>3801</v>
      </c>
      <c r="B323" s="598" t="s">
        <v>529</v>
      </c>
      <c r="C323" s="598">
        <v>1988</v>
      </c>
      <c r="D323" s="599">
        <f>194407.38+2544.56</f>
        <v>196951.94</v>
      </c>
      <c r="E323" s="601">
        <f>Input!$C$14-C323+0.5</f>
        <v>34.5</v>
      </c>
      <c r="F323" s="600">
        <f t="shared" si="47"/>
        <v>6794841.9299999997</v>
      </c>
      <c r="G323" s="600"/>
      <c r="H323" s="317"/>
      <c r="I323" s="600"/>
      <c r="J323" s="600"/>
      <c r="K323" s="600"/>
      <c r="L323" s="600"/>
      <c r="M323" s="600"/>
      <c r="N323" s="600"/>
      <c r="O323" s="600">
        <f t="shared" si="48"/>
        <v>196951.94</v>
      </c>
      <c r="P323" s="601">
        <f t="shared" si="49" ref="P323:P384">E323</f>
        <v>34.5</v>
      </c>
      <c r="Q323" s="600">
        <f t="shared" si="50" ref="Q323:Q384">O323*P323</f>
        <v>6794841.9299999997</v>
      </c>
    </row>
    <row r="324" spans="1:17" s="598" customFormat="1" ht="15" outlineLevel="1">
      <c r="A324" s="597">
        <v>3801</v>
      </c>
      <c r="B324" s="598" t="s">
        <v>529</v>
      </c>
      <c r="C324" s="598">
        <v>1989</v>
      </c>
      <c r="D324" s="599">
        <f>468483.37+523.09</f>
        <v>469006.46000000002</v>
      </c>
      <c r="E324" s="601">
        <f>Input!$C$14-C324+0.5</f>
        <v>33.5</v>
      </c>
      <c r="F324" s="600">
        <f t="shared" si="47"/>
        <v>15711716.41</v>
      </c>
      <c r="G324" s="600"/>
      <c r="H324" s="317"/>
      <c r="I324" s="600"/>
      <c r="J324" s="600"/>
      <c r="K324" s="600"/>
      <c r="L324" s="600"/>
      <c r="M324" s="600"/>
      <c r="N324" s="600"/>
      <c r="O324" s="600">
        <f t="shared" si="48"/>
        <v>469006.46000000002</v>
      </c>
      <c r="P324" s="601">
        <f t="shared" si="49"/>
        <v>33.5</v>
      </c>
      <c r="Q324" s="600">
        <f t="shared" si="50"/>
        <v>15711716.41</v>
      </c>
    </row>
    <row r="325" spans="1:17" s="598" customFormat="1" ht="15" outlineLevel="1">
      <c r="A325" s="597">
        <v>3801</v>
      </c>
      <c r="B325" s="598" t="s">
        <v>529</v>
      </c>
      <c r="C325" s="598">
        <v>1990</v>
      </c>
      <c r="D325" s="599">
        <f>210624.41+895.47</f>
        <v>211519.88</v>
      </c>
      <c r="E325" s="601">
        <f>Input!$C$14-C325+0.5</f>
        <v>32.5</v>
      </c>
      <c r="F325" s="600">
        <f t="shared" si="47"/>
        <v>6874396.1000000006</v>
      </c>
      <c r="G325" s="600"/>
      <c r="H325" s="317"/>
      <c r="I325" s="600"/>
      <c r="J325" s="600"/>
      <c r="K325" s="600"/>
      <c r="L325" s="600"/>
      <c r="M325" s="600"/>
      <c r="N325" s="600"/>
      <c r="O325" s="600">
        <f t="shared" si="48"/>
        <v>211519.88</v>
      </c>
      <c r="P325" s="601">
        <f t="shared" si="49"/>
        <v>32.5</v>
      </c>
      <c r="Q325" s="600">
        <f t="shared" si="50"/>
        <v>6874396.1000000006</v>
      </c>
    </row>
    <row r="326" spans="1:17" s="598" customFormat="1" ht="15" outlineLevel="1">
      <c r="A326" s="597">
        <v>3801</v>
      </c>
      <c r="B326" s="598" t="s">
        <v>529</v>
      </c>
      <c r="C326" s="598">
        <v>1991</v>
      </c>
      <c r="D326" s="599">
        <f>368836.12+426.65</f>
        <v>369262.77000000002</v>
      </c>
      <c r="E326" s="601">
        <f>Input!$C$14-C326+0.5</f>
        <v>31.5</v>
      </c>
      <c r="F326" s="600">
        <f t="shared" si="47"/>
        <v>11631777.255000001</v>
      </c>
      <c r="G326" s="600"/>
      <c r="H326" s="317"/>
      <c r="I326" s="600"/>
      <c r="J326" s="600"/>
      <c r="K326" s="600"/>
      <c r="L326" s="600"/>
      <c r="M326" s="600"/>
      <c r="N326" s="600"/>
      <c r="O326" s="600">
        <f t="shared" si="48"/>
        <v>369262.77000000002</v>
      </c>
      <c r="P326" s="601">
        <f t="shared" si="49"/>
        <v>31.5</v>
      </c>
      <c r="Q326" s="600">
        <f t="shared" si="50"/>
        <v>11631777.255000001</v>
      </c>
    </row>
    <row r="327" spans="1:17" s="598" customFormat="1" ht="15" outlineLevel="1">
      <c r="A327" s="597">
        <v>3801</v>
      </c>
      <c r="B327" s="598" t="s">
        <v>529</v>
      </c>
      <c r="C327" s="598">
        <v>1992</v>
      </c>
      <c r="D327" s="599">
        <v>380561.08000000002</v>
      </c>
      <c r="E327" s="601">
        <f>Input!$C$14-C327+0.5</f>
        <v>30.5</v>
      </c>
      <c r="F327" s="600">
        <f t="shared" si="47"/>
        <v>11607112.940000001</v>
      </c>
      <c r="G327" s="600"/>
      <c r="H327" s="317"/>
      <c r="I327" s="600"/>
      <c r="J327" s="600"/>
      <c r="K327" s="600"/>
      <c r="L327" s="600"/>
      <c r="M327" s="600"/>
      <c r="N327" s="600"/>
      <c r="O327" s="600">
        <f t="shared" si="48"/>
        <v>380561.08000000002</v>
      </c>
      <c r="P327" s="601">
        <f t="shared" si="49"/>
        <v>30.5</v>
      </c>
      <c r="Q327" s="600">
        <f t="shared" si="50"/>
        <v>11607112.940000001</v>
      </c>
    </row>
    <row r="328" spans="1:17" s="598" customFormat="1" ht="15" outlineLevel="1">
      <c r="A328" s="597">
        <v>3801</v>
      </c>
      <c r="B328" s="598" t="s">
        <v>529</v>
      </c>
      <c r="C328" s="598">
        <v>1993</v>
      </c>
      <c r="D328" s="599">
        <f>422911.34+307</f>
        <v>423218.34000000003</v>
      </c>
      <c r="E328" s="601">
        <f>Input!$C$14-C328+0.5</f>
        <v>29.5</v>
      </c>
      <c r="F328" s="600">
        <f t="shared" si="47"/>
        <v>12484941.030000001</v>
      </c>
      <c r="G328" s="600"/>
      <c r="H328" s="317"/>
      <c r="I328" s="600"/>
      <c r="J328" s="600"/>
      <c r="K328" s="600"/>
      <c r="L328" s="600">
        <v>-307</v>
      </c>
      <c r="M328" s="600"/>
      <c r="N328" s="600"/>
      <c r="O328" s="600">
        <f t="shared" si="48"/>
        <v>422911.34000000003</v>
      </c>
      <c r="P328" s="601">
        <f t="shared" si="49"/>
        <v>29.5</v>
      </c>
      <c r="Q328" s="600">
        <f t="shared" si="50"/>
        <v>12475884.530000001</v>
      </c>
    </row>
    <row r="329" spans="1:17" s="598" customFormat="1" ht="15" outlineLevel="1">
      <c r="A329" s="597">
        <v>3801</v>
      </c>
      <c r="B329" s="598" t="s">
        <v>529</v>
      </c>
      <c r="C329" s="598">
        <v>1994</v>
      </c>
      <c r="D329" s="599">
        <f>725236.49+752+2634.5</f>
        <v>728622.98999999999</v>
      </c>
      <c r="E329" s="601">
        <f>Input!$C$14-C329+0.5</f>
        <v>28.5</v>
      </c>
      <c r="F329" s="600">
        <f t="shared" si="47"/>
        <v>20765755.215</v>
      </c>
      <c r="G329" s="600"/>
      <c r="H329" s="317"/>
      <c r="I329" s="600"/>
      <c r="J329" s="600"/>
      <c r="K329" s="600"/>
      <c r="L329" s="600">
        <f>-752+113.4</f>
        <v>-638.60000000000002</v>
      </c>
      <c r="M329" s="600"/>
      <c r="N329" s="600"/>
      <c r="O329" s="600">
        <f t="shared" si="48"/>
        <v>727984.39000000001</v>
      </c>
      <c r="P329" s="601">
        <f t="shared" si="49"/>
        <v>28.5</v>
      </c>
      <c r="Q329" s="600">
        <f t="shared" si="50"/>
        <v>20747555.115000002</v>
      </c>
    </row>
    <row r="330" spans="1:17" s="598" customFormat="1" ht="15" outlineLevel="1">
      <c r="A330" s="597">
        <v>3801</v>
      </c>
      <c r="B330" s="598" t="s">
        <v>529</v>
      </c>
      <c r="C330" s="598">
        <v>1995</v>
      </c>
      <c r="D330" s="599">
        <f>692948.87+259+1898.93</f>
        <v>695106.80000000005</v>
      </c>
      <c r="E330" s="601">
        <f>Input!$C$14-C330+0.5</f>
        <v>27.5</v>
      </c>
      <c r="F330" s="600">
        <f t="shared" si="47"/>
        <v>19115437</v>
      </c>
      <c r="G330" s="600"/>
      <c r="H330" s="317"/>
      <c r="I330" s="600"/>
      <c r="J330" s="600"/>
      <c r="K330" s="600"/>
      <c r="L330" s="600"/>
      <c r="M330" s="600"/>
      <c r="N330" s="600"/>
      <c r="O330" s="600">
        <f t="shared" si="48"/>
        <v>695106.80000000005</v>
      </c>
      <c r="P330" s="601">
        <f t="shared" si="49"/>
        <v>27.5</v>
      </c>
      <c r="Q330" s="600">
        <f t="shared" si="50"/>
        <v>19115437</v>
      </c>
    </row>
    <row r="331" spans="1:17" s="598" customFormat="1" ht="15" outlineLevel="1">
      <c r="A331" s="597">
        <v>3801</v>
      </c>
      <c r="B331" s="598" t="s">
        <v>529</v>
      </c>
      <c r="C331" s="598">
        <v>1996</v>
      </c>
      <c r="D331" s="599">
        <f>902602.97+6113</f>
        <v>908715.96999999997</v>
      </c>
      <c r="E331" s="601">
        <f>Input!$C$14-C331+0.5</f>
        <v>26.5</v>
      </c>
      <c r="F331" s="600">
        <f t="shared" si="47"/>
        <v>24080973.204999998</v>
      </c>
      <c r="G331" s="600"/>
      <c r="H331" s="317"/>
      <c r="I331" s="600"/>
      <c r="J331" s="600"/>
      <c r="K331" s="600"/>
      <c r="L331" s="600"/>
      <c r="M331" s="600"/>
      <c r="N331" s="600"/>
      <c r="O331" s="600">
        <f t="shared" si="48"/>
        <v>908715.96999999997</v>
      </c>
      <c r="P331" s="601">
        <f t="shared" si="49"/>
        <v>26.5</v>
      </c>
      <c r="Q331" s="600">
        <f t="shared" si="50"/>
        <v>24080973.204999998</v>
      </c>
    </row>
    <row r="332" spans="1:17" s="598" customFormat="1" ht="15" outlineLevel="1">
      <c r="A332" s="597">
        <v>3801</v>
      </c>
      <c r="B332" s="598" t="s">
        <v>529</v>
      </c>
      <c r="C332" s="598">
        <v>1997</v>
      </c>
      <c r="D332" s="599">
        <f>847463.02+3283</f>
        <v>850746.02000000002</v>
      </c>
      <c r="E332" s="601">
        <f>Input!$C$14-C332+0.5</f>
        <v>25.5</v>
      </c>
      <c r="F332" s="600">
        <f t="shared" si="47"/>
        <v>21694023.510000002</v>
      </c>
      <c r="G332" s="600"/>
      <c r="H332" s="317"/>
      <c r="I332" s="600"/>
      <c r="J332" s="600"/>
      <c r="K332" s="600"/>
      <c r="L332" s="600"/>
      <c r="M332" s="600"/>
      <c r="N332" s="600"/>
      <c r="O332" s="600">
        <f t="shared" si="48"/>
        <v>850746.02000000002</v>
      </c>
      <c r="P332" s="601">
        <f t="shared" si="49"/>
        <v>25.5</v>
      </c>
      <c r="Q332" s="600">
        <f t="shared" si="50"/>
        <v>21694023.510000002</v>
      </c>
    </row>
    <row r="333" spans="1:17" s="598" customFormat="1" ht="15" outlineLevel="1">
      <c r="A333" s="597">
        <v>3801</v>
      </c>
      <c r="B333" s="598" t="s">
        <v>529</v>
      </c>
      <c r="C333" s="598">
        <v>1998</v>
      </c>
      <c r="D333" s="599">
        <f>973564.76+2604</f>
        <v>976168.76000000001</v>
      </c>
      <c r="E333" s="601">
        <f>Input!$C$14-C333+0.5</f>
        <v>24.5</v>
      </c>
      <c r="F333" s="600">
        <f t="shared" si="47"/>
        <v>23916134.620000001</v>
      </c>
      <c r="G333" s="600"/>
      <c r="H333" s="317"/>
      <c r="I333" s="600"/>
      <c r="J333" s="600"/>
      <c r="K333" s="600"/>
      <c r="L333" s="600"/>
      <c r="M333" s="600"/>
      <c r="N333" s="600"/>
      <c r="O333" s="600">
        <f t="shared" si="48"/>
        <v>976168.76000000001</v>
      </c>
      <c r="P333" s="601">
        <f t="shared" si="49"/>
        <v>24.5</v>
      </c>
      <c r="Q333" s="600">
        <f t="shared" si="50"/>
        <v>23916134.620000001</v>
      </c>
    </row>
    <row r="334" spans="1:17" s="598" customFormat="1" ht="15" outlineLevel="1">
      <c r="A334" s="597">
        <v>3801</v>
      </c>
      <c r="B334" s="598" t="s">
        <v>529</v>
      </c>
      <c r="C334" s="598">
        <v>1999</v>
      </c>
      <c r="D334" s="599">
        <f>1092332.02+185.15</f>
        <v>1092517.1699999999</v>
      </c>
      <c r="E334" s="601">
        <f>Input!$C$14-C334+0.5</f>
        <v>23.5</v>
      </c>
      <c r="F334" s="600">
        <f t="shared" si="47"/>
        <v>25674153.494999997</v>
      </c>
      <c r="G334" s="600"/>
      <c r="H334" s="317"/>
      <c r="I334" s="600"/>
      <c r="J334" s="600"/>
      <c r="K334" s="600"/>
      <c r="L334" s="600"/>
      <c r="M334" s="600"/>
      <c r="N334" s="600"/>
      <c r="O334" s="600">
        <f t="shared" si="48"/>
        <v>1092517.1699999999</v>
      </c>
      <c r="P334" s="601">
        <f t="shared" si="49"/>
        <v>23.5</v>
      </c>
      <c r="Q334" s="600">
        <f t="shared" si="50"/>
        <v>25674153.494999997</v>
      </c>
    </row>
    <row r="335" spans="1:17" s="598" customFormat="1" ht="15" outlineLevel="1">
      <c r="A335" s="597">
        <v>3801</v>
      </c>
      <c r="B335" s="598" t="s">
        <v>529</v>
      </c>
      <c r="C335" s="598">
        <v>2000</v>
      </c>
      <c r="D335" s="599">
        <f>1408380.15+231</f>
        <v>1408611.1499999999</v>
      </c>
      <c r="E335" s="601">
        <f>Input!$C$14-C335+0.5</f>
        <v>22.5</v>
      </c>
      <c r="F335" s="600">
        <f t="shared" si="47"/>
        <v>31693750.874999996</v>
      </c>
      <c r="G335" s="600"/>
      <c r="H335" s="317"/>
      <c r="I335" s="600"/>
      <c r="J335" s="600"/>
      <c r="K335" s="600"/>
      <c r="L335" s="600"/>
      <c r="M335" s="600"/>
      <c r="N335" s="600"/>
      <c r="O335" s="600">
        <f t="shared" si="48"/>
        <v>1408611.1499999999</v>
      </c>
      <c r="P335" s="601">
        <f t="shared" si="49"/>
        <v>22.5</v>
      </c>
      <c r="Q335" s="600">
        <f t="shared" si="50"/>
        <v>31693750.874999996</v>
      </c>
    </row>
    <row r="336" spans="1:17" s="598" customFormat="1" ht="15" outlineLevel="1">
      <c r="A336" s="597">
        <v>3801</v>
      </c>
      <c r="B336" s="598" t="s">
        <v>529</v>
      </c>
      <c r="C336" s="598">
        <v>2001</v>
      </c>
      <c r="D336" s="599">
        <f>1403526.57+2855+294.45</f>
        <v>1406676.02</v>
      </c>
      <c r="E336" s="601">
        <f>Input!$C$14-C336+0.5</f>
        <v>21.5</v>
      </c>
      <c r="F336" s="600">
        <f t="shared" si="47"/>
        <v>30243534.43</v>
      </c>
      <c r="G336" s="600"/>
      <c r="H336" s="317"/>
      <c r="I336" s="600"/>
      <c r="J336" s="600"/>
      <c r="K336" s="600"/>
      <c r="L336" s="600"/>
      <c r="M336" s="600"/>
      <c r="N336" s="600"/>
      <c r="O336" s="600">
        <f t="shared" si="48"/>
        <v>1406676.02</v>
      </c>
      <c r="P336" s="601">
        <f t="shared" si="49"/>
        <v>21.5</v>
      </c>
      <c r="Q336" s="600">
        <f t="shared" si="50"/>
        <v>30243534.43</v>
      </c>
    </row>
    <row r="337" spans="1:17" s="598" customFormat="1" ht="15" outlineLevel="1">
      <c r="A337" s="597">
        <v>3801</v>
      </c>
      <c r="B337" s="598" t="s">
        <v>529</v>
      </c>
      <c r="C337" s="598">
        <v>2002</v>
      </c>
      <c r="D337" s="599">
        <f>1814891.61+13855+348.32</f>
        <v>1829094.9300000002</v>
      </c>
      <c r="E337" s="601">
        <f>Input!$C$14-C337+0.5</f>
        <v>20.5</v>
      </c>
      <c r="F337" s="600">
        <f t="shared" si="47"/>
        <v>37496446.065000005</v>
      </c>
      <c r="G337" s="600"/>
      <c r="H337" s="317"/>
      <c r="I337" s="600"/>
      <c r="J337" s="600"/>
      <c r="K337" s="600"/>
      <c r="L337" s="600"/>
      <c r="M337" s="600"/>
      <c r="N337" s="600"/>
      <c r="O337" s="600">
        <f t="shared" si="48"/>
        <v>1829094.9300000002</v>
      </c>
      <c r="P337" s="601">
        <f t="shared" si="49"/>
        <v>20.5</v>
      </c>
      <c r="Q337" s="600">
        <f t="shared" si="50"/>
        <v>37496446.065000005</v>
      </c>
    </row>
    <row r="338" spans="1:17" s="598" customFormat="1" ht="15" outlineLevel="1">
      <c r="A338" s="597">
        <v>3801</v>
      </c>
      <c r="B338" s="598" t="s">
        <v>529</v>
      </c>
      <c r="C338" s="598">
        <v>2003</v>
      </c>
      <c r="D338" s="599">
        <f>2568394.19+23579+773.54</f>
        <v>2592746.73</v>
      </c>
      <c r="E338" s="601">
        <f>Input!$C$14-C338+0.5</f>
        <v>19.5</v>
      </c>
      <c r="F338" s="600">
        <f t="shared" si="47"/>
        <v>50558561.234999999</v>
      </c>
      <c r="G338" s="600"/>
      <c r="H338" s="317"/>
      <c r="I338" s="600"/>
      <c r="J338" s="600"/>
      <c r="K338" s="600"/>
      <c r="L338" s="600"/>
      <c r="M338" s="600"/>
      <c r="N338" s="600"/>
      <c r="O338" s="600">
        <f t="shared" si="48"/>
        <v>2592746.73</v>
      </c>
      <c r="P338" s="601">
        <f t="shared" si="49"/>
        <v>19.5</v>
      </c>
      <c r="Q338" s="600">
        <f t="shared" si="50"/>
        <v>50558561.234999999</v>
      </c>
    </row>
    <row r="339" spans="1:17" s="598" customFormat="1" ht="15" outlineLevel="1">
      <c r="A339" s="597">
        <v>3801</v>
      </c>
      <c r="B339" s="598" t="s">
        <v>529</v>
      </c>
      <c r="C339" s="598">
        <v>2004</v>
      </c>
      <c r="D339" s="599">
        <f>1864334.38+5648+169.23</f>
        <v>1870151.6099999999</v>
      </c>
      <c r="E339" s="601">
        <f>Input!$C$14-C339+0.5</f>
        <v>18.5</v>
      </c>
      <c r="F339" s="600">
        <f t="shared" si="47"/>
        <v>34597804.784999996</v>
      </c>
      <c r="G339" s="600"/>
      <c r="H339" s="317"/>
      <c r="I339" s="600"/>
      <c r="J339" s="600"/>
      <c r="K339" s="600"/>
      <c r="L339" s="600"/>
      <c r="M339" s="600"/>
      <c r="N339" s="600"/>
      <c r="O339" s="600">
        <f t="shared" si="48"/>
        <v>1870151.6099999999</v>
      </c>
      <c r="P339" s="601">
        <f t="shared" si="49"/>
        <v>18.5</v>
      </c>
      <c r="Q339" s="600">
        <f t="shared" si="50"/>
        <v>34597804.784999996</v>
      </c>
    </row>
    <row r="340" spans="1:17" s="598" customFormat="1" ht="15" outlineLevel="1">
      <c r="A340" s="597">
        <v>3801</v>
      </c>
      <c r="B340" s="598" t="s">
        <v>529</v>
      </c>
      <c r="C340" s="598">
        <v>2005</v>
      </c>
      <c r="D340" s="599">
        <f>2291173.14+10059+569.34</f>
        <v>2301801.48</v>
      </c>
      <c r="E340" s="601">
        <f>Input!$C$14-C340+0.5</f>
        <v>17.5</v>
      </c>
      <c r="F340" s="600">
        <f t="shared" si="47"/>
        <v>40281525.899999999</v>
      </c>
      <c r="G340" s="600"/>
      <c r="H340" s="317"/>
      <c r="I340" s="600"/>
      <c r="J340" s="600"/>
      <c r="K340" s="600"/>
      <c r="L340" s="600"/>
      <c r="M340" s="600"/>
      <c r="N340" s="600"/>
      <c r="O340" s="600">
        <f t="shared" si="48"/>
        <v>2301801.48</v>
      </c>
      <c r="P340" s="601">
        <f t="shared" si="49"/>
        <v>17.5</v>
      </c>
      <c r="Q340" s="600">
        <f t="shared" si="50"/>
        <v>40281525.899999999</v>
      </c>
    </row>
    <row r="341" spans="1:17" s="598" customFormat="1" ht="15" outlineLevel="1">
      <c r="A341" s="597">
        <v>3801</v>
      </c>
      <c r="B341" s="598" t="s">
        <v>529</v>
      </c>
      <c r="C341" s="598">
        <v>2006</v>
      </c>
      <c r="D341" s="599">
        <f>2661552.86+10270+189.33</f>
        <v>2672012.1899999999</v>
      </c>
      <c r="E341" s="601">
        <f>Input!$C$14-C341+0.5</f>
        <v>16.5</v>
      </c>
      <c r="F341" s="600">
        <f t="shared" si="47"/>
        <v>44088201.134999998</v>
      </c>
      <c r="G341" s="600"/>
      <c r="H341" s="317"/>
      <c r="I341" s="600"/>
      <c r="J341" s="600"/>
      <c r="K341" s="600"/>
      <c r="L341" s="600"/>
      <c r="M341" s="600"/>
      <c r="N341" s="600"/>
      <c r="O341" s="600">
        <f t="shared" si="48"/>
        <v>2672012.1899999999</v>
      </c>
      <c r="P341" s="601">
        <f t="shared" si="49"/>
        <v>16.5</v>
      </c>
      <c r="Q341" s="600">
        <f t="shared" si="50"/>
        <v>44088201.134999998</v>
      </c>
    </row>
    <row r="342" spans="1:17" s="598" customFormat="1" ht="15" outlineLevel="1">
      <c r="A342" s="597">
        <v>3801</v>
      </c>
      <c r="B342" s="598" t="s">
        <v>529</v>
      </c>
      <c r="C342" s="598">
        <v>2007</v>
      </c>
      <c r="D342" s="599">
        <f>1855953.89+7879+77.51</f>
        <v>1863910.3999999999</v>
      </c>
      <c r="E342" s="601">
        <f>Input!$C$14-C342+0.5</f>
        <v>15.5</v>
      </c>
      <c r="F342" s="600">
        <f t="shared" si="47"/>
        <v>28890611.199999999</v>
      </c>
      <c r="G342" s="600"/>
      <c r="H342" s="317"/>
      <c r="I342" s="600"/>
      <c r="J342" s="600"/>
      <c r="K342" s="600"/>
      <c r="L342" s="600"/>
      <c r="M342" s="600"/>
      <c r="N342" s="600"/>
      <c r="O342" s="600">
        <f t="shared" si="48"/>
        <v>1863910.3999999999</v>
      </c>
      <c r="P342" s="601">
        <f t="shared" si="49"/>
        <v>15.5</v>
      </c>
      <c r="Q342" s="600">
        <f t="shared" si="50"/>
        <v>28890611.199999999</v>
      </c>
    </row>
    <row r="343" spans="1:17" s="598" customFormat="1" ht="15" outlineLevel="1">
      <c r="A343" s="597">
        <v>3801</v>
      </c>
      <c r="B343" s="598" t="s">
        <v>529</v>
      </c>
      <c r="C343" s="598">
        <v>2008</v>
      </c>
      <c r="D343" s="599">
        <f>1872384.75+10444+701.09</f>
        <v>1883529.8400000001</v>
      </c>
      <c r="E343" s="601">
        <f>Input!$C$14-C343+0.5</f>
        <v>14.5</v>
      </c>
      <c r="F343" s="600">
        <f t="shared" si="47"/>
        <v>27311182.68</v>
      </c>
      <c r="G343" s="600"/>
      <c r="H343" s="317"/>
      <c r="I343" s="600"/>
      <c r="J343" s="600"/>
      <c r="K343" s="600"/>
      <c r="L343" s="600"/>
      <c r="M343" s="600"/>
      <c r="N343" s="600"/>
      <c r="O343" s="600">
        <f t="shared" si="48"/>
        <v>1883529.8400000001</v>
      </c>
      <c r="P343" s="601">
        <f t="shared" si="49"/>
        <v>14.5</v>
      </c>
      <c r="Q343" s="600">
        <f t="shared" si="50"/>
        <v>27311182.68</v>
      </c>
    </row>
    <row r="344" spans="1:17" s="598" customFormat="1" ht="15" outlineLevel="1">
      <c r="A344" s="597">
        <v>3801</v>
      </c>
      <c r="B344" s="598" t="s">
        <v>529</v>
      </c>
      <c r="C344" s="598">
        <v>2009</v>
      </c>
      <c r="D344" s="599">
        <f>1271387.5+1405</f>
        <v>1272792.5</v>
      </c>
      <c r="E344" s="601">
        <f>Input!$C$14-C344+0.5</f>
        <v>13.5</v>
      </c>
      <c r="F344" s="600">
        <f t="shared" si="47"/>
        <v>17182698.75</v>
      </c>
      <c r="G344" s="600"/>
      <c r="H344" s="317"/>
      <c r="I344" s="600"/>
      <c r="J344" s="600"/>
      <c r="K344" s="600"/>
      <c r="L344" s="600"/>
      <c r="M344" s="600"/>
      <c r="N344" s="600"/>
      <c r="O344" s="600">
        <f t="shared" si="48"/>
        <v>1272792.5</v>
      </c>
      <c r="P344" s="601">
        <f t="shared" si="49"/>
        <v>13.5</v>
      </c>
      <c r="Q344" s="600">
        <f t="shared" si="50"/>
        <v>17182698.75</v>
      </c>
    </row>
    <row r="345" spans="1:17" s="598" customFormat="1" ht="15" outlineLevel="1">
      <c r="A345" s="597">
        <v>3801</v>
      </c>
      <c r="B345" s="598" t="s">
        <v>529</v>
      </c>
      <c r="C345" s="598">
        <v>2010</v>
      </c>
      <c r="D345" s="599">
        <f>1154638.89-103377.33+996.2</f>
        <v>1052257.7599999998</v>
      </c>
      <c r="E345" s="601">
        <f>Input!$C$14-C345+0.5</f>
        <v>12.5</v>
      </c>
      <c r="F345" s="600">
        <f t="shared" si="47"/>
        <v>13153221.999999996</v>
      </c>
      <c r="G345" s="600"/>
      <c r="H345" s="317"/>
      <c r="I345" s="600"/>
      <c r="J345" s="600"/>
      <c r="K345" s="600"/>
      <c r="L345" s="600"/>
      <c r="M345" s="600"/>
      <c r="N345" s="600"/>
      <c r="O345" s="600">
        <f t="shared" si="48"/>
        <v>1052257.7599999998</v>
      </c>
      <c r="P345" s="601">
        <f t="shared" si="49"/>
        <v>12.5</v>
      </c>
      <c r="Q345" s="600">
        <f t="shared" si="50"/>
        <v>13153221.999999996</v>
      </c>
    </row>
    <row r="346" spans="1:17" s="598" customFormat="1" ht="15" outlineLevel="1">
      <c r="A346" s="597">
        <v>3801</v>
      </c>
      <c r="B346" s="598" t="s">
        <v>529</v>
      </c>
      <c r="C346" s="598">
        <v>2011</v>
      </c>
      <c r="D346" s="599">
        <v>1974665.8800000006</v>
      </c>
      <c r="E346" s="601">
        <f>Input!$C$14-C346+0.5</f>
        <v>11.5</v>
      </c>
      <c r="F346" s="600">
        <f t="shared" si="47"/>
        <v>22708657.620000008</v>
      </c>
      <c r="G346" s="600"/>
      <c r="H346" s="317"/>
      <c r="I346" s="600"/>
      <c r="J346" s="600"/>
      <c r="K346" s="600"/>
      <c r="L346" s="600"/>
      <c r="M346" s="600"/>
      <c r="N346" s="600"/>
      <c r="O346" s="600">
        <f t="shared" si="48"/>
        <v>1974665.8800000006</v>
      </c>
      <c r="P346" s="601">
        <f t="shared" si="49"/>
        <v>11.5</v>
      </c>
      <c r="Q346" s="600">
        <f t="shared" si="50"/>
        <v>22708657.620000008</v>
      </c>
    </row>
    <row r="347" spans="1:17" s="598" customFormat="1" ht="15" outlineLevel="1">
      <c r="A347" s="597">
        <v>3801</v>
      </c>
      <c r="B347" s="598" t="s">
        <v>529</v>
      </c>
      <c r="C347" s="598">
        <v>2012</v>
      </c>
      <c r="D347" s="599">
        <v>2276727.459999999</v>
      </c>
      <c r="E347" s="601">
        <f>Input!$C$14-C347+0.5</f>
        <v>10.5</v>
      </c>
      <c r="F347" s="600">
        <f t="shared" si="47"/>
        <v>23905638.329999991</v>
      </c>
      <c r="G347" s="600"/>
      <c r="H347" s="317"/>
      <c r="I347" s="600"/>
      <c r="J347" s="600"/>
      <c r="K347" s="600"/>
      <c r="L347" s="600"/>
      <c r="M347" s="600"/>
      <c r="N347" s="600"/>
      <c r="O347" s="600">
        <f t="shared" si="48"/>
        <v>2276727.459999999</v>
      </c>
      <c r="P347" s="601">
        <f t="shared" si="49"/>
        <v>10.5</v>
      </c>
      <c r="Q347" s="600">
        <f t="shared" si="50"/>
        <v>23905638.329999991</v>
      </c>
    </row>
    <row r="348" spans="1:17" s="598" customFormat="1" ht="15" outlineLevel="1">
      <c r="A348" s="597">
        <v>3801</v>
      </c>
      <c r="B348" s="598" t="s">
        <v>529</v>
      </c>
      <c r="C348" s="598">
        <v>2013</v>
      </c>
      <c r="D348" s="599">
        <f>2217122.27-34584.78</f>
        <v>2182537.4900000002</v>
      </c>
      <c r="E348" s="601">
        <f>Input!$C$14-C348+0.5</f>
        <v>9.5</v>
      </c>
      <c r="F348" s="600">
        <f t="shared" si="47"/>
        <v>20734106.155000001</v>
      </c>
      <c r="G348" s="600"/>
      <c r="H348" s="317"/>
      <c r="I348" s="600"/>
      <c r="J348" s="600"/>
      <c r="K348" s="600"/>
      <c r="L348" s="600"/>
      <c r="M348" s="600"/>
      <c r="N348" s="600"/>
      <c r="O348" s="600">
        <f t="shared" si="48"/>
        <v>2182537.4900000002</v>
      </c>
      <c r="P348" s="601">
        <f t="shared" si="49"/>
        <v>9.5</v>
      </c>
      <c r="Q348" s="600">
        <f t="shared" si="50"/>
        <v>20734106.155000001</v>
      </c>
    </row>
    <row r="349" spans="1:17" s="598" customFormat="1" ht="15" outlineLevel="1">
      <c r="A349" s="597">
        <v>3801</v>
      </c>
      <c r="B349" s="598" t="s">
        <v>529</v>
      </c>
      <c r="C349" s="598">
        <v>2014</v>
      </c>
      <c r="D349" s="599">
        <v>2507338.7400000002</v>
      </c>
      <c r="E349" s="601">
        <f>Input!$C$14-C349+0.5</f>
        <v>8.5</v>
      </c>
      <c r="F349" s="600">
        <f t="shared" si="47"/>
        <v>21312379.290000003</v>
      </c>
      <c r="G349" s="600"/>
      <c r="H349" s="317"/>
      <c r="I349" s="600"/>
      <c r="J349" s="600"/>
      <c r="K349" s="600"/>
      <c r="L349" s="600"/>
      <c r="M349" s="600"/>
      <c r="N349" s="600"/>
      <c r="O349" s="600">
        <f t="shared" si="48"/>
        <v>2507338.7400000002</v>
      </c>
      <c r="P349" s="601">
        <f t="shared" si="49"/>
        <v>8.5</v>
      </c>
      <c r="Q349" s="600">
        <f t="shared" si="50"/>
        <v>21312379.290000003</v>
      </c>
    </row>
    <row r="350" spans="1:17" s="598" customFormat="1" ht="15" outlineLevel="1">
      <c r="A350" s="597">
        <v>3801</v>
      </c>
      <c r="B350" s="598" t="s">
        <v>529</v>
      </c>
      <c r="C350" s="598">
        <v>2015</v>
      </c>
      <c r="D350" s="599">
        <v>2849179.7600000007</v>
      </c>
      <c r="E350" s="601">
        <f>Input!$C$14-C350+0.5</f>
        <v>7.5</v>
      </c>
      <c r="F350" s="600">
        <f t="shared" si="47"/>
        <v>21368848.200000007</v>
      </c>
      <c r="G350" s="600"/>
      <c r="H350" s="317"/>
      <c r="I350" s="600"/>
      <c r="J350" s="600"/>
      <c r="K350" s="600"/>
      <c r="L350" s="600"/>
      <c r="M350" s="600"/>
      <c r="N350" s="600"/>
      <c r="O350" s="600">
        <f t="shared" si="48"/>
        <v>2849179.7600000007</v>
      </c>
      <c r="P350" s="601">
        <f t="shared" si="49"/>
        <v>7.5</v>
      </c>
      <c r="Q350" s="600">
        <f t="shared" si="50"/>
        <v>21368848.200000007</v>
      </c>
    </row>
    <row r="351" spans="1:17" s="598" customFormat="1" ht="15" outlineLevel="1">
      <c r="A351" s="597">
        <v>3801</v>
      </c>
      <c r="B351" s="598" t="s">
        <v>529</v>
      </c>
      <c r="C351" s="598">
        <v>2016</v>
      </c>
      <c r="D351" s="599">
        <v>2409677.2300000004</v>
      </c>
      <c r="E351" s="601">
        <f>Input!$C$14-C351+0.5</f>
        <v>6.5</v>
      </c>
      <c r="F351" s="600">
        <f t="shared" si="47"/>
        <v>15662901.995000003</v>
      </c>
      <c r="G351" s="600"/>
      <c r="H351" s="317"/>
      <c r="I351" s="600"/>
      <c r="J351" s="600"/>
      <c r="K351" s="600"/>
      <c r="L351" s="600"/>
      <c r="M351" s="600"/>
      <c r="N351" s="600"/>
      <c r="O351" s="600">
        <f t="shared" si="48"/>
        <v>2409677.2300000004</v>
      </c>
      <c r="P351" s="601">
        <f t="shared" si="49"/>
        <v>6.5</v>
      </c>
      <c r="Q351" s="600">
        <f t="shared" si="50"/>
        <v>15662901.995000003</v>
      </c>
    </row>
    <row r="352" spans="1:17" s="598" customFormat="1" ht="15" outlineLevel="1">
      <c r="A352" s="597">
        <v>3801</v>
      </c>
      <c r="B352" s="598" t="s">
        <v>529</v>
      </c>
      <c r="C352" s="598">
        <v>2017</v>
      </c>
      <c r="D352" s="599">
        <v>2908256.7300000009</v>
      </c>
      <c r="E352" s="601">
        <f>Input!$C$14-C352+0.5</f>
        <v>5.5</v>
      </c>
      <c r="F352" s="600">
        <f t="shared" si="47"/>
        <v>15995412.015000004</v>
      </c>
      <c r="G352" s="600"/>
      <c r="H352" s="317"/>
      <c r="I352" s="600"/>
      <c r="J352" s="600"/>
      <c r="K352" s="600"/>
      <c r="L352" s="600"/>
      <c r="M352" s="600"/>
      <c r="N352" s="600"/>
      <c r="O352" s="600">
        <f t="shared" si="48"/>
        <v>2908256.7300000009</v>
      </c>
      <c r="P352" s="601">
        <f t="shared" si="49"/>
        <v>5.5</v>
      </c>
      <c r="Q352" s="600">
        <f t="shared" si="50"/>
        <v>15995412.015000004</v>
      </c>
    </row>
    <row r="353" spans="1:17" s="598" customFormat="1" ht="15" outlineLevel="1">
      <c r="A353" s="597">
        <v>3801</v>
      </c>
      <c r="B353" s="598" t="s">
        <v>529</v>
      </c>
      <c r="C353" s="598">
        <v>2018</v>
      </c>
      <c r="D353" s="599">
        <v>3536133.5799999996</v>
      </c>
      <c r="E353" s="601">
        <f>Input!$C$14-C353+0.5</f>
        <v>4.5</v>
      </c>
      <c r="F353" s="600">
        <f t="shared" si="47"/>
        <v>15912601.109999998</v>
      </c>
      <c r="G353" s="600"/>
      <c r="H353" s="317"/>
      <c r="I353" s="600"/>
      <c r="J353" s="600"/>
      <c r="K353" s="600"/>
      <c r="L353" s="600"/>
      <c r="M353" s="600"/>
      <c r="N353" s="600"/>
      <c r="O353" s="600">
        <f t="shared" si="48"/>
        <v>3536133.5799999996</v>
      </c>
      <c r="P353" s="601">
        <f t="shared" si="49"/>
        <v>4.5</v>
      </c>
      <c r="Q353" s="600">
        <f t="shared" si="50"/>
        <v>15912601.109999998</v>
      </c>
    </row>
    <row r="354" spans="1:17" s="598" customFormat="1" ht="15" outlineLevel="1">
      <c r="A354" s="597">
        <v>3801</v>
      </c>
      <c r="B354" s="598" t="s">
        <v>529</v>
      </c>
      <c r="C354" s="598">
        <v>2019</v>
      </c>
      <c r="D354" s="599">
        <v>4294468.9899999984</v>
      </c>
      <c r="E354" s="601">
        <f>Input!$C$14-C354+0.5</f>
        <v>3.5</v>
      </c>
      <c r="F354" s="600">
        <f t="shared" si="47"/>
        <v>15030641.464999994</v>
      </c>
      <c r="G354" s="600"/>
      <c r="H354" s="317"/>
      <c r="I354" s="600"/>
      <c r="J354" s="600"/>
      <c r="K354" s="600"/>
      <c r="L354" s="600"/>
      <c r="M354" s="600"/>
      <c r="N354" s="600"/>
      <c r="O354" s="600">
        <f t="shared" si="48"/>
        <v>4294468.9899999984</v>
      </c>
      <c r="P354" s="601">
        <f t="shared" si="49"/>
        <v>3.5</v>
      </c>
      <c r="Q354" s="600">
        <f t="shared" si="50"/>
        <v>15030641.464999994</v>
      </c>
    </row>
    <row r="355" spans="1:17" s="598" customFormat="1" ht="15" outlineLevel="1">
      <c r="A355" s="597">
        <v>3801</v>
      </c>
      <c r="B355" s="598" t="s">
        <v>529</v>
      </c>
      <c r="C355" s="598">
        <v>2020</v>
      </c>
      <c r="D355" s="599">
        <v>4906479.0999999996</v>
      </c>
      <c r="E355" s="601">
        <f>Input!$C$14-C355+0.5</f>
        <v>2.5</v>
      </c>
      <c r="F355" s="600">
        <f t="shared" si="47"/>
        <v>12266197.75</v>
      </c>
      <c r="G355" s="600"/>
      <c r="H355" s="317"/>
      <c r="I355" s="600"/>
      <c r="J355" s="600"/>
      <c r="K355" s="600"/>
      <c r="L355" s="600"/>
      <c r="M355" s="600"/>
      <c r="N355" s="600"/>
      <c r="O355" s="600">
        <f t="shared" si="48"/>
        <v>4906479.0999999996</v>
      </c>
      <c r="P355" s="601">
        <f t="shared" si="49"/>
        <v>2.5</v>
      </c>
      <c r="Q355" s="600">
        <f t="shared" si="50"/>
        <v>12266197.75</v>
      </c>
    </row>
    <row r="356" spans="1:17" s="598" customFormat="1" ht="15" outlineLevel="1">
      <c r="A356" s="597">
        <v>3801</v>
      </c>
      <c r="B356" s="598" t="s">
        <v>529</v>
      </c>
      <c r="C356" s="598">
        <v>2021</v>
      </c>
      <c r="D356" s="599">
        <v>7760033.4000000013</v>
      </c>
      <c r="E356" s="601">
        <f>Input!$C$14-C356+0.5</f>
        <v>1.5</v>
      </c>
      <c r="F356" s="600">
        <f t="shared" si="47"/>
        <v>11640050.100000001</v>
      </c>
      <c r="G356" s="600"/>
      <c r="H356" s="317"/>
      <c r="I356" s="600"/>
      <c r="J356" s="600"/>
      <c r="K356" s="600"/>
      <c r="L356" s="600"/>
      <c r="M356" s="600"/>
      <c r="N356" s="600"/>
      <c r="O356" s="600">
        <f t="shared" si="48"/>
        <v>7760033.4000000013</v>
      </c>
      <c r="P356" s="601">
        <f t="shared" si="49"/>
        <v>1.5</v>
      </c>
      <c r="Q356" s="600">
        <f t="shared" si="50"/>
        <v>11640050.100000001</v>
      </c>
    </row>
    <row r="357" spans="1:20" s="598" customFormat="1" ht="13.5" thickBot="1">
      <c r="A357" s="563">
        <f>A356</f>
        <v>3801</v>
      </c>
      <c r="B357" s="564" t="s">
        <v>496</v>
      </c>
      <c r="D357" s="357">
        <f>SUM(D308:D356)</f>
        <v>66653050.039999992</v>
      </c>
      <c r="E357" s="565">
        <f>ROUND(F357/D357,1)</f>
        <v>12.199999999999999</v>
      </c>
      <c r="F357" s="357">
        <f>SUM(F308:F356)</f>
        <v>813935582.0200001</v>
      </c>
      <c r="G357" s="358"/>
      <c r="H357" s="318"/>
      <c r="I357" s="357">
        <f>SUM(I308:I356)</f>
        <v>0</v>
      </c>
      <c r="J357" s="357">
        <f>SUM(J308:J356)</f>
        <v>0</v>
      </c>
      <c r="K357" s="357">
        <f t="shared" si="51" ref="K357:N357">SUM(K308:K356)</f>
        <v>0</v>
      </c>
      <c r="L357" s="357">
        <f t="shared" si="51"/>
        <v>-4779.6000000000004</v>
      </c>
      <c r="M357" s="357">
        <f t="shared" si="51"/>
        <v>0</v>
      </c>
      <c r="N357" s="357">
        <f t="shared" si="51"/>
        <v>0</v>
      </c>
      <c r="O357" s="357">
        <f>SUM(O308:O356)</f>
        <v>66648270.439999998</v>
      </c>
      <c r="P357" s="565">
        <f>ROUND(Q357/O357,1)</f>
        <v>12.199999999999999</v>
      </c>
      <c r="Q357" s="357">
        <f>SUM(Q308:Q356)</f>
        <v>813719651.42000008</v>
      </c>
      <c r="S357" s="604">
        <f>'Sch. G 2021'!H20</f>
        <v>66653051</v>
      </c>
      <c r="T357" s="679">
        <f>D357-S357</f>
        <v>-0.96000000834465027</v>
      </c>
    </row>
    <row r="358" spans="1:20" s="598" customFormat="1" ht="15.75" thickTop="1">
      <c r="A358" s="566">
        <f>A356</f>
        <v>3801</v>
      </c>
      <c r="B358" s="490" t="str">
        <f>B356&amp;" - Additions"</f>
        <v>Services PL - Additions</v>
      </c>
      <c r="C358" s="490">
        <v>2022</v>
      </c>
      <c r="D358" s="567">
        <f>'Sch. H'!N20</f>
        <v>3523883.4746484249</v>
      </c>
      <c r="E358" s="601">
        <f>Input!$C$14-C358+0.5</f>
        <v>0.5</v>
      </c>
      <c r="F358" s="600">
        <f>D358*E358</f>
        <v>1761941.7373242124</v>
      </c>
      <c r="G358" s="600"/>
      <c r="H358" s="317"/>
      <c r="I358" s="600"/>
      <c r="J358" s="600"/>
      <c r="K358" s="600"/>
      <c r="L358" s="600"/>
      <c r="M358" s="600"/>
      <c r="N358" s="600"/>
      <c r="O358" s="600">
        <f t="shared" si="52" ref="O358:O359">SUM(D358,I358:N358)</f>
        <v>3523883.4746484249</v>
      </c>
      <c r="P358" s="601">
        <f t="shared" si="49"/>
        <v>0.5</v>
      </c>
      <c r="Q358" s="600">
        <f t="shared" si="50"/>
        <v>1761941.7373242124</v>
      </c>
      <c r="T358" s="679"/>
    </row>
    <row r="359" spans="1:20" s="598" customFormat="1" ht="15">
      <c r="A359" s="566">
        <f>A358</f>
        <v>3801</v>
      </c>
      <c r="B359" s="490" t="str">
        <f>B356&amp;" - Retirements"</f>
        <v>Services PL - Retirements</v>
      </c>
      <c r="C359" s="490">
        <v>2022</v>
      </c>
      <c r="D359" s="567">
        <f>-'Sch. F 2022'!Q90</f>
        <v>-385350</v>
      </c>
      <c r="E359" s="601">
        <f>'Sch. F 2022'!Q92</f>
        <v>39.549999999999997</v>
      </c>
      <c r="F359" s="600">
        <f>D359*E359</f>
        <v>-15240592.499999998</v>
      </c>
      <c r="G359" s="600"/>
      <c r="H359" s="317"/>
      <c r="I359" s="600"/>
      <c r="J359" s="600"/>
      <c r="K359" s="600"/>
      <c r="L359" s="600"/>
      <c r="M359" s="600"/>
      <c r="N359" s="600"/>
      <c r="O359" s="600">
        <f t="shared" si="52"/>
        <v>-385350</v>
      </c>
      <c r="P359" s="601">
        <f t="shared" si="49"/>
        <v>39.549999999999997</v>
      </c>
      <c r="Q359" s="600">
        <f t="shared" si="50"/>
        <v>-15240592.499999998</v>
      </c>
      <c r="T359" s="679"/>
    </row>
    <row r="360" spans="1:20" s="598" customFormat="1" ht="13.5" thickBot="1">
      <c r="A360" s="566"/>
      <c r="B360" s="564" t="s">
        <v>557</v>
      </c>
      <c r="C360" s="490"/>
      <c r="D360" s="568">
        <f>SUM(D357:D359)</f>
        <v>69791583.514648423</v>
      </c>
      <c r="E360" s="565">
        <f>ROUND(F360/D360,1)</f>
        <v>11.5</v>
      </c>
      <c r="F360" s="569">
        <f>SUM(F357:F359)</f>
        <v>800456931.25732434</v>
      </c>
      <c r="G360" s="570"/>
      <c r="H360" s="372"/>
      <c r="I360" s="568">
        <f>SUM(I357:I359)</f>
        <v>0</v>
      </c>
      <c r="J360" s="568">
        <f>SUM(J357:J359)</f>
        <v>0</v>
      </c>
      <c r="K360" s="568">
        <f t="shared" si="53" ref="K360:N360">SUM(K357:K359)</f>
        <v>0</v>
      </c>
      <c r="L360" s="568">
        <f t="shared" si="53"/>
        <v>-4779.6000000000004</v>
      </c>
      <c r="M360" s="568">
        <f t="shared" si="53"/>
        <v>0</v>
      </c>
      <c r="N360" s="568">
        <f t="shared" si="53"/>
        <v>0</v>
      </c>
      <c r="O360" s="568">
        <f>SUM(O357:O359)</f>
        <v>69786803.914648429</v>
      </c>
      <c r="P360" s="565">
        <f>ROUND(Q360/O360,1)</f>
        <v>11.5</v>
      </c>
      <c r="Q360" s="569">
        <f>SUM(Q357:Q359)</f>
        <v>800241000.65732431</v>
      </c>
      <c r="S360" s="604">
        <f>'Sch. G 2022'!H20</f>
        <v>69786805</v>
      </c>
      <c r="T360" s="679">
        <f>O360-S360</f>
        <v>-1.0853515714406967</v>
      </c>
    </row>
    <row r="361" spans="1:20" s="598" customFormat="1" ht="15" thickTop="1">
      <c r="A361" s="563"/>
      <c r="B361" s="571"/>
      <c r="D361" s="358"/>
      <c r="E361" s="572"/>
      <c r="F361" s="358"/>
      <c r="G361" s="358"/>
      <c r="H361" s="318"/>
      <c r="I361" s="358"/>
      <c r="J361" s="358"/>
      <c r="K361" s="358"/>
      <c r="L361" s="358"/>
      <c r="M361" s="358"/>
      <c r="N361" s="358"/>
      <c r="O361" s="600"/>
      <c r="P361" s="601"/>
      <c r="Q361" s="600"/>
      <c r="T361" s="679"/>
    </row>
    <row r="362" spans="1:18" s="598" customFormat="1" ht="15" outlineLevel="1">
      <c r="A362" s="597">
        <v>3802</v>
      </c>
      <c r="B362" s="598" t="s">
        <v>530</v>
      </c>
      <c r="C362" s="598">
        <v>1940</v>
      </c>
      <c r="D362" s="599">
        <v>4446.1899999999996</v>
      </c>
      <c r="E362" s="601">
        <f>Input!$C$14-C362+0.5</f>
        <v>82.5</v>
      </c>
      <c r="F362" s="600">
        <f t="shared" si="54" ref="F362:F426">D362*E362</f>
        <v>366810.67499999999</v>
      </c>
      <c r="G362" s="600"/>
      <c r="H362" s="317"/>
      <c r="I362" s="600">
        <f>-713.53-1359.31-2373.35</f>
        <v>-4446.1900000000005</v>
      </c>
      <c r="J362" s="600"/>
      <c r="K362" s="600"/>
      <c r="L362" s="600"/>
      <c r="M362" s="600"/>
      <c r="N362" s="600"/>
      <c r="O362" s="600">
        <f t="shared" si="55" ref="O362:O425">SUM(D362,I362:N362)</f>
        <v>0</v>
      </c>
      <c r="P362" s="601">
        <f t="shared" si="49"/>
        <v>82.5</v>
      </c>
      <c r="Q362" s="600">
        <f t="shared" si="50"/>
        <v>0</v>
      </c>
      <c r="R362" s="605"/>
    </row>
    <row r="363" spans="1:18" s="598" customFormat="1" ht="15" outlineLevel="1">
      <c r="A363" s="597">
        <v>3802</v>
      </c>
      <c r="B363" s="598" t="s">
        <v>530</v>
      </c>
      <c r="C363" s="598">
        <v>1941</v>
      </c>
      <c r="D363" s="599">
        <v>2393.7500000000005</v>
      </c>
      <c r="E363" s="601">
        <f>Input!$C$14-C363+0.5</f>
        <v>81.5</v>
      </c>
      <c r="F363" s="600">
        <f t="shared" si="54"/>
        <v>195090.62500000003</v>
      </c>
      <c r="G363" s="600"/>
      <c r="H363" s="317"/>
      <c r="I363" s="600">
        <v>-2393.7500000000005</v>
      </c>
      <c r="J363" s="600"/>
      <c r="K363" s="600"/>
      <c r="L363" s="600"/>
      <c r="M363" s="600"/>
      <c r="N363" s="600"/>
      <c r="O363" s="600">
        <f t="shared" si="55"/>
        <v>0</v>
      </c>
      <c r="P363" s="601">
        <f t="shared" si="49"/>
        <v>81.5</v>
      </c>
      <c r="Q363" s="600">
        <f t="shared" si="50"/>
        <v>0</v>
      </c>
      <c r="R363" s="605"/>
    </row>
    <row r="364" spans="1:18" s="598" customFormat="1" ht="15" outlineLevel="1">
      <c r="A364" s="597">
        <v>3802</v>
      </c>
      <c r="B364" s="598" t="s">
        <v>530</v>
      </c>
      <c r="C364" s="598">
        <v>1942</v>
      </c>
      <c r="D364" s="599">
        <v>901.40999999999997</v>
      </c>
      <c r="E364" s="601">
        <f>Input!$C$14-C364+0.5</f>
        <v>80.5</v>
      </c>
      <c r="F364" s="600">
        <f t="shared" si="54"/>
        <v>72563.505000000005</v>
      </c>
      <c r="G364" s="600"/>
      <c r="H364" s="317"/>
      <c r="I364" s="600">
        <v>-901.40999999999997</v>
      </c>
      <c r="J364" s="600"/>
      <c r="K364" s="600"/>
      <c r="L364" s="600"/>
      <c r="M364" s="600"/>
      <c r="N364" s="600"/>
      <c r="O364" s="600">
        <f t="shared" si="55"/>
        <v>0</v>
      </c>
      <c r="P364" s="601">
        <f t="shared" si="49"/>
        <v>80.5</v>
      </c>
      <c r="Q364" s="600">
        <f t="shared" si="50"/>
        <v>0</v>
      </c>
      <c r="R364" s="605"/>
    </row>
    <row r="365" spans="1:18" s="598" customFormat="1" ht="15" outlineLevel="1">
      <c r="A365" s="597">
        <v>3802</v>
      </c>
      <c r="B365" s="598" t="s">
        <v>530</v>
      </c>
      <c r="C365" s="598">
        <v>1944</v>
      </c>
      <c r="D365" s="599">
        <v>834.24000000000001</v>
      </c>
      <c r="E365" s="601">
        <f>Input!$C$14-C365+0.5</f>
        <v>78.5</v>
      </c>
      <c r="F365" s="600">
        <f t="shared" si="54"/>
        <v>65487.840000000004</v>
      </c>
      <c r="G365" s="600"/>
      <c r="H365" s="317"/>
      <c r="I365" s="600">
        <v>-834.24000000000001</v>
      </c>
      <c r="J365" s="600"/>
      <c r="K365" s="600"/>
      <c r="L365" s="600"/>
      <c r="M365" s="600"/>
      <c r="N365" s="600"/>
      <c r="O365" s="600">
        <f t="shared" si="55"/>
        <v>0</v>
      </c>
      <c r="P365" s="601">
        <f t="shared" si="49"/>
        <v>78.5</v>
      </c>
      <c r="Q365" s="600">
        <f t="shared" si="50"/>
        <v>0</v>
      </c>
      <c r="R365" s="605"/>
    </row>
    <row r="366" spans="1:18" s="598" customFormat="1" ht="15" outlineLevel="1">
      <c r="A366" s="597">
        <v>3802</v>
      </c>
      <c r="B366" s="598" t="s">
        <v>530</v>
      </c>
      <c r="C366" s="598">
        <v>1945</v>
      </c>
      <c r="D366" s="599">
        <v>919.97000000000003</v>
      </c>
      <c r="E366" s="601">
        <f>Input!$C$14-C366+0.5</f>
        <v>77.5</v>
      </c>
      <c r="F366" s="600">
        <f t="shared" si="54"/>
        <v>71297.675000000003</v>
      </c>
      <c r="G366" s="600"/>
      <c r="H366" s="317"/>
      <c r="I366" s="600">
        <v>-919.97000000000003</v>
      </c>
      <c r="J366" s="600"/>
      <c r="K366" s="600"/>
      <c r="L366" s="600"/>
      <c r="M366" s="600"/>
      <c r="N366" s="600"/>
      <c r="O366" s="600">
        <f t="shared" si="55"/>
        <v>0</v>
      </c>
      <c r="P366" s="601">
        <f t="shared" si="49"/>
        <v>77.5</v>
      </c>
      <c r="Q366" s="600">
        <f t="shared" si="50"/>
        <v>0</v>
      </c>
      <c r="R366" s="605"/>
    </row>
    <row r="367" spans="1:18" s="598" customFormat="1" ht="15" outlineLevel="1">
      <c r="A367" s="597">
        <v>3802</v>
      </c>
      <c r="B367" s="598" t="s">
        <v>530</v>
      </c>
      <c r="C367" s="598">
        <v>1946</v>
      </c>
      <c r="D367" s="599">
        <v>1867.04</v>
      </c>
      <c r="E367" s="601">
        <f>Input!$C$14-C367+0.5</f>
        <v>76.5</v>
      </c>
      <c r="F367" s="600">
        <f t="shared" si="54"/>
        <v>142828.56</v>
      </c>
      <c r="G367" s="600"/>
      <c r="H367" s="317"/>
      <c r="I367" s="600">
        <v>-1867.04</v>
      </c>
      <c r="J367" s="600"/>
      <c r="K367" s="600"/>
      <c r="L367" s="600"/>
      <c r="M367" s="600"/>
      <c r="N367" s="600"/>
      <c r="O367" s="600">
        <f t="shared" si="55"/>
        <v>0</v>
      </c>
      <c r="P367" s="601">
        <f t="shared" si="49"/>
        <v>76.5</v>
      </c>
      <c r="Q367" s="600">
        <f t="shared" si="50"/>
        <v>0</v>
      </c>
      <c r="R367" s="605"/>
    </row>
    <row r="368" spans="1:18" s="598" customFormat="1" ht="15" outlineLevel="1">
      <c r="A368" s="597">
        <v>3802</v>
      </c>
      <c r="B368" s="598" t="s">
        <v>530</v>
      </c>
      <c r="C368" s="598">
        <v>1947</v>
      </c>
      <c r="D368" s="599">
        <v>3437.4400000000005</v>
      </c>
      <c r="E368" s="601">
        <f>Input!$C$14-C368+0.5</f>
        <v>75.5</v>
      </c>
      <c r="F368" s="600">
        <f t="shared" si="54"/>
        <v>259526.72000000003</v>
      </c>
      <c r="G368" s="600"/>
      <c r="H368" s="317"/>
      <c r="I368" s="600">
        <v>-3437.4400000000005</v>
      </c>
      <c r="J368" s="600"/>
      <c r="K368" s="600"/>
      <c r="L368" s="600"/>
      <c r="M368" s="600"/>
      <c r="N368" s="600"/>
      <c r="O368" s="600">
        <f t="shared" si="55"/>
        <v>0</v>
      </c>
      <c r="P368" s="601">
        <f t="shared" si="49"/>
        <v>75.5</v>
      </c>
      <c r="Q368" s="600">
        <f t="shared" si="50"/>
        <v>0</v>
      </c>
      <c r="R368" s="605"/>
    </row>
    <row r="369" spans="1:18" s="598" customFormat="1" ht="15" outlineLevel="1">
      <c r="A369" s="597">
        <v>3802</v>
      </c>
      <c r="B369" s="598" t="s">
        <v>530</v>
      </c>
      <c r="C369" s="598">
        <v>1948</v>
      </c>
      <c r="D369" s="599">
        <v>383.54000000000002</v>
      </c>
      <c r="E369" s="601">
        <f>Input!$C$14-C369+0.5</f>
        <v>74.5</v>
      </c>
      <c r="F369" s="600">
        <f t="shared" si="54"/>
        <v>28573.730000000003</v>
      </c>
      <c r="G369" s="600"/>
      <c r="H369" s="317"/>
      <c r="I369" s="600">
        <v>-383.54000000000002</v>
      </c>
      <c r="J369" s="600"/>
      <c r="K369" s="600"/>
      <c r="L369" s="600"/>
      <c r="M369" s="600"/>
      <c r="N369" s="600"/>
      <c r="O369" s="600">
        <f t="shared" si="55"/>
        <v>0</v>
      </c>
      <c r="P369" s="601">
        <f t="shared" si="49"/>
        <v>74.5</v>
      </c>
      <c r="Q369" s="600">
        <f t="shared" si="50"/>
        <v>0</v>
      </c>
      <c r="R369" s="605"/>
    </row>
    <row r="370" spans="1:18" s="598" customFormat="1" ht="15" outlineLevel="1">
      <c r="A370" s="597">
        <v>3802</v>
      </c>
      <c r="B370" s="598" t="s">
        <v>530</v>
      </c>
      <c r="C370" s="598">
        <v>1949</v>
      </c>
      <c r="D370" s="599">
        <v>3461.8000000000002</v>
      </c>
      <c r="E370" s="601">
        <f>Input!$C$14-C370+0.5</f>
        <v>73.5</v>
      </c>
      <c r="F370" s="600">
        <f t="shared" si="54"/>
        <v>254442.30000000002</v>
      </c>
      <c r="G370" s="600"/>
      <c r="H370" s="317"/>
      <c r="I370" s="600">
        <v>-3461.8000000000002</v>
      </c>
      <c r="J370" s="600"/>
      <c r="K370" s="600"/>
      <c r="L370" s="600"/>
      <c r="M370" s="600"/>
      <c r="N370" s="600"/>
      <c r="O370" s="600">
        <f t="shared" si="55"/>
        <v>0</v>
      </c>
      <c r="P370" s="601">
        <f t="shared" si="49"/>
        <v>73.5</v>
      </c>
      <c r="Q370" s="600">
        <f t="shared" si="50"/>
        <v>0</v>
      </c>
      <c r="R370" s="605"/>
    </row>
    <row r="371" spans="1:18" s="598" customFormat="1" ht="15" outlineLevel="1">
      <c r="A371" s="597">
        <v>3802</v>
      </c>
      <c r="B371" s="598" t="s">
        <v>530</v>
      </c>
      <c r="C371" s="598">
        <v>1950</v>
      </c>
      <c r="D371" s="599">
        <v>8062.7000000000007</v>
      </c>
      <c r="E371" s="601">
        <f>Input!$C$14-C371+0.5</f>
        <v>72.5</v>
      </c>
      <c r="F371" s="600">
        <f t="shared" si="54"/>
        <v>584545.75</v>
      </c>
      <c r="G371" s="600"/>
      <c r="H371" s="317"/>
      <c r="I371" s="600">
        <v>-8062.7000000000007</v>
      </c>
      <c r="J371" s="600"/>
      <c r="K371" s="600"/>
      <c r="L371" s="600"/>
      <c r="M371" s="600"/>
      <c r="N371" s="600"/>
      <c r="O371" s="600">
        <f t="shared" si="55"/>
        <v>0</v>
      </c>
      <c r="P371" s="601">
        <f t="shared" si="49"/>
        <v>72.5</v>
      </c>
      <c r="Q371" s="600">
        <f t="shared" si="50"/>
        <v>0</v>
      </c>
      <c r="R371" s="605"/>
    </row>
    <row r="372" spans="1:18" s="598" customFormat="1" ht="15" outlineLevel="1">
      <c r="A372" s="597">
        <v>3802</v>
      </c>
      <c r="B372" s="598" t="s">
        <v>530</v>
      </c>
      <c r="C372" s="598">
        <v>1951</v>
      </c>
      <c r="D372" s="599">
        <v>8628.9699999999993</v>
      </c>
      <c r="E372" s="601">
        <f>Input!$C$14-C372+0.5</f>
        <v>71.5</v>
      </c>
      <c r="F372" s="600">
        <f t="shared" si="54"/>
        <v>616971.35499999998</v>
      </c>
      <c r="G372" s="600"/>
      <c r="H372" s="317"/>
      <c r="I372" s="600">
        <v>-8628.9699999999993</v>
      </c>
      <c r="J372" s="600"/>
      <c r="K372" s="600"/>
      <c r="L372" s="600"/>
      <c r="M372" s="600"/>
      <c r="N372" s="600"/>
      <c r="O372" s="600">
        <f t="shared" si="55"/>
        <v>0</v>
      </c>
      <c r="P372" s="601">
        <f t="shared" si="49"/>
        <v>71.5</v>
      </c>
      <c r="Q372" s="600">
        <f t="shared" si="50"/>
        <v>0</v>
      </c>
      <c r="R372" s="605"/>
    </row>
    <row r="373" spans="1:18" s="598" customFormat="1" ht="15" outlineLevel="1">
      <c r="A373" s="597">
        <v>3802</v>
      </c>
      <c r="B373" s="598" t="s">
        <v>530</v>
      </c>
      <c r="C373" s="598">
        <v>1952</v>
      </c>
      <c r="D373" s="599">
        <v>8459.0900000000001</v>
      </c>
      <c r="E373" s="601">
        <f>Input!$C$14-C373+0.5</f>
        <v>70.5</v>
      </c>
      <c r="F373" s="600">
        <f t="shared" si="54"/>
        <v>596365.84499999997</v>
      </c>
      <c r="G373" s="600"/>
      <c r="H373" s="317"/>
      <c r="I373" s="600">
        <v>-8459.0900000000001</v>
      </c>
      <c r="J373" s="600"/>
      <c r="K373" s="600"/>
      <c r="L373" s="600"/>
      <c r="M373" s="600"/>
      <c r="N373" s="600"/>
      <c r="O373" s="600">
        <f t="shared" si="55"/>
        <v>0</v>
      </c>
      <c r="P373" s="601">
        <f t="shared" si="49"/>
        <v>70.5</v>
      </c>
      <c r="Q373" s="600">
        <f t="shared" si="50"/>
        <v>0</v>
      </c>
      <c r="R373" s="605"/>
    </row>
    <row r="374" spans="1:18" s="598" customFormat="1" ht="15" outlineLevel="1">
      <c r="A374" s="597">
        <v>3802</v>
      </c>
      <c r="B374" s="598" t="s">
        <v>530</v>
      </c>
      <c r="C374" s="598">
        <v>1953</v>
      </c>
      <c r="D374" s="599">
        <v>9068.4400000000005</v>
      </c>
      <c r="E374" s="601">
        <f>Input!$C$14-C374+0.5</f>
        <v>69.5</v>
      </c>
      <c r="F374" s="600">
        <f t="shared" si="54"/>
        <v>630256.58000000007</v>
      </c>
      <c r="G374" s="600"/>
      <c r="H374" s="317"/>
      <c r="I374" s="600">
        <v>-9068.4400000000005</v>
      </c>
      <c r="J374" s="600"/>
      <c r="K374" s="600"/>
      <c r="L374" s="600"/>
      <c r="M374" s="600"/>
      <c r="N374" s="600"/>
      <c r="O374" s="600">
        <f t="shared" si="55"/>
        <v>0</v>
      </c>
      <c r="P374" s="601">
        <f t="shared" si="49"/>
        <v>69.5</v>
      </c>
      <c r="Q374" s="600">
        <f t="shared" si="50"/>
        <v>0</v>
      </c>
      <c r="R374" s="605"/>
    </row>
    <row r="375" spans="1:18" s="598" customFormat="1" ht="15" outlineLevel="1">
      <c r="A375" s="597">
        <v>3802</v>
      </c>
      <c r="B375" s="598" t="s">
        <v>530</v>
      </c>
      <c r="C375" s="598">
        <v>1954</v>
      </c>
      <c r="D375" s="599">
        <v>9396.9500000000007</v>
      </c>
      <c r="E375" s="601">
        <f>Input!$C$14-C375+0.5</f>
        <v>68.5</v>
      </c>
      <c r="F375" s="600">
        <f t="shared" si="54"/>
        <v>643691.07500000007</v>
      </c>
      <c r="G375" s="600"/>
      <c r="H375" s="317"/>
      <c r="I375" s="600">
        <v>-9396.9500000000007</v>
      </c>
      <c r="J375" s="600"/>
      <c r="K375" s="600"/>
      <c r="L375" s="600"/>
      <c r="M375" s="600"/>
      <c r="N375" s="600"/>
      <c r="O375" s="600">
        <f t="shared" si="55"/>
        <v>0</v>
      </c>
      <c r="P375" s="601">
        <f t="shared" si="49"/>
        <v>68.5</v>
      </c>
      <c r="Q375" s="600">
        <f t="shared" si="50"/>
        <v>0</v>
      </c>
      <c r="R375" s="605"/>
    </row>
    <row r="376" spans="1:18" s="598" customFormat="1" ht="15" outlineLevel="1">
      <c r="A376" s="597">
        <v>3802</v>
      </c>
      <c r="B376" s="598" t="s">
        <v>530</v>
      </c>
      <c r="C376" s="598">
        <v>1955</v>
      </c>
      <c r="D376" s="599">
        <v>8646.8899999999994</v>
      </c>
      <c r="E376" s="601">
        <f>Input!$C$14-C376+0.5</f>
        <v>67.5</v>
      </c>
      <c r="F376" s="600">
        <f t="shared" si="54"/>
        <v>583665.07499999995</v>
      </c>
      <c r="G376" s="600"/>
      <c r="H376" s="317"/>
      <c r="I376" s="600">
        <v>-8646.8899999999994</v>
      </c>
      <c r="J376" s="600"/>
      <c r="K376" s="600"/>
      <c r="L376" s="600"/>
      <c r="M376" s="600"/>
      <c r="N376" s="600"/>
      <c r="O376" s="600">
        <f t="shared" si="55"/>
        <v>0</v>
      </c>
      <c r="P376" s="601">
        <f t="shared" si="49"/>
        <v>67.5</v>
      </c>
      <c r="Q376" s="600">
        <f t="shared" si="50"/>
        <v>0</v>
      </c>
      <c r="R376" s="605"/>
    </row>
    <row r="377" spans="1:18" s="598" customFormat="1" ht="15" outlineLevel="1">
      <c r="A377" s="597">
        <v>3802</v>
      </c>
      <c r="B377" s="598" t="s">
        <v>530</v>
      </c>
      <c r="C377" s="598">
        <v>1956</v>
      </c>
      <c r="D377" s="599">
        <v>8297.4600000000009</v>
      </c>
      <c r="E377" s="601">
        <f>Input!$C$14-C377+0.5</f>
        <v>66.5</v>
      </c>
      <c r="F377" s="600">
        <f t="shared" si="54"/>
        <v>551781.09000000008</v>
      </c>
      <c r="G377" s="600"/>
      <c r="H377" s="317"/>
      <c r="I377" s="600">
        <v>-8297.4600000000009</v>
      </c>
      <c r="J377" s="600"/>
      <c r="K377" s="600"/>
      <c r="L377" s="600"/>
      <c r="M377" s="600"/>
      <c r="N377" s="600"/>
      <c r="O377" s="600">
        <f t="shared" si="55"/>
        <v>0</v>
      </c>
      <c r="P377" s="601">
        <f t="shared" si="49"/>
        <v>66.5</v>
      </c>
      <c r="Q377" s="600">
        <f t="shared" si="50"/>
        <v>0</v>
      </c>
      <c r="R377" s="605"/>
    </row>
    <row r="378" spans="1:18" s="598" customFormat="1" ht="15" outlineLevel="1">
      <c r="A378" s="597">
        <v>3802</v>
      </c>
      <c r="B378" s="598" t="s">
        <v>530</v>
      </c>
      <c r="C378" s="598">
        <v>1957</v>
      </c>
      <c r="D378" s="599">
        <v>5040.9700000000003</v>
      </c>
      <c r="E378" s="601">
        <f>Input!$C$14-C378+0.5</f>
        <v>65.5</v>
      </c>
      <c r="F378" s="600">
        <f t="shared" si="54"/>
        <v>330183.53500000003</v>
      </c>
      <c r="G378" s="600"/>
      <c r="H378" s="317"/>
      <c r="I378" s="600">
        <v>-5040.9700000000003</v>
      </c>
      <c r="J378" s="600"/>
      <c r="K378" s="600"/>
      <c r="L378" s="600"/>
      <c r="M378" s="600"/>
      <c r="N378" s="600"/>
      <c r="O378" s="600">
        <f t="shared" si="55"/>
        <v>0</v>
      </c>
      <c r="P378" s="601">
        <f t="shared" si="49"/>
        <v>65.5</v>
      </c>
      <c r="Q378" s="600">
        <f t="shared" si="50"/>
        <v>0</v>
      </c>
      <c r="R378" s="605"/>
    </row>
    <row r="379" spans="1:18" s="598" customFormat="1" ht="15" outlineLevel="1">
      <c r="A379" s="597">
        <v>3802</v>
      </c>
      <c r="B379" s="598" t="s">
        <v>530</v>
      </c>
      <c r="C379" s="598">
        <v>1958</v>
      </c>
      <c r="D379" s="599">
        <v>4606.9300000000003</v>
      </c>
      <c r="E379" s="601">
        <f>Input!$C$14-C379+0.5</f>
        <v>64.5</v>
      </c>
      <c r="F379" s="600">
        <f t="shared" si="54"/>
        <v>297146.98500000004</v>
      </c>
      <c r="G379" s="600"/>
      <c r="H379" s="317"/>
      <c r="I379" s="600">
        <v>-4606.9300000000003</v>
      </c>
      <c r="J379" s="600"/>
      <c r="K379" s="600"/>
      <c r="L379" s="600"/>
      <c r="M379" s="600"/>
      <c r="N379" s="600"/>
      <c r="O379" s="600">
        <f t="shared" si="55"/>
        <v>0</v>
      </c>
      <c r="P379" s="601">
        <f t="shared" si="49"/>
        <v>64.5</v>
      </c>
      <c r="Q379" s="600">
        <f t="shared" si="50"/>
        <v>0</v>
      </c>
      <c r="R379" s="605"/>
    </row>
    <row r="380" spans="1:18" s="598" customFormat="1" ht="15" outlineLevel="1">
      <c r="A380" s="597">
        <v>3802</v>
      </c>
      <c r="B380" s="598" t="s">
        <v>530</v>
      </c>
      <c r="C380" s="598">
        <v>1959</v>
      </c>
      <c r="D380" s="599">
        <v>19404.200000000001</v>
      </c>
      <c r="E380" s="601">
        <f>Input!$C$14-C380+0.5</f>
        <v>63.5</v>
      </c>
      <c r="F380" s="600">
        <f t="shared" si="54"/>
        <v>1232166.7</v>
      </c>
      <c r="G380" s="600"/>
      <c r="H380" s="317"/>
      <c r="I380" s="600">
        <v>-19404.200000000001</v>
      </c>
      <c r="J380" s="600"/>
      <c r="K380" s="600"/>
      <c r="L380" s="600"/>
      <c r="M380" s="600"/>
      <c r="N380" s="600"/>
      <c r="O380" s="600">
        <f t="shared" si="55"/>
        <v>0</v>
      </c>
      <c r="P380" s="601">
        <f t="shared" si="49"/>
        <v>63.5</v>
      </c>
      <c r="Q380" s="600">
        <f t="shared" si="50"/>
        <v>0</v>
      </c>
      <c r="R380" s="605"/>
    </row>
    <row r="381" spans="1:18" s="598" customFormat="1" ht="15" outlineLevel="1">
      <c r="A381" s="597">
        <v>3802</v>
      </c>
      <c r="B381" s="598" t="s">
        <v>530</v>
      </c>
      <c r="C381" s="598">
        <v>1960</v>
      </c>
      <c r="D381" s="599">
        <v>18716.010000000002</v>
      </c>
      <c r="E381" s="601">
        <f>Input!$C$14-C381+0.5</f>
        <v>62.5</v>
      </c>
      <c r="F381" s="600">
        <f t="shared" si="54"/>
        <v>1169750.6250000002</v>
      </c>
      <c r="G381" s="600"/>
      <c r="H381" s="317"/>
      <c r="I381" s="600">
        <f>-359.329999999998-860.25-4125.28-27</f>
        <v>-5371.8599999999979</v>
      </c>
      <c r="J381" s="600"/>
      <c r="K381" s="600"/>
      <c r="L381" s="600"/>
      <c r="M381" s="600"/>
      <c r="N381" s="600"/>
      <c r="O381" s="600">
        <f t="shared" si="55"/>
        <v>13344.150000000005</v>
      </c>
      <c r="P381" s="601">
        <f t="shared" si="49"/>
        <v>62.5</v>
      </c>
      <c r="Q381" s="600">
        <f t="shared" si="50"/>
        <v>834009.37500000035</v>
      </c>
      <c r="R381" s="605"/>
    </row>
    <row r="382" spans="1:18" s="598" customFormat="1" ht="15" outlineLevel="1">
      <c r="A382" s="597">
        <v>3802</v>
      </c>
      <c r="B382" s="598" t="s">
        <v>530</v>
      </c>
      <c r="C382" s="598">
        <v>1961</v>
      </c>
      <c r="D382" s="599">
        <v>31380.130000000001</v>
      </c>
      <c r="E382" s="601">
        <f>Input!$C$14-C382+0.5</f>
        <v>61.5</v>
      </c>
      <c r="F382" s="600">
        <f t="shared" si="54"/>
        <v>1929877.9950000001</v>
      </c>
      <c r="G382" s="600"/>
      <c r="H382" s="317"/>
      <c r="I382" s="600"/>
      <c r="J382" s="600"/>
      <c r="K382" s="600"/>
      <c r="L382" s="600"/>
      <c r="M382" s="600"/>
      <c r="N382" s="600"/>
      <c r="O382" s="600">
        <f t="shared" si="55"/>
        <v>31380.130000000001</v>
      </c>
      <c r="P382" s="601">
        <f t="shared" si="49"/>
        <v>61.5</v>
      </c>
      <c r="Q382" s="600">
        <f t="shared" si="50"/>
        <v>1929877.9950000001</v>
      </c>
      <c r="R382" s="605"/>
    </row>
    <row r="383" spans="1:18" s="598" customFormat="1" ht="15" outlineLevel="1">
      <c r="A383" s="597">
        <v>3802</v>
      </c>
      <c r="B383" s="598" t="s">
        <v>530</v>
      </c>
      <c r="C383" s="598">
        <v>1962</v>
      </c>
      <c r="D383" s="599">
        <v>32285.990000000002</v>
      </c>
      <c r="E383" s="601">
        <f>Input!$C$14-C383+0.5</f>
        <v>60.5</v>
      </c>
      <c r="F383" s="600">
        <f t="shared" si="54"/>
        <v>1953302.395</v>
      </c>
      <c r="G383" s="600"/>
      <c r="H383" s="317"/>
      <c r="I383" s="600"/>
      <c r="J383" s="600"/>
      <c r="K383" s="600"/>
      <c r="L383" s="600"/>
      <c r="M383" s="600"/>
      <c r="N383" s="600"/>
      <c r="O383" s="600">
        <f t="shared" si="55"/>
        <v>32285.990000000002</v>
      </c>
      <c r="P383" s="601">
        <f t="shared" si="49"/>
        <v>60.5</v>
      </c>
      <c r="Q383" s="600">
        <f t="shared" si="50"/>
        <v>1953302.395</v>
      </c>
      <c r="R383" s="605"/>
    </row>
    <row r="384" spans="1:18" s="598" customFormat="1" ht="15" outlineLevel="1">
      <c r="A384" s="597">
        <v>3802</v>
      </c>
      <c r="B384" s="598" t="s">
        <v>530</v>
      </c>
      <c r="C384" s="598">
        <v>1963</v>
      </c>
      <c r="D384" s="599">
        <v>26432.340000000004</v>
      </c>
      <c r="E384" s="601">
        <f>Input!$C$14-C384+0.5</f>
        <v>59.5</v>
      </c>
      <c r="F384" s="600">
        <f t="shared" si="54"/>
        <v>1572724.2300000002</v>
      </c>
      <c r="G384" s="600"/>
      <c r="H384" s="317"/>
      <c r="I384" s="600"/>
      <c r="J384" s="600"/>
      <c r="K384" s="600"/>
      <c r="L384" s="600"/>
      <c r="M384" s="600"/>
      <c r="N384" s="600"/>
      <c r="O384" s="600">
        <f t="shared" si="55"/>
        <v>26432.340000000004</v>
      </c>
      <c r="P384" s="601">
        <f t="shared" si="49"/>
        <v>59.5</v>
      </c>
      <c r="Q384" s="600">
        <f t="shared" si="50"/>
        <v>1572724.2300000002</v>
      </c>
      <c r="R384" s="605"/>
    </row>
    <row r="385" spans="1:18" s="598" customFormat="1" ht="15" outlineLevel="1">
      <c r="A385" s="597">
        <v>3802</v>
      </c>
      <c r="B385" s="598" t="s">
        <v>530</v>
      </c>
      <c r="C385" s="598">
        <v>1964</v>
      </c>
      <c r="D385" s="599">
        <v>33997.279999999999</v>
      </c>
      <c r="E385" s="601">
        <f>Input!$C$14-C385+0.5</f>
        <v>58.5</v>
      </c>
      <c r="F385" s="600">
        <f t="shared" si="54"/>
        <v>1988840.8799999999</v>
      </c>
      <c r="G385" s="600"/>
      <c r="H385" s="317"/>
      <c r="I385" s="600"/>
      <c r="J385" s="600"/>
      <c r="K385" s="600"/>
      <c r="L385" s="600"/>
      <c r="M385" s="600"/>
      <c r="N385" s="600"/>
      <c r="O385" s="600">
        <f t="shared" si="55"/>
        <v>33997.279999999999</v>
      </c>
      <c r="P385" s="601">
        <f t="shared" si="56" ref="P385:P447">E385</f>
        <v>58.5</v>
      </c>
      <c r="Q385" s="600">
        <f t="shared" si="57" ref="Q385:Q447">O385*P385</f>
        <v>1988840.8799999999</v>
      </c>
      <c r="R385" s="605"/>
    </row>
    <row r="386" spans="1:18" s="598" customFormat="1" ht="15" outlineLevel="1">
      <c r="A386" s="597">
        <v>3802</v>
      </c>
      <c r="B386" s="598" t="s">
        <v>530</v>
      </c>
      <c r="C386" s="598">
        <v>1965</v>
      </c>
      <c r="D386" s="599">
        <v>25077.149999999998</v>
      </c>
      <c r="E386" s="601">
        <f>Input!$C$14-C386+0.5</f>
        <v>57.5</v>
      </c>
      <c r="F386" s="600">
        <f t="shared" si="54"/>
        <v>1441936.1249999998</v>
      </c>
      <c r="G386" s="600"/>
      <c r="H386" s="317"/>
      <c r="I386" s="600"/>
      <c r="J386" s="600"/>
      <c r="K386" s="600"/>
      <c r="L386" s="600"/>
      <c r="M386" s="600"/>
      <c r="N386" s="600"/>
      <c r="O386" s="600">
        <f t="shared" si="55"/>
        <v>25077.149999999998</v>
      </c>
      <c r="P386" s="601">
        <f t="shared" si="56"/>
        <v>57.5</v>
      </c>
      <c r="Q386" s="600">
        <f t="shared" si="57"/>
        <v>1441936.1249999998</v>
      </c>
      <c r="R386" s="605"/>
    </row>
    <row r="387" spans="1:18" s="598" customFormat="1" ht="15" outlineLevel="1">
      <c r="A387" s="597">
        <v>3802</v>
      </c>
      <c r="B387" s="598" t="s">
        <v>530</v>
      </c>
      <c r="C387" s="598">
        <v>1966</v>
      </c>
      <c r="D387" s="599">
        <v>27242.279999999999</v>
      </c>
      <c r="E387" s="601">
        <f>Input!$C$14-C387+0.5</f>
        <v>56.5</v>
      </c>
      <c r="F387" s="600">
        <f t="shared" si="54"/>
        <v>1539188.8199999998</v>
      </c>
      <c r="G387" s="600"/>
      <c r="H387" s="317"/>
      <c r="I387" s="600"/>
      <c r="J387" s="600"/>
      <c r="K387" s="600"/>
      <c r="L387" s="600"/>
      <c r="M387" s="600"/>
      <c r="N387" s="600"/>
      <c r="O387" s="600">
        <f t="shared" si="55"/>
        <v>27242.279999999999</v>
      </c>
      <c r="P387" s="601">
        <f t="shared" si="56"/>
        <v>56.5</v>
      </c>
      <c r="Q387" s="600">
        <f t="shared" si="57"/>
        <v>1539188.8199999998</v>
      </c>
      <c r="R387" s="605"/>
    </row>
    <row r="388" spans="1:18" s="598" customFormat="1" ht="15" outlineLevel="1">
      <c r="A388" s="597">
        <v>3802</v>
      </c>
      <c r="B388" s="598" t="s">
        <v>530</v>
      </c>
      <c r="C388" s="598">
        <v>1967</v>
      </c>
      <c r="D388" s="599">
        <v>48402.150000000001</v>
      </c>
      <c r="E388" s="601">
        <f>Input!$C$14-C388+0.5</f>
        <v>55.5</v>
      </c>
      <c r="F388" s="600">
        <f t="shared" si="54"/>
        <v>2686319.3250000002</v>
      </c>
      <c r="G388" s="600"/>
      <c r="H388" s="317"/>
      <c r="I388" s="600"/>
      <c r="J388" s="600"/>
      <c r="K388" s="600"/>
      <c r="L388" s="600"/>
      <c r="M388" s="600"/>
      <c r="N388" s="600"/>
      <c r="O388" s="600">
        <f t="shared" si="55"/>
        <v>48402.150000000001</v>
      </c>
      <c r="P388" s="601">
        <f t="shared" si="56"/>
        <v>55.5</v>
      </c>
      <c r="Q388" s="600">
        <f t="shared" si="57"/>
        <v>2686319.3250000002</v>
      </c>
      <c r="R388" s="605"/>
    </row>
    <row r="389" spans="1:18" s="598" customFormat="1" ht="15" outlineLevel="1">
      <c r="A389" s="597">
        <v>3802</v>
      </c>
      <c r="B389" s="598" t="s">
        <v>530</v>
      </c>
      <c r="C389" s="598">
        <v>1968</v>
      </c>
      <c r="D389" s="599">
        <f>27825.37+146464.83-131963.77</f>
        <v>42326.429999999993</v>
      </c>
      <c r="E389" s="601">
        <f>Input!$C$14-C389+0.5</f>
        <v>54.5</v>
      </c>
      <c r="F389" s="600">
        <f t="shared" si="54"/>
        <v>2306790.4349999996</v>
      </c>
      <c r="G389" s="600"/>
      <c r="H389" s="317"/>
      <c r="I389" s="600"/>
      <c r="J389" s="600"/>
      <c r="K389" s="600"/>
      <c r="L389" s="600"/>
      <c r="M389" s="600"/>
      <c r="N389" s="600"/>
      <c r="O389" s="600">
        <f t="shared" si="55"/>
        <v>42326.429999999993</v>
      </c>
      <c r="P389" s="601">
        <f t="shared" si="56"/>
        <v>54.5</v>
      </c>
      <c r="Q389" s="600">
        <f t="shared" si="57"/>
        <v>2306790.4349999996</v>
      </c>
      <c r="R389" s="605"/>
    </row>
    <row r="390" spans="1:18" s="598" customFormat="1" ht="15" outlineLevel="1">
      <c r="A390" s="597">
        <v>3802</v>
      </c>
      <c r="B390" s="598" t="s">
        <v>530</v>
      </c>
      <c r="C390" s="598">
        <v>1969</v>
      </c>
      <c r="D390" s="599">
        <v>2429.4400000000001</v>
      </c>
      <c r="E390" s="601">
        <f>Input!$C$14-C390+0.5</f>
        <v>53.5</v>
      </c>
      <c r="F390" s="600">
        <f t="shared" si="54"/>
        <v>129975.04000000001</v>
      </c>
      <c r="G390" s="600"/>
      <c r="H390" s="317"/>
      <c r="I390" s="600"/>
      <c r="J390" s="600"/>
      <c r="K390" s="600"/>
      <c r="L390" s="600"/>
      <c r="M390" s="600"/>
      <c r="N390" s="600"/>
      <c r="O390" s="600">
        <f t="shared" si="55"/>
        <v>2429.4400000000001</v>
      </c>
      <c r="P390" s="601">
        <f t="shared" si="56"/>
        <v>53.5</v>
      </c>
      <c r="Q390" s="600">
        <f t="shared" si="57"/>
        <v>129975.04000000001</v>
      </c>
      <c r="R390" s="605"/>
    </row>
    <row r="391" spans="1:18" s="598" customFormat="1" ht="15" outlineLevel="1">
      <c r="A391" s="597">
        <v>3802</v>
      </c>
      <c r="B391" s="598" t="s">
        <v>530</v>
      </c>
      <c r="C391" s="598">
        <v>1970</v>
      </c>
      <c r="D391" s="599">
        <v>1052.1300000000001</v>
      </c>
      <c r="E391" s="601">
        <f>Input!$C$14-C391+0.5</f>
        <v>52.5</v>
      </c>
      <c r="F391" s="600">
        <f t="shared" si="54"/>
        <v>55236.825000000004</v>
      </c>
      <c r="G391" s="600"/>
      <c r="H391" s="317"/>
      <c r="I391" s="600"/>
      <c r="J391" s="600"/>
      <c r="K391" s="600"/>
      <c r="L391" s="600"/>
      <c r="M391" s="600"/>
      <c r="N391" s="600"/>
      <c r="O391" s="600">
        <f t="shared" si="55"/>
        <v>1052.1300000000001</v>
      </c>
      <c r="P391" s="601">
        <f t="shared" si="56"/>
        <v>52.5</v>
      </c>
      <c r="Q391" s="600">
        <f t="shared" si="57"/>
        <v>55236.825000000004</v>
      </c>
      <c r="R391" s="605"/>
    </row>
    <row r="392" spans="1:18" s="598" customFormat="1" ht="15" outlineLevel="1">
      <c r="A392" s="597">
        <v>3802</v>
      </c>
      <c r="B392" s="598" t="s">
        <v>530</v>
      </c>
      <c r="C392" s="598">
        <v>1971</v>
      </c>
      <c r="D392" s="599">
        <v>6972.6000000000004</v>
      </c>
      <c r="E392" s="601">
        <f>Input!$C$14-C392+0.5</f>
        <v>51.5</v>
      </c>
      <c r="F392" s="600">
        <f t="shared" si="54"/>
        <v>359088.90000000002</v>
      </c>
      <c r="G392" s="600"/>
      <c r="H392" s="317"/>
      <c r="I392" s="600"/>
      <c r="J392" s="600"/>
      <c r="K392" s="600"/>
      <c r="L392" s="600"/>
      <c r="M392" s="600"/>
      <c r="N392" s="600"/>
      <c r="O392" s="600">
        <f t="shared" si="55"/>
        <v>6972.6000000000004</v>
      </c>
      <c r="P392" s="601">
        <f t="shared" si="56"/>
        <v>51.5</v>
      </c>
      <c r="Q392" s="600">
        <f t="shared" si="57"/>
        <v>359088.90000000002</v>
      </c>
      <c r="R392" s="605"/>
    </row>
    <row r="393" spans="1:18" s="598" customFormat="1" ht="15" outlineLevel="1">
      <c r="A393" s="597">
        <v>3802</v>
      </c>
      <c r="B393" s="598" t="s">
        <v>530</v>
      </c>
      <c r="C393" s="598">
        <v>1972</v>
      </c>
      <c r="D393" s="599">
        <v>9038.4000000000015</v>
      </c>
      <c r="E393" s="601">
        <f>Input!$C$14-C393+0.5</f>
        <v>50.5</v>
      </c>
      <c r="F393" s="600">
        <f t="shared" si="54"/>
        <v>456439.20000000007</v>
      </c>
      <c r="G393" s="600"/>
      <c r="H393" s="317"/>
      <c r="I393" s="600"/>
      <c r="J393" s="600"/>
      <c r="K393" s="600"/>
      <c r="L393" s="600"/>
      <c r="M393" s="600"/>
      <c r="N393" s="600"/>
      <c r="O393" s="600">
        <f t="shared" si="55"/>
        <v>9038.4000000000015</v>
      </c>
      <c r="P393" s="601">
        <f t="shared" si="56"/>
        <v>50.5</v>
      </c>
      <c r="Q393" s="600">
        <f t="shared" si="57"/>
        <v>456439.20000000007</v>
      </c>
      <c r="R393" s="605"/>
    </row>
    <row r="394" spans="1:18" s="598" customFormat="1" ht="15" outlineLevel="1">
      <c r="A394" s="597">
        <v>3802</v>
      </c>
      <c r="B394" s="598" t="s">
        <v>530</v>
      </c>
      <c r="C394" s="598">
        <v>1973</v>
      </c>
      <c r="D394" s="599">
        <v>14924.41</v>
      </c>
      <c r="E394" s="601">
        <f>Input!$C$14-C394+0.5</f>
        <v>49.5</v>
      </c>
      <c r="F394" s="600">
        <f t="shared" si="54"/>
        <v>738758.29500000004</v>
      </c>
      <c r="G394" s="600"/>
      <c r="H394" s="317"/>
      <c r="I394" s="600"/>
      <c r="J394" s="600"/>
      <c r="K394" s="600"/>
      <c r="L394" s="600"/>
      <c r="M394" s="600"/>
      <c r="N394" s="600"/>
      <c r="O394" s="600">
        <f t="shared" si="55"/>
        <v>14924.41</v>
      </c>
      <c r="P394" s="601">
        <f t="shared" si="56"/>
        <v>49.5</v>
      </c>
      <c r="Q394" s="600">
        <f t="shared" si="57"/>
        <v>738758.29500000004</v>
      </c>
      <c r="R394" s="605"/>
    </row>
    <row r="395" spans="1:18" s="598" customFormat="1" ht="15" outlineLevel="1">
      <c r="A395" s="597">
        <v>3802</v>
      </c>
      <c r="B395" s="598" t="s">
        <v>530</v>
      </c>
      <c r="C395" s="598">
        <v>1974</v>
      </c>
      <c r="D395" s="599">
        <v>28635.75</v>
      </c>
      <c r="E395" s="601">
        <f>Input!$C$14-C395+0.5</f>
        <v>48.5</v>
      </c>
      <c r="F395" s="600">
        <f t="shared" si="54"/>
        <v>1388833.875</v>
      </c>
      <c r="G395" s="600"/>
      <c r="H395" s="317"/>
      <c r="I395" s="600"/>
      <c r="J395" s="600"/>
      <c r="K395" s="600"/>
      <c r="L395" s="600"/>
      <c r="M395" s="600"/>
      <c r="N395" s="600"/>
      <c r="O395" s="600">
        <f t="shared" si="55"/>
        <v>28635.75</v>
      </c>
      <c r="P395" s="601">
        <f t="shared" si="56"/>
        <v>48.5</v>
      </c>
      <c r="Q395" s="600">
        <f t="shared" si="57"/>
        <v>1388833.875</v>
      </c>
      <c r="R395" s="605"/>
    </row>
    <row r="396" spans="1:18" s="598" customFormat="1" ht="15" outlineLevel="1">
      <c r="A396" s="597">
        <v>3802</v>
      </c>
      <c r="B396" s="598" t="s">
        <v>530</v>
      </c>
      <c r="C396" s="598">
        <v>1975</v>
      </c>
      <c r="D396" s="599">
        <v>28172.270000000004</v>
      </c>
      <c r="E396" s="601">
        <f>Input!$C$14-C396+0.5</f>
        <v>47.5</v>
      </c>
      <c r="F396" s="600">
        <f t="shared" si="54"/>
        <v>1338182.8250000002</v>
      </c>
      <c r="G396" s="600"/>
      <c r="H396" s="317"/>
      <c r="I396" s="600"/>
      <c r="J396" s="600"/>
      <c r="K396" s="600"/>
      <c r="L396" s="600"/>
      <c r="M396" s="600"/>
      <c r="N396" s="600"/>
      <c r="O396" s="600">
        <f t="shared" si="55"/>
        <v>28172.270000000004</v>
      </c>
      <c r="P396" s="601">
        <f t="shared" si="56"/>
        <v>47.5</v>
      </c>
      <c r="Q396" s="600">
        <f t="shared" si="57"/>
        <v>1338182.8250000002</v>
      </c>
      <c r="R396" s="605"/>
    </row>
    <row r="397" spans="1:18" s="598" customFormat="1" ht="15" outlineLevel="1">
      <c r="A397" s="597">
        <v>3802</v>
      </c>
      <c r="B397" s="598" t="s">
        <v>530</v>
      </c>
      <c r="C397" s="598">
        <v>1976</v>
      </c>
      <c r="D397" s="599">
        <v>27651.080000000002</v>
      </c>
      <c r="E397" s="601">
        <f>Input!$C$14-C397+0.5</f>
        <v>46.5</v>
      </c>
      <c r="F397" s="600">
        <f t="shared" si="54"/>
        <v>1285775.22</v>
      </c>
      <c r="G397" s="600"/>
      <c r="H397" s="317"/>
      <c r="I397" s="600"/>
      <c r="J397" s="600"/>
      <c r="K397" s="600"/>
      <c r="L397" s="600"/>
      <c r="M397" s="600"/>
      <c r="N397" s="600"/>
      <c r="O397" s="600">
        <f t="shared" si="55"/>
        <v>27651.080000000002</v>
      </c>
      <c r="P397" s="601">
        <f t="shared" si="56"/>
        <v>46.5</v>
      </c>
      <c r="Q397" s="600">
        <f t="shared" si="57"/>
        <v>1285775.22</v>
      </c>
      <c r="R397" s="605"/>
    </row>
    <row r="398" spans="1:18" s="598" customFormat="1" ht="15" outlineLevel="1">
      <c r="A398" s="597">
        <v>3802</v>
      </c>
      <c r="B398" s="598" t="s">
        <v>530</v>
      </c>
      <c r="C398" s="598">
        <v>1977</v>
      </c>
      <c r="D398" s="599">
        <v>24473.66</v>
      </c>
      <c r="E398" s="601">
        <f>Input!$C$14-C398+0.5</f>
        <v>45.5</v>
      </c>
      <c r="F398" s="600">
        <f t="shared" si="54"/>
        <v>1113551.53</v>
      </c>
      <c r="G398" s="600"/>
      <c r="H398" s="317"/>
      <c r="I398" s="600"/>
      <c r="J398" s="600"/>
      <c r="K398" s="600"/>
      <c r="L398" s="600"/>
      <c r="M398" s="600"/>
      <c r="N398" s="600"/>
      <c r="O398" s="600">
        <f t="shared" si="55"/>
        <v>24473.66</v>
      </c>
      <c r="P398" s="601">
        <f t="shared" si="56"/>
        <v>45.5</v>
      </c>
      <c r="Q398" s="600">
        <f t="shared" si="57"/>
        <v>1113551.53</v>
      </c>
      <c r="R398" s="605"/>
    </row>
    <row r="399" spans="1:18" s="598" customFormat="1" ht="15" outlineLevel="1">
      <c r="A399" s="597">
        <v>3802</v>
      </c>
      <c r="B399" s="598" t="s">
        <v>530</v>
      </c>
      <c r="C399" s="598">
        <v>1978</v>
      </c>
      <c r="D399" s="599">
        <v>11358.709999999999</v>
      </c>
      <c r="E399" s="601">
        <f>Input!$C$14-C399+0.5</f>
        <v>44.5</v>
      </c>
      <c r="F399" s="600">
        <f t="shared" si="54"/>
        <v>505462.59499999997</v>
      </c>
      <c r="G399" s="600"/>
      <c r="H399" s="317"/>
      <c r="I399" s="600"/>
      <c r="J399" s="600"/>
      <c r="K399" s="600"/>
      <c r="L399" s="600"/>
      <c r="M399" s="600"/>
      <c r="N399" s="600"/>
      <c r="O399" s="600">
        <f t="shared" si="55"/>
        <v>11358.709999999999</v>
      </c>
      <c r="P399" s="601">
        <f t="shared" si="56"/>
        <v>44.5</v>
      </c>
      <c r="Q399" s="600">
        <f t="shared" si="57"/>
        <v>505462.59499999997</v>
      </c>
      <c r="R399" s="605"/>
    </row>
    <row r="400" spans="1:18" s="598" customFormat="1" ht="15" outlineLevel="1">
      <c r="A400" s="597">
        <v>3802</v>
      </c>
      <c r="B400" s="598" t="s">
        <v>530</v>
      </c>
      <c r="C400" s="598">
        <v>1979</v>
      </c>
      <c r="D400" s="599">
        <v>102733.31000000001</v>
      </c>
      <c r="E400" s="601">
        <f>Input!$C$14-C400+0.5</f>
        <v>43.5</v>
      </c>
      <c r="F400" s="600">
        <f t="shared" si="54"/>
        <v>4468898.9850000003</v>
      </c>
      <c r="G400" s="600"/>
      <c r="H400" s="317"/>
      <c r="I400" s="600"/>
      <c r="J400" s="600"/>
      <c r="K400" s="600"/>
      <c r="L400" s="600"/>
      <c r="M400" s="600"/>
      <c r="N400" s="600"/>
      <c r="O400" s="600">
        <f t="shared" si="55"/>
        <v>102733.31000000001</v>
      </c>
      <c r="P400" s="601">
        <f t="shared" si="56"/>
        <v>43.5</v>
      </c>
      <c r="Q400" s="600">
        <f t="shared" si="57"/>
        <v>4468898.9850000003</v>
      </c>
      <c r="R400" s="605"/>
    </row>
    <row r="401" spans="1:18" s="598" customFormat="1" ht="15" outlineLevel="1">
      <c r="A401" s="597">
        <v>3802</v>
      </c>
      <c r="B401" s="598" t="s">
        <v>530</v>
      </c>
      <c r="C401" s="598">
        <v>1980</v>
      </c>
      <c r="D401" s="599">
        <v>60880.770000000004</v>
      </c>
      <c r="E401" s="601">
        <f>Input!$C$14-C401+0.5</f>
        <v>42.5</v>
      </c>
      <c r="F401" s="600">
        <f t="shared" si="54"/>
        <v>2587432.7250000001</v>
      </c>
      <c r="G401" s="600"/>
      <c r="H401" s="317"/>
      <c r="I401" s="600"/>
      <c r="J401" s="600"/>
      <c r="K401" s="600"/>
      <c r="L401" s="600"/>
      <c r="M401" s="600"/>
      <c r="N401" s="600"/>
      <c r="O401" s="600">
        <f t="shared" si="55"/>
        <v>60880.770000000004</v>
      </c>
      <c r="P401" s="601">
        <f t="shared" si="56"/>
        <v>42.5</v>
      </c>
      <c r="Q401" s="600">
        <f t="shared" si="57"/>
        <v>2587432.7250000001</v>
      </c>
      <c r="R401" s="605"/>
    </row>
    <row r="402" spans="1:18" s="598" customFormat="1" ht="15" outlineLevel="1">
      <c r="A402" s="597">
        <v>3802</v>
      </c>
      <c r="B402" s="598" t="s">
        <v>530</v>
      </c>
      <c r="C402" s="598">
        <v>1981</v>
      </c>
      <c r="D402" s="599">
        <v>13011.029999999999</v>
      </c>
      <c r="E402" s="601">
        <f>Input!$C$14-C402+0.5</f>
        <v>41.5</v>
      </c>
      <c r="F402" s="600">
        <f t="shared" si="54"/>
        <v>539957.745</v>
      </c>
      <c r="G402" s="600"/>
      <c r="H402" s="317"/>
      <c r="I402" s="600"/>
      <c r="J402" s="600"/>
      <c r="K402" s="600"/>
      <c r="L402" s="600"/>
      <c r="M402" s="600"/>
      <c r="N402" s="600"/>
      <c r="O402" s="600">
        <f t="shared" si="55"/>
        <v>13011.029999999999</v>
      </c>
      <c r="P402" s="601">
        <f t="shared" si="56"/>
        <v>41.5</v>
      </c>
      <c r="Q402" s="600">
        <f t="shared" si="57"/>
        <v>539957.745</v>
      </c>
      <c r="R402" s="605"/>
    </row>
    <row r="403" spans="1:18" s="598" customFormat="1" ht="15" outlineLevel="1">
      <c r="A403" s="597">
        <v>3802</v>
      </c>
      <c r="B403" s="598" t="s">
        <v>530</v>
      </c>
      <c r="C403" s="598">
        <v>1982</v>
      </c>
      <c r="D403" s="599">
        <v>51986.760000000002</v>
      </c>
      <c r="E403" s="601">
        <f>Input!$C$14-C403+0.5</f>
        <v>40.5</v>
      </c>
      <c r="F403" s="600">
        <f t="shared" si="54"/>
        <v>2105463.7800000003</v>
      </c>
      <c r="G403" s="600"/>
      <c r="H403" s="317"/>
      <c r="I403" s="600"/>
      <c r="J403" s="600"/>
      <c r="K403" s="600"/>
      <c r="L403" s="600"/>
      <c r="M403" s="600"/>
      <c r="N403" s="600"/>
      <c r="O403" s="600">
        <f t="shared" si="55"/>
        <v>51986.760000000002</v>
      </c>
      <c r="P403" s="601">
        <f t="shared" si="56"/>
        <v>40.5</v>
      </c>
      <c r="Q403" s="600">
        <f t="shared" si="57"/>
        <v>2105463.7800000003</v>
      </c>
      <c r="R403" s="605"/>
    </row>
    <row r="404" spans="1:18" s="598" customFormat="1" ht="15" outlineLevel="1">
      <c r="A404" s="597">
        <v>3802</v>
      </c>
      <c r="B404" s="598" t="s">
        <v>530</v>
      </c>
      <c r="C404" s="598">
        <v>1983</v>
      </c>
      <c r="D404" s="599">
        <v>35609.260000000002</v>
      </c>
      <c r="E404" s="601">
        <f>Input!$C$14-C404+0.5</f>
        <v>39.5</v>
      </c>
      <c r="F404" s="600">
        <f t="shared" si="54"/>
        <v>1406565.77</v>
      </c>
      <c r="G404" s="600"/>
      <c r="H404" s="317"/>
      <c r="I404" s="600"/>
      <c r="J404" s="600"/>
      <c r="K404" s="600"/>
      <c r="L404" s="600"/>
      <c r="M404" s="600"/>
      <c r="N404" s="600"/>
      <c r="O404" s="600">
        <f t="shared" si="55"/>
        <v>35609.260000000002</v>
      </c>
      <c r="P404" s="601">
        <f t="shared" si="56"/>
        <v>39.5</v>
      </c>
      <c r="Q404" s="600">
        <f t="shared" si="57"/>
        <v>1406565.77</v>
      </c>
      <c r="R404" s="605"/>
    </row>
    <row r="405" spans="1:18" s="598" customFormat="1" ht="15" outlineLevel="1">
      <c r="A405" s="597">
        <v>3802</v>
      </c>
      <c r="B405" s="598" t="s">
        <v>530</v>
      </c>
      <c r="C405" s="598">
        <v>1984</v>
      </c>
      <c r="D405" s="599">
        <v>43539.009999999995</v>
      </c>
      <c r="E405" s="601">
        <f>Input!$C$14-C405+0.5</f>
        <v>38.5</v>
      </c>
      <c r="F405" s="600">
        <f t="shared" si="54"/>
        <v>1676251.8849999998</v>
      </c>
      <c r="G405" s="600"/>
      <c r="H405" s="317"/>
      <c r="I405" s="600"/>
      <c r="J405" s="600"/>
      <c r="K405" s="600"/>
      <c r="L405" s="600"/>
      <c r="M405" s="600"/>
      <c r="N405" s="600"/>
      <c r="O405" s="600">
        <f t="shared" si="55"/>
        <v>43539.009999999995</v>
      </c>
      <c r="P405" s="601">
        <f t="shared" si="56"/>
        <v>38.5</v>
      </c>
      <c r="Q405" s="600">
        <f t="shared" si="57"/>
        <v>1676251.8849999998</v>
      </c>
      <c r="R405" s="605"/>
    </row>
    <row r="406" spans="1:18" s="598" customFormat="1" ht="15" outlineLevel="1">
      <c r="A406" s="597">
        <v>3802</v>
      </c>
      <c r="B406" s="598" t="s">
        <v>530</v>
      </c>
      <c r="C406" s="598">
        <v>1985</v>
      </c>
      <c r="D406" s="599">
        <v>14776.42</v>
      </c>
      <c r="E406" s="601">
        <f>Input!$C$14-C406+0.5</f>
        <v>37.5</v>
      </c>
      <c r="F406" s="600">
        <f t="shared" si="54"/>
        <v>554115.75</v>
      </c>
      <c r="G406" s="600"/>
      <c r="H406" s="317"/>
      <c r="I406" s="600"/>
      <c r="J406" s="600"/>
      <c r="K406" s="600"/>
      <c r="L406" s="600"/>
      <c r="M406" s="600"/>
      <c r="N406" s="600"/>
      <c r="O406" s="600">
        <f t="shared" si="55"/>
        <v>14776.42</v>
      </c>
      <c r="P406" s="601">
        <f t="shared" si="56"/>
        <v>37.5</v>
      </c>
      <c r="Q406" s="600">
        <f t="shared" si="57"/>
        <v>554115.75</v>
      </c>
      <c r="R406" s="605"/>
    </row>
    <row r="407" spans="1:18" s="598" customFormat="1" ht="15" outlineLevel="1">
      <c r="A407" s="597">
        <v>3802</v>
      </c>
      <c r="B407" s="598" t="s">
        <v>530</v>
      </c>
      <c r="C407" s="598">
        <v>1986</v>
      </c>
      <c r="D407" s="599">
        <v>5446.6400000000003</v>
      </c>
      <c r="E407" s="601">
        <f>Input!$C$14-C407+0.5</f>
        <v>36.5</v>
      </c>
      <c r="F407" s="600">
        <f t="shared" si="54"/>
        <v>198802.36000000002</v>
      </c>
      <c r="G407" s="600"/>
      <c r="H407" s="317"/>
      <c r="I407" s="600"/>
      <c r="J407" s="600"/>
      <c r="K407" s="600"/>
      <c r="L407" s="600"/>
      <c r="M407" s="600"/>
      <c r="N407" s="600"/>
      <c r="O407" s="600">
        <f t="shared" si="55"/>
        <v>5446.6400000000003</v>
      </c>
      <c r="P407" s="601">
        <f t="shared" si="56"/>
        <v>36.5</v>
      </c>
      <c r="Q407" s="600">
        <f t="shared" si="57"/>
        <v>198802.36000000002</v>
      </c>
      <c r="R407" s="605"/>
    </row>
    <row r="408" spans="1:18" s="598" customFormat="1" ht="15" outlineLevel="1">
      <c r="A408" s="597">
        <v>3802</v>
      </c>
      <c r="B408" s="598" t="s">
        <v>530</v>
      </c>
      <c r="C408" s="598">
        <v>1987</v>
      </c>
      <c r="D408" s="599">
        <v>24122.400000000001</v>
      </c>
      <c r="E408" s="601">
        <f>Input!$C$14-C408+0.5</f>
        <v>35.5</v>
      </c>
      <c r="F408" s="600">
        <f t="shared" si="54"/>
        <v>856345.20000000007</v>
      </c>
      <c r="G408" s="600"/>
      <c r="H408" s="317"/>
      <c r="I408" s="600"/>
      <c r="J408" s="600"/>
      <c r="K408" s="600"/>
      <c r="L408" s="600"/>
      <c r="M408" s="600"/>
      <c r="N408" s="600"/>
      <c r="O408" s="600">
        <f t="shared" si="55"/>
        <v>24122.400000000001</v>
      </c>
      <c r="P408" s="601">
        <f t="shared" si="56"/>
        <v>35.5</v>
      </c>
      <c r="Q408" s="600">
        <f t="shared" si="57"/>
        <v>856345.20000000007</v>
      </c>
      <c r="R408" s="605"/>
    </row>
    <row r="409" spans="1:18" s="598" customFormat="1" ht="15" outlineLevel="1">
      <c r="A409" s="597">
        <v>3802</v>
      </c>
      <c r="B409" s="598" t="s">
        <v>530</v>
      </c>
      <c r="C409" s="598">
        <v>1988</v>
      </c>
      <c r="D409" s="599">
        <f>6272.61+9021.6</f>
        <v>15294.209999999999</v>
      </c>
      <c r="E409" s="601">
        <f>Input!$C$14-C409+0.5</f>
        <v>34.5</v>
      </c>
      <c r="F409" s="600">
        <f t="shared" si="54"/>
        <v>527650.245</v>
      </c>
      <c r="G409" s="600"/>
      <c r="H409" s="317"/>
      <c r="I409" s="600"/>
      <c r="J409" s="600"/>
      <c r="K409" s="600"/>
      <c r="L409" s="600"/>
      <c r="M409" s="600"/>
      <c r="N409" s="600"/>
      <c r="O409" s="600">
        <f t="shared" si="55"/>
        <v>15294.209999999999</v>
      </c>
      <c r="P409" s="601">
        <f t="shared" si="56"/>
        <v>34.5</v>
      </c>
      <c r="Q409" s="600">
        <f t="shared" si="57"/>
        <v>527650.245</v>
      </c>
      <c r="R409" s="605"/>
    </row>
    <row r="410" spans="1:18" s="598" customFormat="1" ht="15" outlineLevel="1">
      <c r="A410" s="597">
        <v>3802</v>
      </c>
      <c r="B410" s="598" t="s">
        <v>530</v>
      </c>
      <c r="C410" s="598">
        <v>1989</v>
      </c>
      <c r="D410" s="599">
        <f>734.33+1854.61</f>
        <v>2588.9400000000001</v>
      </c>
      <c r="E410" s="601">
        <f>Input!$C$14-C410+0.5</f>
        <v>33.5</v>
      </c>
      <c r="F410" s="600">
        <f t="shared" si="54"/>
        <v>86729.490000000005</v>
      </c>
      <c r="G410" s="600"/>
      <c r="H410" s="317"/>
      <c r="I410" s="600"/>
      <c r="J410" s="600"/>
      <c r="K410" s="600"/>
      <c r="L410" s="600"/>
      <c r="M410" s="600"/>
      <c r="N410" s="600"/>
      <c r="O410" s="600">
        <f t="shared" si="55"/>
        <v>2588.9400000000001</v>
      </c>
      <c r="P410" s="601">
        <f t="shared" si="56"/>
        <v>33.5</v>
      </c>
      <c r="Q410" s="600">
        <f t="shared" si="57"/>
        <v>86729.490000000005</v>
      </c>
      <c r="R410" s="605"/>
    </row>
    <row r="411" spans="1:18" s="598" customFormat="1" ht="15" outlineLevel="1">
      <c r="A411" s="597">
        <v>3802</v>
      </c>
      <c r="B411" s="598" t="s">
        <v>530</v>
      </c>
      <c r="C411" s="598">
        <v>1990</v>
      </c>
      <c r="D411" s="599">
        <f>24906.22+3174.86</f>
        <v>28081.080000000002</v>
      </c>
      <c r="E411" s="601">
        <f>Input!$C$14-C411+0.5</f>
        <v>32.5</v>
      </c>
      <c r="F411" s="600">
        <f t="shared" si="54"/>
        <v>912635.10000000009</v>
      </c>
      <c r="G411" s="600"/>
      <c r="H411" s="317"/>
      <c r="I411" s="600"/>
      <c r="J411" s="600"/>
      <c r="K411" s="600"/>
      <c r="L411" s="600"/>
      <c r="M411" s="600"/>
      <c r="N411" s="600"/>
      <c r="O411" s="600">
        <f t="shared" si="55"/>
        <v>28081.080000000002</v>
      </c>
      <c r="P411" s="601">
        <f t="shared" si="56"/>
        <v>32.5</v>
      </c>
      <c r="Q411" s="600">
        <f t="shared" si="57"/>
        <v>912635.10000000009</v>
      </c>
      <c r="R411" s="605"/>
    </row>
    <row r="412" spans="1:18" s="598" customFormat="1" ht="15" outlineLevel="1">
      <c r="A412" s="597">
        <v>3802</v>
      </c>
      <c r="B412" s="598" t="s">
        <v>530</v>
      </c>
      <c r="C412" s="598">
        <v>1991</v>
      </c>
      <c r="D412" s="599">
        <f>136.89+1512.69</f>
        <v>1649.5799999999999</v>
      </c>
      <c r="E412" s="601">
        <f>Input!$C$14-C412+0.5</f>
        <v>31.5</v>
      </c>
      <c r="F412" s="600">
        <f t="shared" si="54"/>
        <v>51961.769999999997</v>
      </c>
      <c r="G412" s="600"/>
      <c r="H412" s="317"/>
      <c r="I412" s="600"/>
      <c r="J412" s="600"/>
      <c r="K412" s="600"/>
      <c r="L412" s="600"/>
      <c r="M412" s="600"/>
      <c r="N412" s="600"/>
      <c r="O412" s="600">
        <f t="shared" si="55"/>
        <v>1649.5799999999999</v>
      </c>
      <c r="P412" s="601">
        <f t="shared" si="56"/>
        <v>31.5</v>
      </c>
      <c r="Q412" s="600">
        <f t="shared" si="57"/>
        <v>51961.769999999997</v>
      </c>
      <c r="R412" s="605"/>
    </row>
    <row r="413" spans="1:18" s="598" customFormat="1" ht="15" outlineLevel="1">
      <c r="A413" s="597">
        <v>3802</v>
      </c>
      <c r="B413" s="598" t="s">
        <v>530</v>
      </c>
      <c r="C413" s="598">
        <v>1992</v>
      </c>
      <c r="D413" s="599">
        <v>296479.26999999996</v>
      </c>
      <c r="E413" s="601">
        <f>Input!$C$14-C413+0.5</f>
        <v>30.5</v>
      </c>
      <c r="F413" s="600">
        <f t="shared" si="54"/>
        <v>9042617.7349999994</v>
      </c>
      <c r="G413" s="600"/>
      <c r="H413" s="317"/>
      <c r="I413" s="600"/>
      <c r="J413" s="600"/>
      <c r="K413" s="600"/>
      <c r="L413" s="600"/>
      <c r="M413" s="600"/>
      <c r="N413" s="600"/>
      <c r="O413" s="600">
        <f t="shared" si="55"/>
        <v>296479.26999999996</v>
      </c>
      <c r="P413" s="601">
        <f t="shared" si="56"/>
        <v>30.5</v>
      </c>
      <c r="Q413" s="600">
        <f t="shared" si="57"/>
        <v>9042617.7349999994</v>
      </c>
      <c r="R413" s="605"/>
    </row>
    <row r="414" spans="1:18" s="598" customFormat="1" ht="15" outlineLevel="1">
      <c r="A414" s="597">
        <v>3802</v>
      </c>
      <c r="B414" s="598" t="s">
        <v>530</v>
      </c>
      <c r="C414" s="598">
        <v>1993</v>
      </c>
      <c r="D414" s="599">
        <v>0</v>
      </c>
      <c r="E414" s="601">
        <f>Input!$C$14-C414+0.5</f>
        <v>29.5</v>
      </c>
      <c r="F414" s="600">
        <f t="shared" si="54"/>
        <v>0</v>
      </c>
      <c r="G414" s="600"/>
      <c r="H414" s="317"/>
      <c r="I414" s="600"/>
      <c r="J414" s="600"/>
      <c r="K414" s="600"/>
      <c r="L414" s="600"/>
      <c r="M414" s="600"/>
      <c r="N414" s="600"/>
      <c r="O414" s="600">
        <f t="shared" si="55"/>
        <v>0</v>
      </c>
      <c r="P414" s="601">
        <f t="shared" si="56"/>
        <v>29.5</v>
      </c>
      <c r="Q414" s="600">
        <f t="shared" si="57"/>
        <v>0</v>
      </c>
      <c r="R414" s="605"/>
    </row>
    <row r="415" spans="1:18" s="598" customFormat="1" ht="15" outlineLevel="1">
      <c r="A415" s="597">
        <v>3802</v>
      </c>
      <c r="B415" s="598" t="s">
        <v>530</v>
      </c>
      <c r="C415" s="598">
        <v>1994</v>
      </c>
      <c r="D415" s="599">
        <f>0+9340.5</f>
        <v>9340.5</v>
      </c>
      <c r="E415" s="601">
        <f>Input!$C$14-C415+0.5</f>
        <v>28.5</v>
      </c>
      <c r="F415" s="600">
        <f t="shared" si="54"/>
        <v>266204.25</v>
      </c>
      <c r="G415" s="600"/>
      <c r="H415" s="317"/>
      <c r="I415" s="600"/>
      <c r="J415" s="600"/>
      <c r="K415" s="600"/>
      <c r="L415" s="600"/>
      <c r="M415" s="600"/>
      <c r="N415" s="600"/>
      <c r="O415" s="600">
        <f t="shared" si="55"/>
        <v>9340.5</v>
      </c>
      <c r="P415" s="601">
        <f t="shared" si="56"/>
        <v>28.5</v>
      </c>
      <c r="Q415" s="600">
        <f t="shared" si="57"/>
        <v>266204.25</v>
      </c>
      <c r="R415" s="605"/>
    </row>
    <row r="416" spans="1:18" s="598" customFormat="1" ht="15" outlineLevel="1">
      <c r="A416" s="597">
        <v>3802</v>
      </c>
      <c r="B416" s="598" t="s">
        <v>530</v>
      </c>
      <c r="C416" s="598">
        <v>1995</v>
      </c>
      <c r="D416" s="599">
        <v>6732.5699999999997</v>
      </c>
      <c r="E416" s="601">
        <f>Input!$C$14-C416+0.5</f>
        <v>27.5</v>
      </c>
      <c r="F416" s="600">
        <f>D416*E416</f>
        <v>185145.67499999999</v>
      </c>
      <c r="G416" s="600"/>
      <c r="H416" s="317"/>
      <c r="I416" s="600"/>
      <c r="J416" s="600"/>
      <c r="K416" s="600"/>
      <c r="L416" s="600"/>
      <c r="M416" s="600"/>
      <c r="N416" s="600"/>
      <c r="O416" s="600">
        <f t="shared" si="55"/>
        <v>6732.5699999999997</v>
      </c>
      <c r="P416" s="601">
        <f>E416</f>
        <v>27.5</v>
      </c>
      <c r="Q416" s="600">
        <f>O416*P416</f>
        <v>185145.67499999999</v>
      </c>
      <c r="R416" s="605"/>
    </row>
    <row r="417" spans="1:18" s="598" customFormat="1" ht="15" outlineLevel="1">
      <c r="A417" s="597">
        <v>3802</v>
      </c>
      <c r="B417" s="598" t="s">
        <v>530</v>
      </c>
      <c r="C417" s="598">
        <v>1996</v>
      </c>
      <c r="D417" s="599">
        <v>-860.25</v>
      </c>
      <c r="E417" s="601">
        <f>Input!$C$14-C417+0.5</f>
        <v>26.5</v>
      </c>
      <c r="F417" s="600">
        <f t="shared" si="54"/>
        <v>-22796.625</v>
      </c>
      <c r="G417" s="600"/>
      <c r="H417" s="317"/>
      <c r="I417" s="600">
        <v>860.25</v>
      </c>
      <c r="J417" s="600"/>
      <c r="K417" s="600"/>
      <c r="L417" s="600"/>
      <c r="M417" s="600"/>
      <c r="N417" s="600"/>
      <c r="O417" s="600">
        <f t="shared" si="55"/>
        <v>0</v>
      </c>
      <c r="P417" s="601">
        <f t="shared" si="56"/>
        <v>26.5</v>
      </c>
      <c r="Q417" s="600">
        <f t="shared" si="57"/>
        <v>0</v>
      </c>
      <c r="R417" s="605"/>
    </row>
    <row r="418" spans="1:18" s="598" customFormat="1" ht="15" outlineLevel="1">
      <c r="A418" s="597">
        <v>3802</v>
      </c>
      <c r="B418" s="598" t="s">
        <v>530</v>
      </c>
      <c r="C418" s="598">
        <v>1997</v>
      </c>
      <c r="D418" s="599">
        <v>-4125.2799999999997</v>
      </c>
      <c r="E418" s="601">
        <f>Input!$C$14-C418+0.5</f>
        <v>25.5</v>
      </c>
      <c r="F418" s="600">
        <f t="shared" si="54"/>
        <v>-105194.64</v>
      </c>
      <c r="G418" s="600"/>
      <c r="H418" s="317"/>
      <c r="I418" s="600">
        <v>4125.2799999999997</v>
      </c>
      <c r="J418" s="600"/>
      <c r="K418" s="600"/>
      <c r="L418" s="600"/>
      <c r="M418" s="600"/>
      <c r="N418" s="600"/>
      <c r="O418" s="600">
        <f t="shared" si="55"/>
        <v>0</v>
      </c>
      <c r="P418" s="601">
        <f t="shared" si="56"/>
        <v>25.5</v>
      </c>
      <c r="Q418" s="600">
        <f t="shared" si="57"/>
        <v>0</v>
      </c>
      <c r="R418" s="605"/>
    </row>
    <row r="419" spans="1:18" s="598" customFormat="1" ht="15" outlineLevel="1">
      <c r="A419" s="597">
        <v>3802</v>
      </c>
      <c r="B419" s="598" t="s">
        <v>530</v>
      </c>
      <c r="C419" s="598">
        <v>1998</v>
      </c>
      <c r="D419" s="599">
        <v>-27</v>
      </c>
      <c r="E419" s="601">
        <f>Input!$C$14-C419+0.5</f>
        <v>24.5</v>
      </c>
      <c r="F419" s="600">
        <f t="shared" si="54"/>
        <v>-661.5</v>
      </c>
      <c r="G419" s="600"/>
      <c r="H419" s="317"/>
      <c r="I419" s="600">
        <v>27</v>
      </c>
      <c r="J419" s="600"/>
      <c r="K419" s="600"/>
      <c r="L419" s="600"/>
      <c r="M419" s="600"/>
      <c r="N419" s="600"/>
      <c r="O419" s="600">
        <f t="shared" si="55"/>
        <v>0</v>
      </c>
      <c r="P419" s="601">
        <f t="shared" si="56"/>
        <v>24.5</v>
      </c>
      <c r="Q419" s="600">
        <f t="shared" si="57"/>
        <v>0</v>
      </c>
      <c r="R419" s="605"/>
    </row>
    <row r="420" spans="1:18" s="598" customFormat="1" ht="15" outlineLevel="1">
      <c r="A420" s="597">
        <v>3802</v>
      </c>
      <c r="B420" s="598" t="s">
        <v>530</v>
      </c>
      <c r="C420" s="598">
        <v>1999</v>
      </c>
      <c r="D420" s="599">
        <f>3092.96+656.43</f>
        <v>3749.3899999999999</v>
      </c>
      <c r="E420" s="601">
        <f>Input!$C$14-C420+0.5</f>
        <v>23.5</v>
      </c>
      <c r="F420" s="600">
        <f t="shared" si="54"/>
        <v>88110.664999999994</v>
      </c>
      <c r="G420" s="600"/>
      <c r="H420" s="317"/>
      <c r="I420" s="600"/>
      <c r="J420" s="600"/>
      <c r="K420" s="600"/>
      <c r="L420" s="600"/>
      <c r="M420" s="600"/>
      <c r="N420" s="600"/>
      <c r="O420" s="600">
        <f t="shared" si="55"/>
        <v>3749.3899999999999</v>
      </c>
      <c r="P420" s="601">
        <f t="shared" si="56"/>
        <v>23.5</v>
      </c>
      <c r="Q420" s="600">
        <f t="shared" si="57"/>
        <v>88110.664999999994</v>
      </c>
      <c r="R420" s="605"/>
    </row>
    <row r="421" spans="1:18" s="598" customFormat="1" ht="15" outlineLevel="1">
      <c r="A421" s="597">
        <v>3802</v>
      </c>
      <c r="B421" s="598" t="s">
        <v>530</v>
      </c>
      <c r="C421" s="598">
        <v>2000</v>
      </c>
      <c r="D421" s="599">
        <v>21438.259999999998</v>
      </c>
      <c r="E421" s="601">
        <f>Input!$C$14-C421+0.5</f>
        <v>22.5</v>
      </c>
      <c r="F421" s="600">
        <f t="shared" si="54"/>
        <v>482360.84999999998</v>
      </c>
      <c r="G421" s="600"/>
      <c r="H421" s="317"/>
      <c r="I421" s="600"/>
      <c r="J421" s="600"/>
      <c r="K421" s="600"/>
      <c r="L421" s="600"/>
      <c r="M421" s="600"/>
      <c r="N421" s="600"/>
      <c r="O421" s="600">
        <f t="shared" si="55"/>
        <v>21438.259999999998</v>
      </c>
      <c r="P421" s="601">
        <f t="shared" si="56"/>
        <v>22.5</v>
      </c>
      <c r="Q421" s="600">
        <f t="shared" si="57"/>
        <v>482360.84999999998</v>
      </c>
      <c r="R421" s="605"/>
    </row>
    <row r="422" spans="1:18" s="598" customFormat="1" ht="15" outlineLevel="1">
      <c r="A422" s="597">
        <v>3802</v>
      </c>
      <c r="B422" s="598" t="s">
        <v>530</v>
      </c>
      <c r="C422" s="598">
        <v>2001</v>
      </c>
      <c r="D422" s="599">
        <f>321270.28+1043.97</f>
        <v>322314.25</v>
      </c>
      <c r="E422" s="601">
        <f>Input!$C$14-C422+0.5</f>
        <v>21.5</v>
      </c>
      <c r="F422" s="600">
        <f t="shared" si="54"/>
        <v>6929756.375</v>
      </c>
      <c r="G422" s="600"/>
      <c r="H422" s="317"/>
      <c r="I422" s="600"/>
      <c r="J422" s="600"/>
      <c r="K422" s="600"/>
      <c r="L422" s="600"/>
      <c r="M422" s="600"/>
      <c r="N422" s="600"/>
      <c r="O422" s="600">
        <f t="shared" si="55"/>
        <v>322314.25</v>
      </c>
      <c r="P422" s="601">
        <f t="shared" si="56"/>
        <v>21.5</v>
      </c>
      <c r="Q422" s="600">
        <f t="shared" si="57"/>
        <v>6929756.375</v>
      </c>
      <c r="R422" s="605"/>
    </row>
    <row r="423" spans="1:18" s="598" customFormat="1" ht="15" outlineLevel="1">
      <c r="A423" s="597">
        <v>3802</v>
      </c>
      <c r="B423" s="598" t="s">
        <v>530</v>
      </c>
      <c r="C423" s="598">
        <v>2002</v>
      </c>
      <c r="D423" s="599">
        <f>1597.6+1234.94</f>
        <v>2832.54</v>
      </c>
      <c r="E423" s="601">
        <f>Input!$C$14-C423+0.5</f>
        <v>20.5</v>
      </c>
      <c r="F423" s="600">
        <f t="shared" si="54"/>
        <v>58067.07</v>
      </c>
      <c r="G423" s="600"/>
      <c r="H423" s="317"/>
      <c r="I423" s="600"/>
      <c r="J423" s="600"/>
      <c r="K423" s="600"/>
      <c r="L423" s="600"/>
      <c r="M423" s="600"/>
      <c r="N423" s="600"/>
      <c r="O423" s="600">
        <f t="shared" si="55"/>
        <v>2832.54</v>
      </c>
      <c r="P423" s="601">
        <f t="shared" si="56"/>
        <v>20.5</v>
      </c>
      <c r="Q423" s="600">
        <f t="shared" si="57"/>
        <v>58067.07</v>
      </c>
      <c r="R423" s="605"/>
    </row>
    <row r="424" spans="1:18" s="598" customFormat="1" ht="15" outlineLevel="1">
      <c r="A424" s="597">
        <v>3802</v>
      </c>
      <c r="B424" s="598" t="s">
        <v>530</v>
      </c>
      <c r="C424" s="598">
        <v>2003</v>
      </c>
      <c r="D424" s="599">
        <f>17087.13+2742.56</f>
        <v>19829.690000000002</v>
      </c>
      <c r="E424" s="601">
        <f>Input!$C$14-C424+0.5</f>
        <v>19.5</v>
      </c>
      <c r="F424" s="600">
        <f t="shared" si="54"/>
        <v>386678.95500000007</v>
      </c>
      <c r="G424" s="600"/>
      <c r="H424" s="317"/>
      <c r="I424" s="600"/>
      <c r="J424" s="600"/>
      <c r="K424" s="600"/>
      <c r="L424" s="600"/>
      <c r="M424" s="600"/>
      <c r="N424" s="600"/>
      <c r="O424" s="600">
        <f t="shared" si="55"/>
        <v>19829.690000000002</v>
      </c>
      <c r="P424" s="601">
        <f t="shared" si="56"/>
        <v>19.5</v>
      </c>
      <c r="Q424" s="600">
        <f t="shared" si="57"/>
        <v>386678.95500000007</v>
      </c>
      <c r="R424" s="605"/>
    </row>
    <row r="425" spans="1:18" s="598" customFormat="1" ht="15" outlineLevel="1">
      <c r="A425" s="597">
        <v>3802</v>
      </c>
      <c r="B425" s="598" t="s">
        <v>530</v>
      </c>
      <c r="C425" s="598">
        <v>2004</v>
      </c>
      <c r="D425" s="599">
        <f>4187.68+600</f>
        <v>4787.6800000000003</v>
      </c>
      <c r="E425" s="601">
        <f>Input!$C$14-C425+0.5</f>
        <v>18.5</v>
      </c>
      <c r="F425" s="600">
        <f t="shared" si="54"/>
        <v>88572.080000000002</v>
      </c>
      <c r="G425" s="600"/>
      <c r="H425" s="317"/>
      <c r="I425" s="600"/>
      <c r="J425" s="600"/>
      <c r="K425" s="600"/>
      <c r="L425" s="600"/>
      <c r="M425" s="600"/>
      <c r="N425" s="600"/>
      <c r="O425" s="600">
        <f t="shared" si="55"/>
        <v>4787.6800000000003</v>
      </c>
      <c r="P425" s="601">
        <f t="shared" si="56"/>
        <v>18.5</v>
      </c>
      <c r="Q425" s="600">
        <f t="shared" si="57"/>
        <v>88572.080000000002</v>
      </c>
      <c r="R425" s="605"/>
    </row>
    <row r="426" spans="1:18" s="598" customFormat="1" ht="15" outlineLevel="1">
      <c r="A426" s="597">
        <v>3802</v>
      </c>
      <c r="B426" s="598" t="s">
        <v>530</v>
      </c>
      <c r="C426" s="598">
        <v>2005</v>
      </c>
      <c r="D426" s="599">
        <f>4204.8+2018.56</f>
        <v>6223.3600000000006</v>
      </c>
      <c r="E426" s="601">
        <f>Input!$C$14-C426+0.5</f>
        <v>17.5</v>
      </c>
      <c r="F426" s="600">
        <f t="shared" si="54"/>
        <v>108908.80000000002</v>
      </c>
      <c r="G426" s="600"/>
      <c r="H426" s="317"/>
      <c r="I426" s="600"/>
      <c r="J426" s="600"/>
      <c r="K426" s="600"/>
      <c r="L426" s="600"/>
      <c r="M426" s="600"/>
      <c r="N426" s="600"/>
      <c r="O426" s="600">
        <f t="shared" si="58" ref="O426:O439">SUM(D426,I426:N426)</f>
        <v>6223.3600000000006</v>
      </c>
      <c r="P426" s="601">
        <f t="shared" si="56"/>
        <v>17.5</v>
      </c>
      <c r="Q426" s="600">
        <f t="shared" si="57"/>
        <v>108908.80000000002</v>
      </c>
      <c r="R426" s="605"/>
    </row>
    <row r="427" spans="1:18" s="598" customFormat="1" ht="15" outlineLevel="1">
      <c r="A427" s="597">
        <v>3802</v>
      </c>
      <c r="B427" s="598" t="s">
        <v>530</v>
      </c>
      <c r="C427" s="598">
        <v>2006</v>
      </c>
      <c r="D427" s="599">
        <f>1827.7+671.26</f>
        <v>2498.96</v>
      </c>
      <c r="E427" s="601">
        <f>Input!$C$14-C427+0.5</f>
        <v>16.5</v>
      </c>
      <c r="F427" s="600">
        <f t="shared" si="59" ref="F427:F439">D427*E427</f>
        <v>41232.840000000004</v>
      </c>
      <c r="G427" s="600"/>
      <c r="H427" s="317"/>
      <c r="I427" s="600"/>
      <c r="J427" s="600"/>
      <c r="K427" s="600"/>
      <c r="L427" s="600"/>
      <c r="M427" s="600"/>
      <c r="N427" s="600"/>
      <c r="O427" s="600">
        <f t="shared" si="58"/>
        <v>2498.96</v>
      </c>
      <c r="P427" s="601">
        <f t="shared" si="56"/>
        <v>16.5</v>
      </c>
      <c r="Q427" s="600">
        <f t="shared" si="57"/>
        <v>41232.840000000004</v>
      </c>
      <c r="R427" s="605"/>
    </row>
    <row r="428" spans="1:18" s="598" customFormat="1" ht="15" outlineLevel="1">
      <c r="A428" s="597">
        <v>3802</v>
      </c>
      <c r="B428" s="598" t="s">
        <v>530</v>
      </c>
      <c r="C428" s="598">
        <v>2007</v>
      </c>
      <c r="D428" s="599">
        <f>1929.15+274.8</f>
        <v>2203.9500000000003</v>
      </c>
      <c r="E428" s="601">
        <f>Input!$C$14-C428+0.5</f>
        <v>15.5</v>
      </c>
      <c r="F428" s="600">
        <f t="shared" si="59"/>
        <v>34161.225000000006</v>
      </c>
      <c r="G428" s="600"/>
      <c r="H428" s="317"/>
      <c r="I428" s="600"/>
      <c r="J428" s="600"/>
      <c r="K428" s="600"/>
      <c r="L428" s="600"/>
      <c r="M428" s="600"/>
      <c r="N428" s="600"/>
      <c r="O428" s="600">
        <f t="shared" si="58"/>
        <v>2203.9500000000003</v>
      </c>
      <c r="P428" s="601">
        <f t="shared" si="56"/>
        <v>15.5</v>
      </c>
      <c r="Q428" s="600">
        <f t="shared" si="57"/>
        <v>34161.225000000006</v>
      </c>
      <c r="R428" s="605"/>
    </row>
    <row r="429" spans="1:18" s="598" customFormat="1" ht="15" outlineLevel="1">
      <c r="A429" s="597">
        <v>3802</v>
      </c>
      <c r="B429" s="598" t="s">
        <v>530</v>
      </c>
      <c r="C429" s="598">
        <v>2008</v>
      </c>
      <c r="D429" s="599">
        <f>700.2+2485.69</f>
        <v>3185.8900000000003</v>
      </c>
      <c r="E429" s="601">
        <f>Input!$C$14-C429+0.5</f>
        <v>14.5</v>
      </c>
      <c r="F429" s="600">
        <f t="shared" si="59"/>
        <v>46195.405000000006</v>
      </c>
      <c r="G429" s="600"/>
      <c r="H429" s="317"/>
      <c r="I429" s="600"/>
      <c r="J429" s="600"/>
      <c r="K429" s="600"/>
      <c r="L429" s="600"/>
      <c r="M429" s="600"/>
      <c r="N429" s="600"/>
      <c r="O429" s="600">
        <f t="shared" si="58"/>
        <v>3185.8900000000003</v>
      </c>
      <c r="P429" s="601">
        <f t="shared" si="56"/>
        <v>14.5</v>
      </c>
      <c r="Q429" s="600">
        <f t="shared" si="57"/>
        <v>46195.405000000006</v>
      </c>
      <c r="R429" s="605"/>
    </row>
    <row r="430" spans="1:18" s="598" customFormat="1" ht="15" outlineLevel="1">
      <c r="A430" s="597">
        <v>3802</v>
      </c>
      <c r="B430" s="598" t="s">
        <v>530</v>
      </c>
      <c r="C430" s="598">
        <v>2009</v>
      </c>
      <c r="D430" s="599">
        <v>56201.570000000007</v>
      </c>
      <c r="E430" s="601">
        <f>Input!$C$14-C430+0.5</f>
        <v>13.5</v>
      </c>
      <c r="F430" s="600">
        <f t="shared" si="59"/>
        <v>758721.19500000007</v>
      </c>
      <c r="G430" s="600"/>
      <c r="H430" s="317"/>
      <c r="I430" s="600"/>
      <c r="J430" s="600"/>
      <c r="K430" s="600"/>
      <c r="L430" s="600"/>
      <c r="M430" s="600"/>
      <c r="N430" s="600"/>
      <c r="O430" s="600">
        <f t="shared" si="58"/>
        <v>56201.570000000007</v>
      </c>
      <c r="P430" s="601">
        <f t="shared" si="56"/>
        <v>13.5</v>
      </c>
      <c r="Q430" s="600">
        <f t="shared" si="57"/>
        <v>758721.19500000007</v>
      </c>
      <c r="R430" s="605"/>
    </row>
    <row r="431" spans="1:18" s="598" customFormat="1" ht="15" outlineLevel="1">
      <c r="A431" s="597">
        <v>3802</v>
      </c>
      <c r="B431" s="598" t="s">
        <v>530</v>
      </c>
      <c r="C431" s="598">
        <v>2010</v>
      </c>
      <c r="D431" s="599">
        <f>22154.19+3531.96</f>
        <v>25686.149999999998</v>
      </c>
      <c r="E431" s="601">
        <f>Input!$C$14-C431+0.5</f>
        <v>12.5</v>
      </c>
      <c r="F431" s="600">
        <f t="shared" si="59"/>
        <v>321076.875</v>
      </c>
      <c r="G431" s="600"/>
      <c r="H431" s="317"/>
      <c r="I431" s="600"/>
      <c r="J431" s="600"/>
      <c r="K431" s="600"/>
      <c r="L431" s="600"/>
      <c r="M431" s="600"/>
      <c r="N431" s="600"/>
      <c r="O431" s="600">
        <f t="shared" si="58"/>
        <v>25686.149999999998</v>
      </c>
      <c r="P431" s="601">
        <f t="shared" si="56"/>
        <v>12.5</v>
      </c>
      <c r="Q431" s="600">
        <f t="shared" si="57"/>
        <v>321076.875</v>
      </c>
      <c r="R431" s="605"/>
    </row>
    <row r="432" spans="1:18" s="598" customFormat="1" ht="15" outlineLevel="1">
      <c r="A432" s="597">
        <v>3802</v>
      </c>
      <c r="B432" s="598" t="s">
        <v>530</v>
      </c>
      <c r="C432" s="598">
        <v>2011</v>
      </c>
      <c r="D432" s="599">
        <v>-106544.47</v>
      </c>
      <c r="E432" s="601">
        <f>Input!$C$14-C432+0.5</f>
        <v>11.5</v>
      </c>
      <c r="F432" s="600">
        <f t="shared" si="59"/>
        <v>-1225261.405</v>
      </c>
      <c r="G432" s="600"/>
      <c r="H432" s="317"/>
      <c r="I432" s="600">
        <v>106544.47</v>
      </c>
      <c r="J432" s="600"/>
      <c r="K432" s="600"/>
      <c r="L432" s="600"/>
      <c r="M432" s="600"/>
      <c r="N432" s="600"/>
      <c r="O432" s="600">
        <f t="shared" si="58"/>
        <v>0</v>
      </c>
      <c r="P432" s="601">
        <f t="shared" si="56"/>
        <v>11.5</v>
      </c>
      <c r="Q432" s="600">
        <f t="shared" si="57"/>
        <v>0</v>
      </c>
      <c r="R432" s="605"/>
    </row>
    <row r="433" spans="1:18" s="598" customFormat="1" ht="15" outlineLevel="1">
      <c r="A433" s="597">
        <v>3802</v>
      </c>
      <c r="B433" s="598" t="s">
        <v>530</v>
      </c>
      <c r="C433" s="598">
        <v>2012</v>
      </c>
      <c r="D433" s="600">
        <v>-1359.3099999999999</v>
      </c>
      <c r="E433" s="601">
        <f>Input!$C$14-C433+0.5</f>
        <v>10.5</v>
      </c>
      <c r="F433" s="600">
        <f t="shared" si="59"/>
        <v>-14272.754999999999</v>
      </c>
      <c r="G433" s="600"/>
      <c r="H433" s="317"/>
      <c r="I433" s="600">
        <v>1359.3099999999999</v>
      </c>
      <c r="J433" s="600"/>
      <c r="K433" s="600"/>
      <c r="L433" s="600"/>
      <c r="M433" s="600"/>
      <c r="N433" s="600"/>
      <c r="O433" s="600">
        <f t="shared" si="58"/>
        <v>0</v>
      </c>
      <c r="P433" s="601">
        <f t="shared" si="56"/>
        <v>10.5</v>
      </c>
      <c r="Q433" s="600">
        <f t="shared" si="57"/>
        <v>0</v>
      </c>
      <c r="R433" s="605"/>
    </row>
    <row r="434" spans="1:18" s="598" customFormat="1" ht="15" outlineLevel="1">
      <c r="A434" s="597">
        <v>3802</v>
      </c>
      <c r="B434" s="598" t="s">
        <v>530</v>
      </c>
      <c r="C434" s="598">
        <v>2013</v>
      </c>
      <c r="D434" s="599">
        <f>93249.55-61398.23</f>
        <v>31851.32</v>
      </c>
      <c r="E434" s="601">
        <f>Input!$C$14-C434+0.5</f>
        <v>9.5</v>
      </c>
      <c r="F434" s="600">
        <f t="shared" si="59"/>
        <v>302587.53999999998</v>
      </c>
      <c r="G434" s="600"/>
      <c r="H434" s="317"/>
      <c r="I434" s="600"/>
      <c r="J434" s="600"/>
      <c r="K434" s="600"/>
      <c r="L434" s="600"/>
      <c r="M434" s="600"/>
      <c r="N434" s="600"/>
      <c r="O434" s="600">
        <f t="shared" si="58"/>
        <v>31851.32</v>
      </c>
      <c r="P434" s="601">
        <f t="shared" si="56"/>
        <v>9.5</v>
      </c>
      <c r="Q434" s="600">
        <f t="shared" si="57"/>
        <v>302587.53999999998</v>
      </c>
      <c r="R434" s="605"/>
    </row>
    <row r="435" spans="1:18" s="598" customFormat="1" ht="15" outlineLevel="1">
      <c r="A435" s="597">
        <v>3802</v>
      </c>
      <c r="B435" s="598" t="s">
        <v>530</v>
      </c>
      <c r="C435" s="598">
        <v>2017</v>
      </c>
      <c r="D435" s="599">
        <v>-713.52999999999997</v>
      </c>
      <c r="E435" s="601">
        <f>Input!$C$14-C435+0.5</f>
        <v>5.5</v>
      </c>
      <c r="F435" s="600">
        <f t="shared" si="59"/>
        <v>-3924.415</v>
      </c>
      <c r="G435" s="600"/>
      <c r="H435" s="317"/>
      <c r="I435" s="600">
        <v>713.52999999999997</v>
      </c>
      <c r="J435" s="600"/>
      <c r="K435" s="600"/>
      <c r="L435" s="600"/>
      <c r="M435" s="600"/>
      <c r="N435" s="600"/>
      <c r="O435" s="600">
        <f t="shared" si="58"/>
        <v>0</v>
      </c>
      <c r="P435" s="601">
        <f t="shared" si="56"/>
        <v>5.5</v>
      </c>
      <c r="Q435" s="600">
        <f t="shared" si="57"/>
        <v>0</v>
      </c>
      <c r="R435" s="605"/>
    </row>
    <row r="436" spans="1:18" s="598" customFormat="1" ht="15" outlineLevel="1">
      <c r="A436" s="597">
        <v>3802</v>
      </c>
      <c r="B436" s="598" t="s">
        <v>530</v>
      </c>
      <c r="C436" s="598">
        <v>2018</v>
      </c>
      <c r="D436" s="599">
        <v>0</v>
      </c>
      <c r="E436" s="601">
        <f>Input!$C$14-C436+0.5</f>
        <v>4.5</v>
      </c>
      <c r="F436" s="600">
        <f t="shared" si="59"/>
        <v>0</v>
      </c>
      <c r="G436" s="600"/>
      <c r="H436" s="317"/>
      <c r="I436" s="600"/>
      <c r="J436" s="600"/>
      <c r="K436" s="600"/>
      <c r="L436" s="600"/>
      <c r="M436" s="600"/>
      <c r="N436" s="600"/>
      <c r="O436" s="600">
        <f t="shared" si="58"/>
        <v>0</v>
      </c>
      <c r="P436" s="601">
        <f t="shared" si="56"/>
        <v>4.5</v>
      </c>
      <c r="Q436" s="600">
        <f t="shared" si="57"/>
        <v>0</v>
      </c>
      <c r="R436" s="605"/>
    </row>
    <row r="437" spans="1:18" s="598" customFormat="1" ht="15" outlineLevel="1">
      <c r="A437" s="597">
        <v>3802</v>
      </c>
      <c r="B437" s="598" t="s">
        <v>530</v>
      </c>
      <c r="C437" s="598">
        <v>2019</v>
      </c>
      <c r="D437" s="599">
        <v>0</v>
      </c>
      <c r="E437" s="601">
        <f>Input!$C$14-C437+0.5</f>
        <v>3.5</v>
      </c>
      <c r="F437" s="600">
        <f t="shared" si="59"/>
        <v>0</v>
      </c>
      <c r="G437" s="600"/>
      <c r="H437" s="317"/>
      <c r="I437" s="600"/>
      <c r="J437" s="600"/>
      <c r="K437" s="600"/>
      <c r="L437" s="600"/>
      <c r="M437" s="600"/>
      <c r="N437" s="600"/>
      <c r="O437" s="600">
        <f t="shared" si="58"/>
        <v>0</v>
      </c>
      <c r="P437" s="601">
        <f t="shared" si="56"/>
        <v>3.5</v>
      </c>
      <c r="Q437" s="600">
        <f t="shared" si="57"/>
        <v>0</v>
      </c>
      <c r="R437" s="605"/>
    </row>
    <row r="438" spans="1:18" s="598" customFormat="1" ht="15" outlineLevel="1">
      <c r="A438" s="597">
        <v>3802</v>
      </c>
      <c r="B438" s="598" t="s">
        <v>530</v>
      </c>
      <c r="C438" s="598">
        <v>2020</v>
      </c>
      <c r="D438" s="599">
        <v>800</v>
      </c>
      <c r="E438" s="601">
        <f>Input!$C$14-C438+0.5</f>
        <v>2.5</v>
      </c>
      <c r="F438" s="600">
        <f t="shared" si="59"/>
        <v>2000</v>
      </c>
      <c r="G438" s="600"/>
      <c r="H438" s="317"/>
      <c r="I438" s="600"/>
      <c r="J438" s="600"/>
      <c r="K438" s="600"/>
      <c r="L438" s="600"/>
      <c r="M438" s="600"/>
      <c r="N438" s="600"/>
      <c r="O438" s="600">
        <f t="shared" si="58"/>
        <v>800</v>
      </c>
      <c r="P438" s="601">
        <f t="shared" si="56"/>
        <v>2.5</v>
      </c>
      <c r="Q438" s="600">
        <f t="shared" si="57"/>
        <v>2000</v>
      </c>
      <c r="R438" s="605"/>
    </row>
    <row r="439" spans="1:18" s="598" customFormat="1" ht="15" outlineLevel="1">
      <c r="A439" s="597">
        <v>3802</v>
      </c>
      <c r="B439" s="598" t="s">
        <v>530</v>
      </c>
      <c r="C439" s="598">
        <v>2021</v>
      </c>
      <c r="D439" s="599">
        <v>87279.440000000017</v>
      </c>
      <c r="E439" s="601">
        <f>Input!$C$14-C439+0.5</f>
        <v>1.5</v>
      </c>
      <c r="F439" s="600">
        <f t="shared" si="59"/>
        <v>130919.16000000003</v>
      </c>
      <c r="G439" s="600"/>
      <c r="H439" s="317"/>
      <c r="I439" s="600"/>
      <c r="J439" s="600"/>
      <c r="K439" s="600"/>
      <c r="L439" s="600"/>
      <c r="M439" s="600"/>
      <c r="N439" s="600"/>
      <c r="O439" s="600">
        <f t="shared" si="58"/>
        <v>87279.440000000017</v>
      </c>
      <c r="P439" s="601">
        <f t="shared" si="56"/>
        <v>1.5</v>
      </c>
      <c r="Q439" s="600">
        <f t="shared" si="57"/>
        <v>130919.16000000003</v>
      </c>
      <c r="R439" s="605"/>
    </row>
    <row r="440" spans="1:20" s="598" customFormat="1" ht="13.5" thickBot="1">
      <c r="A440" s="563">
        <f>A439</f>
        <v>3802</v>
      </c>
      <c r="B440" s="564" t="s">
        <v>496</v>
      </c>
      <c r="D440" s="357">
        <f>SUM(D362:D439)</f>
        <v>1738350.5499999998</v>
      </c>
      <c r="E440" s="565">
        <f>ROUND(F440/D440,1)</f>
        <v>37.600000000000001</v>
      </c>
      <c r="F440" s="357">
        <f>SUM(F362:F439)</f>
        <v>65357446.914999992</v>
      </c>
      <c r="G440" s="358"/>
      <c r="H440" s="318"/>
      <c r="I440" s="357">
        <f>SUM(I362:I439)</f>
        <v>3.4106051316484809E-12</v>
      </c>
      <c r="J440" s="357">
        <f>SUM(J362:J439)</f>
        <v>0</v>
      </c>
      <c r="K440" s="357">
        <f t="shared" si="60" ref="K440:N440">SUM(K362:K439)</f>
        <v>0</v>
      </c>
      <c r="L440" s="357">
        <f t="shared" si="60"/>
        <v>0</v>
      </c>
      <c r="M440" s="357">
        <f t="shared" si="60"/>
        <v>0</v>
      </c>
      <c r="N440" s="357">
        <f t="shared" si="60"/>
        <v>0</v>
      </c>
      <c r="O440" s="357">
        <f>SUM(O362:O439)</f>
        <v>1738350.5499999998</v>
      </c>
      <c r="P440" s="565">
        <f>ROUND(Q440/O440,1)</f>
        <v>33.899999999999999</v>
      </c>
      <c r="Q440" s="357">
        <f>SUM(Q362:Q439)</f>
        <v>58870421.384999998</v>
      </c>
      <c r="R440" s="605"/>
      <c r="S440" s="604">
        <f>'Sch. G 2021'!H21</f>
        <v>1738352</v>
      </c>
      <c r="T440" s="679">
        <f>D440-S440</f>
        <v>-1.4500000001862645</v>
      </c>
    </row>
    <row r="441" spans="1:20" s="598" customFormat="1" ht="15.75" thickTop="1">
      <c r="A441" s="566">
        <f>A439</f>
        <v>3802</v>
      </c>
      <c r="B441" s="490" t="str">
        <f>B439&amp;" - Additions"</f>
        <v>Services ST - Additions</v>
      </c>
      <c r="C441" s="490">
        <v>2022</v>
      </c>
      <c r="D441" s="567">
        <f>'Sch. H'!N21</f>
        <v>34604.5</v>
      </c>
      <c r="E441" s="601">
        <f>Input!$C$14-C441+0.5</f>
        <v>0.5</v>
      </c>
      <c r="F441" s="600">
        <f>D441*E441</f>
        <v>17302.25</v>
      </c>
      <c r="G441" s="600"/>
      <c r="H441" s="317"/>
      <c r="I441" s="600"/>
      <c r="J441" s="600"/>
      <c r="K441" s="600"/>
      <c r="L441" s="600"/>
      <c r="M441" s="600"/>
      <c r="N441" s="600"/>
      <c r="O441" s="600">
        <f t="shared" si="61" ref="O441:O442">SUM(D441,I441:N441)</f>
        <v>34604.5</v>
      </c>
      <c r="P441" s="601">
        <f t="shared" si="56"/>
        <v>0.5</v>
      </c>
      <c r="Q441" s="600">
        <f t="shared" si="57"/>
        <v>17302.25</v>
      </c>
      <c r="R441" s="605"/>
      <c r="T441" s="679"/>
    </row>
    <row r="442" spans="1:20" s="598" customFormat="1" ht="15">
      <c r="A442" s="566">
        <f>A441</f>
        <v>3802</v>
      </c>
      <c r="B442" s="490" t="str">
        <f>B439&amp;" - Retirements"</f>
        <v>Services ST - Retirements</v>
      </c>
      <c r="C442" s="490">
        <v>2022</v>
      </c>
      <c r="D442" s="567">
        <f>-'Sch. F 2022'!S90</f>
        <v>-445488</v>
      </c>
      <c r="E442" s="601">
        <f>'Sch. F 2022'!S92</f>
        <v>53.68</v>
      </c>
      <c r="F442" s="600">
        <f>D442*E442</f>
        <v>-23913795.84</v>
      </c>
      <c r="G442" s="600"/>
      <c r="H442" s="317"/>
      <c r="I442" s="600"/>
      <c r="J442" s="600"/>
      <c r="K442" s="600"/>
      <c r="L442" s="600"/>
      <c r="M442" s="600"/>
      <c r="N442" s="600"/>
      <c r="O442" s="600">
        <f t="shared" si="61"/>
        <v>-445488</v>
      </c>
      <c r="P442" s="601">
        <f t="shared" si="56"/>
        <v>53.68</v>
      </c>
      <c r="Q442" s="600">
        <f t="shared" si="57"/>
        <v>-23913795.84</v>
      </c>
      <c r="R442" s="605"/>
      <c r="T442" s="679"/>
    </row>
    <row r="443" spans="1:20" s="598" customFormat="1" ht="13.5" thickBot="1">
      <c r="A443" s="566"/>
      <c r="B443" s="564" t="s">
        <v>557</v>
      </c>
      <c r="C443" s="490"/>
      <c r="D443" s="568">
        <f>SUM(D440:D442)</f>
        <v>1327467.0499999998</v>
      </c>
      <c r="E443" s="565">
        <f>ROUND(F443/D443,1)</f>
        <v>31.199999999999999</v>
      </c>
      <c r="F443" s="569">
        <f>SUM(F440:F442)</f>
        <v>41460953.324999988</v>
      </c>
      <c r="G443" s="570"/>
      <c r="H443" s="372"/>
      <c r="I443" s="568">
        <f>SUM(I440:I442)</f>
        <v>3.4106051316484809E-12</v>
      </c>
      <c r="J443" s="568">
        <f>SUM(J440:J442)</f>
        <v>0</v>
      </c>
      <c r="K443" s="568">
        <f t="shared" si="62" ref="K443:N443">SUM(K440:K442)</f>
        <v>0</v>
      </c>
      <c r="L443" s="568">
        <f t="shared" si="62"/>
        <v>0</v>
      </c>
      <c r="M443" s="568">
        <f t="shared" si="62"/>
        <v>0</v>
      </c>
      <c r="N443" s="568">
        <f t="shared" si="62"/>
        <v>0</v>
      </c>
      <c r="O443" s="568">
        <f>SUM(O440:O442)</f>
        <v>1327467.0499999998</v>
      </c>
      <c r="P443" s="565">
        <f>ROUND(Q443/O443,1)</f>
        <v>26.300000000000001</v>
      </c>
      <c r="Q443" s="569">
        <f>SUM(Q440:Q442)</f>
        <v>34973927.795000002</v>
      </c>
      <c r="S443" s="604">
        <f>'Sch. G 2022'!H21</f>
        <v>1327469</v>
      </c>
      <c r="T443" s="679">
        <f>O443-S443</f>
        <v>-1.9500000001862645</v>
      </c>
    </row>
    <row r="444" spans="1:20" s="598" customFormat="1" ht="15" thickTop="1">
      <c r="A444" s="563"/>
      <c r="B444" s="571"/>
      <c r="D444" s="358"/>
      <c r="E444" s="572"/>
      <c r="F444" s="358"/>
      <c r="G444" s="358"/>
      <c r="H444" s="318"/>
      <c r="I444" s="358"/>
      <c r="J444" s="358"/>
      <c r="K444" s="358"/>
      <c r="L444" s="358"/>
      <c r="M444" s="358"/>
      <c r="N444" s="358"/>
      <c r="O444" s="600"/>
      <c r="P444" s="601"/>
      <c r="Q444" s="600"/>
      <c r="T444" s="679"/>
    </row>
    <row r="445" spans="1:17" s="598" customFormat="1" ht="15" outlineLevel="1">
      <c r="A445" s="597" t="s">
        <v>95</v>
      </c>
      <c r="B445" s="598" t="s">
        <v>531</v>
      </c>
      <c r="C445" s="598">
        <v>2012</v>
      </c>
      <c r="D445" s="599">
        <v>181113.47</v>
      </c>
      <c r="E445" s="601">
        <f>Input!$C$14-C445+0.5</f>
        <v>10.5</v>
      </c>
      <c r="F445" s="600">
        <f t="shared" si="63" ref="F445:F454">D445*E445</f>
        <v>1901691.4350000001</v>
      </c>
      <c r="G445" s="600"/>
      <c r="H445" s="317"/>
      <c r="I445" s="600"/>
      <c r="J445" s="600"/>
      <c r="K445" s="600"/>
      <c r="L445" s="600"/>
      <c r="M445" s="600"/>
      <c r="N445" s="600"/>
      <c r="O445" s="600">
        <f t="shared" si="64" ref="O445:O454">SUM(D445,I445:N445)</f>
        <v>181113.47</v>
      </c>
      <c r="P445" s="601">
        <f t="shared" si="56"/>
        <v>10.5</v>
      </c>
      <c r="Q445" s="600">
        <f t="shared" si="57"/>
        <v>1901691.4350000001</v>
      </c>
    </row>
    <row r="446" spans="1:17" s="598" customFormat="1" ht="15" outlineLevel="1">
      <c r="A446" s="597" t="s">
        <v>95</v>
      </c>
      <c r="B446" s="598" t="s">
        <v>531</v>
      </c>
      <c r="C446" s="598">
        <v>2013</v>
      </c>
      <c r="D446" s="599">
        <v>3894865.3400000003</v>
      </c>
      <c r="E446" s="601">
        <f>Input!$C$14-C446+0.5</f>
        <v>9.5</v>
      </c>
      <c r="F446" s="600">
        <f t="shared" si="63"/>
        <v>37001220.730000004</v>
      </c>
      <c r="G446" s="600"/>
      <c r="H446" s="317"/>
      <c r="I446" s="600"/>
      <c r="J446" s="600"/>
      <c r="K446" s="600"/>
      <c r="L446" s="600"/>
      <c r="M446" s="600"/>
      <c r="N446" s="600"/>
      <c r="O446" s="600">
        <f t="shared" si="64"/>
        <v>3894865.3400000003</v>
      </c>
      <c r="P446" s="601">
        <f t="shared" si="56"/>
        <v>9.5</v>
      </c>
      <c r="Q446" s="600">
        <f t="shared" si="57"/>
        <v>37001220.730000004</v>
      </c>
    </row>
    <row r="447" spans="1:17" s="598" customFormat="1" ht="15" outlineLevel="1">
      <c r="A447" s="597" t="s">
        <v>95</v>
      </c>
      <c r="B447" s="598" t="s">
        <v>531</v>
      </c>
      <c r="C447" s="598">
        <v>2014</v>
      </c>
      <c r="D447" s="599">
        <v>5159161.7100000009</v>
      </c>
      <c r="E447" s="601">
        <f>Input!$C$14-C447+0.5</f>
        <v>8.5</v>
      </c>
      <c r="F447" s="600">
        <f t="shared" si="63"/>
        <v>43852874.535000011</v>
      </c>
      <c r="G447" s="600"/>
      <c r="H447" s="317"/>
      <c r="I447" s="600"/>
      <c r="J447" s="600"/>
      <c r="K447" s="600"/>
      <c r="L447" s="600"/>
      <c r="M447" s="600"/>
      <c r="N447" s="600"/>
      <c r="O447" s="600">
        <f t="shared" si="64"/>
        <v>5159161.7100000009</v>
      </c>
      <c r="P447" s="601">
        <f t="shared" si="56"/>
        <v>8.5</v>
      </c>
      <c r="Q447" s="600">
        <f t="shared" si="57"/>
        <v>43852874.535000011</v>
      </c>
    </row>
    <row r="448" spans="1:17" s="598" customFormat="1" ht="15" outlineLevel="1">
      <c r="A448" s="597" t="s">
        <v>95</v>
      </c>
      <c r="B448" s="598" t="s">
        <v>531</v>
      </c>
      <c r="C448" s="598">
        <v>2015</v>
      </c>
      <c r="D448" s="599">
        <v>6230783.9299999997</v>
      </c>
      <c r="E448" s="601">
        <f>Input!$C$14-C448+0.5</f>
        <v>7.5</v>
      </c>
      <c r="F448" s="600">
        <f t="shared" si="63"/>
        <v>46730879.474999994</v>
      </c>
      <c r="G448" s="600"/>
      <c r="H448" s="317"/>
      <c r="I448" s="600"/>
      <c r="J448" s="600"/>
      <c r="K448" s="600"/>
      <c r="L448" s="600"/>
      <c r="M448" s="600"/>
      <c r="N448" s="600"/>
      <c r="O448" s="600">
        <f t="shared" si="64"/>
        <v>6230783.9299999997</v>
      </c>
      <c r="P448" s="601">
        <f t="shared" si="65" ref="P448:P509">E448</f>
        <v>7.5</v>
      </c>
      <c r="Q448" s="600">
        <f t="shared" si="66" ref="Q448:Q509">O448*P448</f>
        <v>46730879.474999994</v>
      </c>
    </row>
    <row r="449" spans="1:17" s="598" customFormat="1" ht="15" outlineLevel="1">
      <c r="A449" s="597" t="s">
        <v>95</v>
      </c>
      <c r="B449" s="598" t="s">
        <v>531</v>
      </c>
      <c r="C449" s="598">
        <v>2016</v>
      </c>
      <c r="D449" s="599">
        <v>5358037.4300000006</v>
      </c>
      <c r="E449" s="601">
        <f>Input!$C$14-C449+0.5</f>
        <v>6.5</v>
      </c>
      <c r="F449" s="600">
        <f t="shared" si="63"/>
        <v>34827243.295000002</v>
      </c>
      <c r="G449" s="600"/>
      <c r="H449" s="317"/>
      <c r="I449" s="600"/>
      <c r="J449" s="600"/>
      <c r="K449" s="600"/>
      <c r="L449" s="600"/>
      <c r="M449" s="600"/>
      <c r="N449" s="600"/>
      <c r="O449" s="600">
        <f t="shared" si="64"/>
        <v>5358037.4300000006</v>
      </c>
      <c r="P449" s="601">
        <f t="shared" si="65"/>
        <v>6.5</v>
      </c>
      <c r="Q449" s="600">
        <f t="shared" si="66"/>
        <v>34827243.295000002</v>
      </c>
    </row>
    <row r="450" spans="1:17" s="598" customFormat="1" ht="15" outlineLevel="1">
      <c r="A450" s="597" t="s">
        <v>95</v>
      </c>
      <c r="B450" s="598" t="s">
        <v>531</v>
      </c>
      <c r="C450" s="598">
        <v>2017</v>
      </c>
      <c r="D450" s="599">
        <v>2349624.1500000004</v>
      </c>
      <c r="E450" s="601">
        <f>Input!$C$14-C450+0.5</f>
        <v>5.5</v>
      </c>
      <c r="F450" s="600">
        <f t="shared" si="63"/>
        <v>12922932.825000003</v>
      </c>
      <c r="G450" s="600"/>
      <c r="H450" s="317"/>
      <c r="I450" s="600"/>
      <c r="J450" s="600"/>
      <c r="K450" s="600"/>
      <c r="L450" s="600"/>
      <c r="M450" s="600"/>
      <c r="N450" s="600"/>
      <c r="O450" s="600">
        <f t="shared" si="64"/>
        <v>2349624.1500000004</v>
      </c>
      <c r="P450" s="601">
        <f t="shared" si="65"/>
        <v>5.5</v>
      </c>
      <c r="Q450" s="600">
        <f t="shared" si="66"/>
        <v>12922932.825000003</v>
      </c>
    </row>
    <row r="451" spans="1:17" s="598" customFormat="1" ht="15" outlineLevel="1">
      <c r="A451" s="597" t="s">
        <v>95</v>
      </c>
      <c r="B451" s="598" t="s">
        <v>531</v>
      </c>
      <c r="C451" s="598">
        <v>2018</v>
      </c>
      <c r="D451" s="599">
        <v>2678196.7799999998</v>
      </c>
      <c r="E451" s="601">
        <f>Input!$C$14-C451+0.5</f>
        <v>4.5</v>
      </c>
      <c r="F451" s="600">
        <f t="shared" si="63"/>
        <v>12051885.51</v>
      </c>
      <c r="G451" s="600"/>
      <c r="H451" s="317"/>
      <c r="I451" s="600"/>
      <c r="J451" s="600"/>
      <c r="K451" s="600"/>
      <c r="L451" s="600"/>
      <c r="M451" s="600"/>
      <c r="N451" s="600"/>
      <c r="O451" s="600">
        <f t="shared" si="64"/>
        <v>2678196.7799999998</v>
      </c>
      <c r="P451" s="601">
        <f t="shared" si="65"/>
        <v>4.5</v>
      </c>
      <c r="Q451" s="600">
        <f t="shared" si="66"/>
        <v>12051885.51</v>
      </c>
    </row>
    <row r="452" spans="1:17" s="598" customFormat="1" ht="15" outlineLevel="1">
      <c r="A452" s="597" t="s">
        <v>95</v>
      </c>
      <c r="B452" s="598" t="s">
        <v>531</v>
      </c>
      <c r="C452" s="598">
        <v>2019</v>
      </c>
      <c r="D452" s="599">
        <v>3909775.4100000001</v>
      </c>
      <c r="E452" s="601">
        <f>Input!$C$14-C452+0.5</f>
        <v>3.5</v>
      </c>
      <c r="F452" s="600">
        <f t="shared" si="63"/>
        <v>13684213.935000001</v>
      </c>
      <c r="G452" s="600"/>
      <c r="H452" s="317"/>
      <c r="I452" s="600"/>
      <c r="J452" s="600"/>
      <c r="K452" s="600"/>
      <c r="L452" s="600"/>
      <c r="M452" s="600"/>
      <c r="N452" s="600"/>
      <c r="O452" s="600">
        <f t="shared" si="64"/>
        <v>3909775.4100000001</v>
      </c>
      <c r="P452" s="601">
        <f t="shared" si="65"/>
        <v>3.5</v>
      </c>
      <c r="Q452" s="600">
        <f t="shared" si="66"/>
        <v>13684213.935000001</v>
      </c>
    </row>
    <row r="453" spans="1:17" s="598" customFormat="1" ht="15" outlineLevel="1">
      <c r="A453" s="597" t="s">
        <v>95</v>
      </c>
      <c r="B453" s="598" t="s">
        <v>531</v>
      </c>
      <c r="C453" s="598">
        <v>2020</v>
      </c>
      <c r="D453" s="599">
        <v>7292163.0799999982</v>
      </c>
      <c r="E453" s="601">
        <f>Input!$C$14-C453+0.5</f>
        <v>2.5</v>
      </c>
      <c r="F453" s="600">
        <f t="shared" si="63"/>
        <v>18230407.699999996</v>
      </c>
      <c r="G453" s="600"/>
      <c r="H453" s="317"/>
      <c r="I453" s="600"/>
      <c r="J453" s="600"/>
      <c r="K453" s="600"/>
      <c r="L453" s="600"/>
      <c r="M453" s="600"/>
      <c r="N453" s="600"/>
      <c r="O453" s="600">
        <f t="shared" si="64"/>
        <v>7292163.0799999982</v>
      </c>
      <c r="P453" s="601">
        <f t="shared" si="65"/>
        <v>2.5</v>
      </c>
      <c r="Q453" s="600">
        <f t="shared" si="66"/>
        <v>18230407.699999996</v>
      </c>
    </row>
    <row r="454" spans="1:17" s="598" customFormat="1" ht="15" outlineLevel="1">
      <c r="A454" s="597" t="s">
        <v>95</v>
      </c>
      <c r="B454" s="598" t="s">
        <v>531</v>
      </c>
      <c r="C454" s="598">
        <v>2021</v>
      </c>
      <c r="D454" s="599">
        <v>7829424.4400000004</v>
      </c>
      <c r="E454" s="601">
        <f>Input!$C$14-C454+0.5</f>
        <v>1.5</v>
      </c>
      <c r="F454" s="600">
        <f t="shared" si="63"/>
        <v>11744136.66</v>
      </c>
      <c r="G454" s="600"/>
      <c r="H454" s="317"/>
      <c r="I454" s="600"/>
      <c r="J454" s="600"/>
      <c r="K454" s="600"/>
      <c r="L454" s="600"/>
      <c r="M454" s="600"/>
      <c r="N454" s="600"/>
      <c r="O454" s="600">
        <f t="shared" si="64"/>
        <v>7829424.4400000004</v>
      </c>
      <c r="P454" s="601">
        <f t="shared" si="65"/>
        <v>1.5</v>
      </c>
      <c r="Q454" s="600">
        <f t="shared" si="66"/>
        <v>11744136.66</v>
      </c>
    </row>
    <row r="455" spans="1:20" s="598" customFormat="1" ht="13.5" thickBot="1">
      <c r="A455" s="563" t="str">
        <f>A454</f>
        <v>380G</v>
      </c>
      <c r="B455" s="564" t="s">
        <v>496</v>
      </c>
      <c r="D455" s="357">
        <f>SUM(D445:D454)</f>
        <v>44883145.739999995</v>
      </c>
      <c r="E455" s="565">
        <f>ROUND(F455/D455,1)</f>
        <v>5.2000000000000002</v>
      </c>
      <c r="F455" s="357">
        <f>SUM(F445:F454)</f>
        <v>232947486.09999999</v>
      </c>
      <c r="G455" s="358"/>
      <c r="H455" s="318"/>
      <c r="I455" s="357">
        <f>SUM(I445:I454)</f>
        <v>0</v>
      </c>
      <c r="J455" s="357">
        <f>SUM(J445:J454)</f>
        <v>0</v>
      </c>
      <c r="K455" s="357">
        <f t="shared" si="67" ref="K455:N455">SUM(K445:K454)</f>
        <v>0</v>
      </c>
      <c r="L455" s="357">
        <f t="shared" si="67"/>
        <v>0</v>
      </c>
      <c r="M455" s="357">
        <f t="shared" si="67"/>
        <v>0</v>
      </c>
      <c r="N455" s="357">
        <f t="shared" si="67"/>
        <v>0</v>
      </c>
      <c r="O455" s="357">
        <f>SUM(O445:O454)</f>
        <v>44883145.739999995</v>
      </c>
      <c r="P455" s="565">
        <f>ROUND(Q455/O455,1)</f>
        <v>5.2000000000000002</v>
      </c>
      <c r="Q455" s="357">
        <f>SUM(Q445:Q454)</f>
        <v>232947486.09999999</v>
      </c>
      <c r="S455" s="604">
        <f>'Sch. G 2021'!H22</f>
        <v>44883146</v>
      </c>
      <c r="T455" s="679">
        <f>D455-S455</f>
        <v>-0.26000000536441803</v>
      </c>
    </row>
    <row r="456" spans="1:20" s="598" customFormat="1" ht="15.75" thickTop="1">
      <c r="A456" s="566" t="str">
        <f>A454</f>
        <v>380G</v>
      </c>
      <c r="B456" s="490" t="str">
        <f>B454&amp;" - Additions"</f>
        <v>Services GRIP - Additions</v>
      </c>
      <c r="C456" s="490">
        <v>2022</v>
      </c>
      <c r="D456" s="567">
        <f>'Sch. H'!N22</f>
        <v>4110685</v>
      </c>
      <c r="E456" s="601">
        <f>Input!$C$14-C456+0.5</f>
        <v>0.5</v>
      </c>
      <c r="F456" s="600">
        <f>D456*E456</f>
        <v>2055342.5</v>
      </c>
      <c r="G456" s="600"/>
      <c r="H456" s="317"/>
      <c r="I456" s="600"/>
      <c r="J456" s="600"/>
      <c r="K456" s="600"/>
      <c r="L456" s="600"/>
      <c r="M456" s="600"/>
      <c r="N456" s="600"/>
      <c r="O456" s="600">
        <f t="shared" si="68" ref="O456:O457">SUM(D456,I456:N456)</f>
        <v>4110685</v>
      </c>
      <c r="P456" s="601">
        <f t="shared" si="65"/>
        <v>0.5</v>
      </c>
      <c r="Q456" s="600">
        <f t="shared" si="66"/>
        <v>2055342.5</v>
      </c>
      <c r="T456" s="679"/>
    </row>
    <row r="457" spans="1:20" s="598" customFormat="1" ht="15">
      <c r="A457" s="566" t="str">
        <f>A456</f>
        <v>380G</v>
      </c>
      <c r="B457" s="490" t="str">
        <f>B454&amp;" - Retirements"</f>
        <v>Services GRIP - Retirements</v>
      </c>
      <c r="C457" s="490">
        <v>2022</v>
      </c>
      <c r="D457" s="567">
        <f>-'Sch. F 2022'!U90</f>
        <v>0</v>
      </c>
      <c r="E457" s="601">
        <f>'Sch. F 2022'!U92</f>
        <v>0</v>
      </c>
      <c r="F457" s="600">
        <f>D457*E457</f>
        <v>0</v>
      </c>
      <c r="G457" s="600"/>
      <c r="H457" s="317"/>
      <c r="I457" s="600"/>
      <c r="J457" s="600"/>
      <c r="K457" s="600"/>
      <c r="L457" s="600"/>
      <c r="M457" s="600"/>
      <c r="N457" s="600"/>
      <c r="O457" s="600">
        <f t="shared" si="68"/>
        <v>0</v>
      </c>
      <c r="P457" s="601">
        <f t="shared" si="65"/>
        <v>0</v>
      </c>
      <c r="Q457" s="600">
        <f t="shared" si="66"/>
        <v>0</v>
      </c>
      <c r="T457" s="679"/>
    </row>
    <row r="458" spans="1:20" s="598" customFormat="1" ht="13.5" thickBot="1">
      <c r="A458" s="566"/>
      <c r="B458" s="564" t="s">
        <v>557</v>
      </c>
      <c r="C458" s="490"/>
      <c r="D458" s="568">
        <f>SUM(D455:D457)</f>
        <v>48993830.739999995</v>
      </c>
      <c r="E458" s="565">
        <f>ROUND(F458/D458,1)</f>
        <v>4.7999999999999998</v>
      </c>
      <c r="F458" s="569">
        <f>SUM(F455:F457)</f>
        <v>235002828.59999999</v>
      </c>
      <c r="G458" s="570"/>
      <c r="H458" s="372"/>
      <c r="I458" s="568">
        <f>SUM(I455:I457)</f>
        <v>0</v>
      </c>
      <c r="J458" s="568">
        <f>SUM(J455:J457)</f>
        <v>0</v>
      </c>
      <c r="K458" s="568">
        <f t="shared" si="69" ref="K458:N458">SUM(K455:K457)</f>
        <v>0</v>
      </c>
      <c r="L458" s="568">
        <f t="shared" si="69"/>
        <v>0</v>
      </c>
      <c r="M458" s="568">
        <f t="shared" si="69"/>
        <v>0</v>
      </c>
      <c r="N458" s="568">
        <f t="shared" si="69"/>
        <v>0</v>
      </c>
      <c r="O458" s="568">
        <f>SUM(O455:O457)</f>
        <v>48993830.739999995</v>
      </c>
      <c r="P458" s="565">
        <f>ROUND(Q458/O458,1)</f>
        <v>4.7999999999999998</v>
      </c>
      <c r="Q458" s="569">
        <f>SUM(Q455:Q457)</f>
        <v>235002828.59999999</v>
      </c>
      <c r="S458" s="604">
        <f>'Sch. G 2022'!H22</f>
        <v>48993831</v>
      </c>
      <c r="T458" s="679">
        <f>O458-S458</f>
        <v>-0.26000000536441803</v>
      </c>
    </row>
    <row r="459" spans="1:20" s="598" customFormat="1" ht="15" thickTop="1">
      <c r="A459" s="563"/>
      <c r="B459" s="571"/>
      <c r="D459" s="358"/>
      <c r="E459" s="572"/>
      <c r="F459" s="358"/>
      <c r="G459" s="358"/>
      <c r="H459" s="318"/>
      <c r="I459" s="358"/>
      <c r="J459" s="358"/>
      <c r="K459" s="358"/>
      <c r="L459" s="358"/>
      <c r="M459" s="358"/>
      <c r="N459" s="358"/>
      <c r="O459" s="600"/>
      <c r="P459" s="601"/>
      <c r="Q459" s="600"/>
      <c r="T459" s="679"/>
    </row>
    <row r="460" spans="1:19" s="598" customFormat="1" ht="15" outlineLevel="1">
      <c r="A460" s="597">
        <v>3810</v>
      </c>
      <c r="B460" s="598" t="s">
        <v>97</v>
      </c>
      <c r="C460" s="598">
        <v>1968</v>
      </c>
      <c r="D460" s="599">
        <f>6404.86-445.19</f>
        <v>5959.6700000000001</v>
      </c>
      <c r="E460" s="601">
        <f>Input!$C$14-C460+0.5</f>
        <v>54.5</v>
      </c>
      <c r="F460" s="600">
        <f t="shared" si="70" ref="F460:F511">D460*E460</f>
        <v>324802.01500000001</v>
      </c>
      <c r="G460" s="600"/>
      <c r="H460" s="317"/>
      <c r="I460" s="600"/>
      <c r="J460" s="600">
        <v>-130</v>
      </c>
      <c r="K460" s="600"/>
      <c r="L460" s="600"/>
      <c r="M460" s="600"/>
      <c r="N460" s="600"/>
      <c r="O460" s="600">
        <f t="shared" si="71" ref="O460:O514">SUM(D460,I460:N460)</f>
        <v>5829.6700000000001</v>
      </c>
      <c r="P460" s="601">
        <f t="shared" si="65"/>
        <v>54.5</v>
      </c>
      <c r="Q460" s="600">
        <f t="shared" si="66"/>
        <v>317717.01500000001</v>
      </c>
      <c r="S460" s="606"/>
    </row>
    <row r="461" spans="1:17" s="598" customFormat="1" ht="15" outlineLevel="1">
      <c r="A461" s="597">
        <v>3810</v>
      </c>
      <c r="B461" s="598" t="s">
        <v>97</v>
      </c>
      <c r="C461" s="598">
        <v>1969</v>
      </c>
      <c r="D461" s="599">
        <v>5352.9400000000005</v>
      </c>
      <c r="E461" s="601">
        <f>Input!$C$14-C461+0.5</f>
        <v>53.5</v>
      </c>
      <c r="F461" s="600">
        <f t="shared" si="70"/>
        <v>286382.29000000004</v>
      </c>
      <c r="G461" s="600"/>
      <c r="H461" s="317"/>
      <c r="I461" s="600"/>
      <c r="J461" s="600"/>
      <c r="K461" s="600"/>
      <c r="L461" s="600"/>
      <c r="M461" s="600"/>
      <c r="N461" s="600"/>
      <c r="O461" s="600">
        <f t="shared" si="71"/>
        <v>5352.9400000000005</v>
      </c>
      <c r="P461" s="601">
        <f t="shared" si="65"/>
        <v>53.5</v>
      </c>
      <c r="Q461" s="600">
        <f t="shared" si="66"/>
        <v>286382.29000000004</v>
      </c>
    </row>
    <row r="462" spans="1:17" s="598" customFormat="1" ht="15" outlineLevel="1">
      <c r="A462" s="597">
        <v>3810</v>
      </c>
      <c r="B462" s="598" t="s">
        <v>97</v>
      </c>
      <c r="C462" s="598">
        <v>1972</v>
      </c>
      <c r="D462" s="599">
        <v>4078.2400000000007</v>
      </c>
      <c r="E462" s="601">
        <f>Input!$C$14-C462+0.5</f>
        <v>50.5</v>
      </c>
      <c r="F462" s="600">
        <f t="shared" si="70"/>
        <v>205951.12000000002</v>
      </c>
      <c r="G462" s="600"/>
      <c r="H462" s="317"/>
      <c r="I462" s="600"/>
      <c r="J462" s="600"/>
      <c r="K462" s="600"/>
      <c r="L462" s="600"/>
      <c r="M462" s="600"/>
      <c r="N462" s="600"/>
      <c r="O462" s="600">
        <f t="shared" si="71"/>
        <v>4078.2400000000007</v>
      </c>
      <c r="P462" s="601">
        <f t="shared" si="65"/>
        <v>50.5</v>
      </c>
      <c r="Q462" s="600">
        <f t="shared" si="66"/>
        <v>205951.12000000002</v>
      </c>
    </row>
    <row r="463" spans="1:17" s="598" customFormat="1" ht="15" outlineLevel="1">
      <c r="A463" s="597">
        <v>3810</v>
      </c>
      <c r="B463" s="598" t="s">
        <v>97</v>
      </c>
      <c r="C463" s="598">
        <v>1973</v>
      </c>
      <c r="D463" s="599">
        <v>12040.519999999999</v>
      </c>
      <c r="E463" s="601">
        <f>Input!$C$14-C463+0.5</f>
        <v>49.5</v>
      </c>
      <c r="F463" s="600">
        <f t="shared" si="70"/>
        <v>596005.73999999987</v>
      </c>
      <c r="G463" s="600"/>
      <c r="H463" s="317"/>
      <c r="I463" s="600"/>
      <c r="J463" s="600"/>
      <c r="K463" s="600"/>
      <c r="L463" s="600"/>
      <c r="M463" s="600"/>
      <c r="N463" s="600"/>
      <c r="O463" s="600">
        <f t="shared" si="71"/>
        <v>12040.519999999999</v>
      </c>
      <c r="P463" s="601">
        <f t="shared" si="65"/>
        <v>49.5</v>
      </c>
      <c r="Q463" s="600">
        <f t="shared" si="66"/>
        <v>596005.73999999987</v>
      </c>
    </row>
    <row r="464" spans="1:17" s="598" customFormat="1" ht="15" outlineLevel="1">
      <c r="A464" s="597">
        <v>3810</v>
      </c>
      <c r="B464" s="598" t="s">
        <v>97</v>
      </c>
      <c r="C464" s="598">
        <v>1974</v>
      </c>
      <c r="D464" s="599">
        <v>19543.37999999999</v>
      </c>
      <c r="E464" s="601">
        <f>Input!$C$14-C464+0.5</f>
        <v>48.5</v>
      </c>
      <c r="F464" s="600">
        <f t="shared" si="70"/>
        <v>947853.92999999947</v>
      </c>
      <c r="G464" s="600"/>
      <c r="H464" s="317"/>
      <c r="I464" s="600"/>
      <c r="J464" s="600"/>
      <c r="K464" s="600"/>
      <c r="L464" s="600"/>
      <c r="M464" s="600"/>
      <c r="N464" s="600"/>
      <c r="O464" s="600">
        <f t="shared" si="71"/>
        <v>19543.37999999999</v>
      </c>
      <c r="P464" s="601">
        <f t="shared" si="65"/>
        <v>48.5</v>
      </c>
      <c r="Q464" s="600">
        <f t="shared" si="66"/>
        <v>947853.92999999947</v>
      </c>
    </row>
    <row r="465" spans="1:17" s="598" customFormat="1" ht="15" outlineLevel="1">
      <c r="A465" s="597">
        <v>3810</v>
      </c>
      <c r="B465" s="598" t="s">
        <v>97</v>
      </c>
      <c r="C465" s="598">
        <v>1975</v>
      </c>
      <c r="D465" s="599">
        <v>9977.9400000000023</v>
      </c>
      <c r="E465" s="601">
        <f>Input!$C$14-C465+0.5</f>
        <v>47.5</v>
      </c>
      <c r="F465" s="600">
        <f t="shared" si="70"/>
        <v>473952.15000000014</v>
      </c>
      <c r="G465" s="600"/>
      <c r="H465" s="317"/>
      <c r="I465" s="600"/>
      <c r="J465" s="600"/>
      <c r="K465" s="600"/>
      <c r="L465" s="600"/>
      <c r="M465" s="600"/>
      <c r="N465" s="600"/>
      <c r="O465" s="600">
        <f t="shared" si="71"/>
        <v>9977.9400000000023</v>
      </c>
      <c r="P465" s="601">
        <f t="shared" si="65"/>
        <v>47.5</v>
      </c>
      <c r="Q465" s="600">
        <f t="shared" si="66"/>
        <v>473952.15000000014</v>
      </c>
    </row>
    <row r="466" spans="1:17" s="598" customFormat="1" ht="15" outlineLevel="1">
      <c r="A466" s="597">
        <v>3810</v>
      </c>
      <c r="B466" s="598" t="s">
        <v>97</v>
      </c>
      <c r="C466" s="598">
        <v>1976</v>
      </c>
      <c r="D466" s="599">
        <v>11094.649999999998</v>
      </c>
      <c r="E466" s="601">
        <f>Input!$C$14-C466+0.5</f>
        <v>46.5</v>
      </c>
      <c r="F466" s="600">
        <f t="shared" si="70"/>
        <v>515901.22499999992</v>
      </c>
      <c r="G466" s="600"/>
      <c r="H466" s="317"/>
      <c r="I466" s="600"/>
      <c r="J466" s="600"/>
      <c r="K466" s="600"/>
      <c r="L466" s="600"/>
      <c r="M466" s="600"/>
      <c r="N466" s="600"/>
      <c r="O466" s="600">
        <f t="shared" si="71"/>
        <v>11094.649999999998</v>
      </c>
      <c r="P466" s="601">
        <f t="shared" si="65"/>
        <v>46.5</v>
      </c>
      <c r="Q466" s="600">
        <f t="shared" si="66"/>
        <v>515901.22499999992</v>
      </c>
    </row>
    <row r="467" spans="1:17" s="598" customFormat="1" ht="15" outlineLevel="1">
      <c r="A467" s="597">
        <v>3810</v>
      </c>
      <c r="B467" s="598" t="s">
        <v>97</v>
      </c>
      <c r="C467" s="598">
        <v>1977</v>
      </c>
      <c r="D467" s="599">
        <v>17796.320000000003</v>
      </c>
      <c r="E467" s="601">
        <f>Input!$C$14-C467+0.5</f>
        <v>45.5</v>
      </c>
      <c r="F467" s="600">
        <f t="shared" si="70"/>
        <v>809732.56000000017</v>
      </c>
      <c r="G467" s="600"/>
      <c r="H467" s="317"/>
      <c r="I467" s="600"/>
      <c r="J467" s="600"/>
      <c r="K467" s="600"/>
      <c r="L467" s="600"/>
      <c r="M467" s="600"/>
      <c r="N467" s="600"/>
      <c r="O467" s="600">
        <f t="shared" si="71"/>
        <v>17796.320000000003</v>
      </c>
      <c r="P467" s="601">
        <f t="shared" si="65"/>
        <v>45.5</v>
      </c>
      <c r="Q467" s="600">
        <f t="shared" si="66"/>
        <v>809732.56000000017</v>
      </c>
    </row>
    <row r="468" spans="1:17" s="598" customFormat="1" ht="15" outlineLevel="1">
      <c r="A468" s="597">
        <v>3810</v>
      </c>
      <c r="B468" s="598" t="s">
        <v>97</v>
      </c>
      <c r="C468" s="598">
        <v>1978</v>
      </c>
      <c r="D468" s="599">
        <v>7240.420000000001</v>
      </c>
      <c r="E468" s="601">
        <f>Input!$C$14-C468+0.5</f>
        <v>44.5</v>
      </c>
      <c r="F468" s="600">
        <f t="shared" si="70"/>
        <v>322198.69000000006</v>
      </c>
      <c r="G468" s="600"/>
      <c r="H468" s="317"/>
      <c r="I468" s="600"/>
      <c r="J468" s="600"/>
      <c r="K468" s="600"/>
      <c r="L468" s="600"/>
      <c r="M468" s="600"/>
      <c r="N468" s="600"/>
      <c r="O468" s="600">
        <f t="shared" si="71"/>
        <v>7240.420000000001</v>
      </c>
      <c r="P468" s="601">
        <f t="shared" si="65"/>
        <v>44.5</v>
      </c>
      <c r="Q468" s="600">
        <f t="shared" si="66"/>
        <v>322198.69000000006</v>
      </c>
    </row>
    <row r="469" spans="1:17" s="598" customFormat="1" ht="15" outlineLevel="1">
      <c r="A469" s="597">
        <v>3810</v>
      </c>
      <c r="B469" s="598" t="s">
        <v>97</v>
      </c>
      <c r="C469" s="598">
        <v>1979</v>
      </c>
      <c r="D469" s="599">
        <v>36046.939999999995</v>
      </c>
      <c r="E469" s="601">
        <f>Input!$C$14-C469+0.5</f>
        <v>43.5</v>
      </c>
      <c r="F469" s="600">
        <f t="shared" si="70"/>
        <v>1568041.8899999999</v>
      </c>
      <c r="G469" s="600"/>
      <c r="H469" s="317"/>
      <c r="I469" s="600"/>
      <c r="J469" s="600"/>
      <c r="K469" s="600"/>
      <c r="L469" s="600"/>
      <c r="M469" s="600"/>
      <c r="N469" s="600"/>
      <c r="O469" s="600">
        <f t="shared" si="71"/>
        <v>36046.939999999995</v>
      </c>
      <c r="P469" s="601">
        <f t="shared" si="65"/>
        <v>43.5</v>
      </c>
      <c r="Q469" s="600">
        <f t="shared" si="66"/>
        <v>1568041.8899999999</v>
      </c>
    </row>
    <row r="470" spans="1:17" s="598" customFormat="1" ht="15" outlineLevel="1">
      <c r="A470" s="597">
        <v>3810</v>
      </c>
      <c r="B470" s="598" t="s">
        <v>97</v>
      </c>
      <c r="C470" s="598">
        <v>1980</v>
      </c>
      <c r="D470" s="599">
        <v>8501.2599999999984</v>
      </c>
      <c r="E470" s="601">
        <f>Input!$C$14-C470+0.5</f>
        <v>42.5</v>
      </c>
      <c r="F470" s="600">
        <f t="shared" si="70"/>
        <v>361303.54999999993</v>
      </c>
      <c r="G470" s="600"/>
      <c r="H470" s="317"/>
      <c r="I470" s="600"/>
      <c r="J470" s="600"/>
      <c r="K470" s="600"/>
      <c r="L470" s="600"/>
      <c r="M470" s="600"/>
      <c r="N470" s="600"/>
      <c r="O470" s="600">
        <f t="shared" si="71"/>
        <v>8501.2599999999984</v>
      </c>
      <c r="P470" s="601">
        <f t="shared" si="65"/>
        <v>42.5</v>
      </c>
      <c r="Q470" s="600">
        <f t="shared" si="66"/>
        <v>361303.54999999993</v>
      </c>
    </row>
    <row r="471" spans="1:17" s="598" customFormat="1" ht="15" outlineLevel="1">
      <c r="A471" s="597">
        <v>3810</v>
      </c>
      <c r="B471" s="598" t="s">
        <v>97</v>
      </c>
      <c r="C471" s="598">
        <v>1981</v>
      </c>
      <c r="D471" s="599">
        <v>33803.539999999994</v>
      </c>
      <c r="E471" s="601">
        <f>Input!$C$14-C471+0.5</f>
        <v>41.5</v>
      </c>
      <c r="F471" s="600">
        <f t="shared" si="70"/>
        <v>1402846.9099999997</v>
      </c>
      <c r="G471" s="600"/>
      <c r="H471" s="317"/>
      <c r="I471" s="600"/>
      <c r="J471" s="600"/>
      <c r="K471" s="600"/>
      <c r="L471" s="600"/>
      <c r="M471" s="600"/>
      <c r="N471" s="600"/>
      <c r="O471" s="600">
        <f t="shared" si="71"/>
        <v>33803.539999999994</v>
      </c>
      <c r="P471" s="601">
        <f t="shared" si="65"/>
        <v>41.5</v>
      </c>
      <c r="Q471" s="600">
        <f t="shared" si="66"/>
        <v>1402846.9099999997</v>
      </c>
    </row>
    <row r="472" spans="1:17" s="598" customFormat="1" ht="15" outlineLevel="1">
      <c r="A472" s="597">
        <v>3810</v>
      </c>
      <c r="B472" s="598" t="s">
        <v>97</v>
      </c>
      <c r="C472" s="598">
        <v>1982</v>
      </c>
      <c r="D472" s="599">
        <v>95477.040000000008</v>
      </c>
      <c r="E472" s="601">
        <f>Input!$C$14-C472+0.5</f>
        <v>40.5</v>
      </c>
      <c r="F472" s="600">
        <f t="shared" si="70"/>
        <v>3866820.1200000001</v>
      </c>
      <c r="G472" s="600"/>
      <c r="H472" s="317"/>
      <c r="I472" s="600"/>
      <c r="J472" s="600"/>
      <c r="K472" s="600"/>
      <c r="L472" s="600"/>
      <c r="M472" s="600"/>
      <c r="N472" s="600"/>
      <c r="O472" s="600">
        <f t="shared" si="71"/>
        <v>95477.040000000008</v>
      </c>
      <c r="P472" s="601">
        <f t="shared" si="65"/>
        <v>40.5</v>
      </c>
      <c r="Q472" s="600">
        <f t="shared" si="66"/>
        <v>3866820.1200000001</v>
      </c>
    </row>
    <row r="473" spans="1:17" s="598" customFormat="1" ht="15" outlineLevel="1">
      <c r="A473" s="597">
        <v>3810</v>
      </c>
      <c r="B473" s="598" t="s">
        <v>97</v>
      </c>
      <c r="C473" s="598">
        <v>1983</v>
      </c>
      <c r="D473" s="599">
        <v>108346.08000000002</v>
      </c>
      <c r="E473" s="601">
        <f>Input!$C$14-C473+0.5</f>
        <v>39.5</v>
      </c>
      <c r="F473" s="600">
        <f t="shared" si="70"/>
        <v>4279670.1600000011</v>
      </c>
      <c r="G473" s="600"/>
      <c r="H473" s="317"/>
      <c r="I473" s="600"/>
      <c r="J473" s="600"/>
      <c r="K473" s="600"/>
      <c r="L473" s="600"/>
      <c r="M473" s="600"/>
      <c r="N473" s="600"/>
      <c r="O473" s="600">
        <f t="shared" si="71"/>
        <v>108346.08000000002</v>
      </c>
      <c r="P473" s="601">
        <f t="shared" si="65"/>
        <v>39.5</v>
      </c>
      <c r="Q473" s="600">
        <f t="shared" si="66"/>
        <v>4279670.1600000011</v>
      </c>
    </row>
    <row r="474" spans="1:17" s="598" customFormat="1" ht="15" outlineLevel="1">
      <c r="A474" s="597">
        <v>3810</v>
      </c>
      <c r="B474" s="598" t="s">
        <v>97</v>
      </c>
      <c r="C474" s="598">
        <v>1984</v>
      </c>
      <c r="D474" s="599">
        <v>78795.960000000006</v>
      </c>
      <c r="E474" s="601">
        <f>Input!$C$14-C474+0.5</f>
        <v>38.5</v>
      </c>
      <c r="F474" s="600">
        <f t="shared" si="70"/>
        <v>3033644.4600000004</v>
      </c>
      <c r="G474" s="600"/>
      <c r="H474" s="317"/>
      <c r="I474" s="600"/>
      <c r="J474" s="600"/>
      <c r="K474" s="600"/>
      <c r="L474" s="600"/>
      <c r="M474" s="600"/>
      <c r="N474" s="600"/>
      <c r="O474" s="600">
        <f t="shared" si="71"/>
        <v>78795.960000000006</v>
      </c>
      <c r="P474" s="601">
        <f t="shared" si="65"/>
        <v>38.5</v>
      </c>
      <c r="Q474" s="600">
        <f t="shared" si="66"/>
        <v>3033644.4600000004</v>
      </c>
    </row>
    <row r="475" spans="1:17" s="598" customFormat="1" ht="15" outlineLevel="1">
      <c r="A475" s="597">
        <v>3810</v>
      </c>
      <c r="B475" s="598" t="s">
        <v>97</v>
      </c>
      <c r="C475" s="598">
        <v>1985</v>
      </c>
      <c r="D475" s="599">
        <v>93761.350000000006</v>
      </c>
      <c r="E475" s="601">
        <f>Input!$C$14-C475+0.5</f>
        <v>37.5</v>
      </c>
      <c r="F475" s="600">
        <f t="shared" si="70"/>
        <v>3516050.625</v>
      </c>
      <c r="G475" s="600"/>
      <c r="H475" s="317"/>
      <c r="I475" s="600"/>
      <c r="J475" s="600"/>
      <c r="K475" s="600"/>
      <c r="L475" s="600"/>
      <c r="M475" s="600"/>
      <c r="N475" s="600"/>
      <c r="O475" s="600">
        <f t="shared" si="71"/>
        <v>93761.350000000006</v>
      </c>
      <c r="P475" s="601">
        <f t="shared" si="65"/>
        <v>37.5</v>
      </c>
      <c r="Q475" s="600">
        <f t="shared" si="66"/>
        <v>3516050.625</v>
      </c>
    </row>
    <row r="476" spans="1:17" s="598" customFormat="1" ht="15" outlineLevel="1">
      <c r="A476" s="597">
        <v>3810</v>
      </c>
      <c r="B476" s="598" t="s">
        <v>97</v>
      </c>
      <c r="C476" s="598">
        <v>1986</v>
      </c>
      <c r="D476" s="599">
        <v>118487.33000000002</v>
      </c>
      <c r="E476" s="601">
        <f>Input!$C$14-C476+0.5</f>
        <v>36.5</v>
      </c>
      <c r="F476" s="600">
        <f t="shared" si="70"/>
        <v>4324787.5450000009</v>
      </c>
      <c r="G476" s="600"/>
      <c r="H476" s="317"/>
      <c r="I476" s="600"/>
      <c r="J476" s="600"/>
      <c r="K476" s="600"/>
      <c r="L476" s="600"/>
      <c r="M476" s="600"/>
      <c r="N476" s="600"/>
      <c r="O476" s="600">
        <f t="shared" si="71"/>
        <v>118487.33000000002</v>
      </c>
      <c r="P476" s="601">
        <f t="shared" si="65"/>
        <v>36.5</v>
      </c>
      <c r="Q476" s="600">
        <f t="shared" si="66"/>
        <v>4324787.5450000009</v>
      </c>
    </row>
    <row r="477" spans="1:17" s="598" customFormat="1" ht="15" outlineLevel="1">
      <c r="A477" s="597">
        <v>3810</v>
      </c>
      <c r="B477" s="598" t="s">
        <v>97</v>
      </c>
      <c r="C477" s="598">
        <v>1987</v>
      </c>
      <c r="D477" s="599">
        <v>102771.45</v>
      </c>
      <c r="E477" s="601">
        <f>Input!$C$14-C477+0.5</f>
        <v>35.5</v>
      </c>
      <c r="F477" s="600">
        <f t="shared" si="70"/>
        <v>3648386.4750000001</v>
      </c>
      <c r="G477" s="600"/>
      <c r="H477" s="317"/>
      <c r="I477" s="600"/>
      <c r="J477" s="600"/>
      <c r="K477" s="600"/>
      <c r="L477" s="600"/>
      <c r="M477" s="600"/>
      <c r="N477" s="600"/>
      <c r="O477" s="600">
        <f t="shared" si="71"/>
        <v>102771.45</v>
      </c>
      <c r="P477" s="601">
        <f t="shared" si="65"/>
        <v>35.5</v>
      </c>
      <c r="Q477" s="600">
        <f t="shared" si="66"/>
        <v>3648386.4750000001</v>
      </c>
    </row>
    <row r="478" spans="1:17" s="598" customFormat="1" ht="15" outlineLevel="1">
      <c r="A478" s="597">
        <v>3810</v>
      </c>
      <c r="B478" s="598" t="s">
        <v>97</v>
      </c>
      <c r="C478" s="598">
        <v>1988</v>
      </c>
      <c r="D478" s="599">
        <v>165436.39000000001</v>
      </c>
      <c r="E478" s="601">
        <f>Input!$C$14-C478+0.5</f>
        <v>34.5</v>
      </c>
      <c r="F478" s="600">
        <f t="shared" si="70"/>
        <v>5707555.4550000001</v>
      </c>
      <c r="G478" s="600"/>
      <c r="H478" s="317"/>
      <c r="I478" s="600"/>
      <c r="J478" s="600"/>
      <c r="K478" s="600"/>
      <c r="L478" s="600"/>
      <c r="M478" s="600"/>
      <c r="N478" s="600"/>
      <c r="O478" s="600">
        <f t="shared" si="71"/>
        <v>165436.39000000001</v>
      </c>
      <c r="P478" s="601">
        <f t="shared" si="65"/>
        <v>34.5</v>
      </c>
      <c r="Q478" s="600">
        <f t="shared" si="66"/>
        <v>5707555.4550000001</v>
      </c>
    </row>
    <row r="479" spans="1:17" s="598" customFormat="1" ht="15" outlineLevel="1">
      <c r="A479" s="597">
        <v>3810</v>
      </c>
      <c r="B479" s="598" t="s">
        <v>97</v>
      </c>
      <c r="C479" s="598">
        <v>1989</v>
      </c>
      <c r="D479" s="599">
        <v>92174.419999999998</v>
      </c>
      <c r="E479" s="601">
        <f>Input!$C$14-C479+0.5</f>
        <v>33.5</v>
      </c>
      <c r="F479" s="600">
        <f t="shared" si="70"/>
        <v>3087843.0699999998</v>
      </c>
      <c r="G479" s="600"/>
      <c r="H479" s="317"/>
      <c r="I479" s="600"/>
      <c r="J479" s="600"/>
      <c r="K479" s="600"/>
      <c r="L479" s="600"/>
      <c r="M479" s="600"/>
      <c r="N479" s="600"/>
      <c r="O479" s="600">
        <f t="shared" si="71"/>
        <v>92174.419999999998</v>
      </c>
      <c r="P479" s="601">
        <f t="shared" si="65"/>
        <v>33.5</v>
      </c>
      <c r="Q479" s="600">
        <f t="shared" si="66"/>
        <v>3087843.0699999998</v>
      </c>
    </row>
    <row r="480" spans="1:17" s="598" customFormat="1" ht="15" outlineLevel="1">
      <c r="A480" s="597">
        <v>3810</v>
      </c>
      <c r="B480" s="598" t="s">
        <v>97</v>
      </c>
      <c r="C480" s="598">
        <v>1990</v>
      </c>
      <c r="D480" s="599">
        <v>48.790000000000873</v>
      </c>
      <c r="E480" s="601">
        <f>Input!$C$14-C480+0.5</f>
        <v>32.5</v>
      </c>
      <c r="F480" s="600">
        <f t="shared" si="70"/>
        <v>1585.6750000000284</v>
      </c>
      <c r="G480" s="600"/>
      <c r="H480" s="317"/>
      <c r="I480" s="600"/>
      <c r="J480" s="600"/>
      <c r="K480" s="600"/>
      <c r="L480" s="600"/>
      <c r="M480" s="600"/>
      <c r="N480" s="600"/>
      <c r="O480" s="600">
        <f t="shared" si="71"/>
        <v>48.790000000000873</v>
      </c>
      <c r="P480" s="601">
        <f t="shared" si="65"/>
        <v>32.5</v>
      </c>
      <c r="Q480" s="600">
        <f t="shared" si="66"/>
        <v>1585.6750000000284</v>
      </c>
    </row>
    <row r="481" spans="1:17" s="598" customFormat="1" ht="15" outlineLevel="1">
      <c r="A481" s="597">
        <v>3810</v>
      </c>
      <c r="B481" s="598" t="s">
        <v>97</v>
      </c>
      <c r="C481" s="598">
        <v>1991</v>
      </c>
      <c r="D481" s="599">
        <v>31771.830000000005</v>
      </c>
      <c r="E481" s="601">
        <f>Input!$C$14-C481+0.5</f>
        <v>31.5</v>
      </c>
      <c r="F481" s="600">
        <f t="shared" si="70"/>
        <v>1000812.6450000001</v>
      </c>
      <c r="G481" s="600"/>
      <c r="H481" s="317"/>
      <c r="I481" s="600"/>
      <c r="J481" s="600"/>
      <c r="K481" s="600"/>
      <c r="L481" s="600"/>
      <c r="M481" s="600"/>
      <c r="N481" s="600"/>
      <c r="O481" s="600">
        <f t="shared" si="71"/>
        <v>31771.830000000005</v>
      </c>
      <c r="P481" s="601">
        <f t="shared" si="65"/>
        <v>31.5</v>
      </c>
      <c r="Q481" s="600">
        <f t="shared" si="66"/>
        <v>1000812.6450000001</v>
      </c>
    </row>
    <row r="482" spans="1:17" s="598" customFormat="1" ht="15" outlineLevel="1">
      <c r="A482" s="597">
        <v>3810</v>
      </c>
      <c r="B482" s="598" t="s">
        <v>97</v>
      </c>
      <c r="C482" s="598">
        <v>1992</v>
      </c>
      <c r="D482" s="599">
        <v>221601.86000000004</v>
      </c>
      <c r="E482" s="601">
        <f>Input!$C$14-C482+0.5</f>
        <v>30.5</v>
      </c>
      <c r="F482" s="600">
        <f t="shared" si="70"/>
        <v>6758856.7300000014</v>
      </c>
      <c r="G482" s="600"/>
      <c r="H482" s="317"/>
      <c r="I482" s="600"/>
      <c r="J482" s="600"/>
      <c r="K482" s="600"/>
      <c r="L482" s="600"/>
      <c r="M482" s="600"/>
      <c r="N482" s="600"/>
      <c r="O482" s="600">
        <f t="shared" si="71"/>
        <v>221601.86000000004</v>
      </c>
      <c r="P482" s="601">
        <f t="shared" si="65"/>
        <v>30.5</v>
      </c>
      <c r="Q482" s="600">
        <f t="shared" si="66"/>
        <v>6758856.7300000014</v>
      </c>
    </row>
    <row r="483" spans="1:17" s="598" customFormat="1" ht="15" outlineLevel="1">
      <c r="A483" s="597">
        <v>3810</v>
      </c>
      <c r="B483" s="598" t="s">
        <v>97</v>
      </c>
      <c r="C483" s="598">
        <v>1993</v>
      </c>
      <c r="D483" s="599">
        <v>124250.43000000001</v>
      </c>
      <c r="E483" s="601">
        <f>Input!$C$14-C483+0.5</f>
        <v>29.5</v>
      </c>
      <c r="F483" s="600">
        <f t="shared" si="70"/>
        <v>3665387.6850000001</v>
      </c>
      <c r="G483" s="600"/>
      <c r="H483" s="317"/>
      <c r="I483" s="600"/>
      <c r="J483" s="600"/>
      <c r="K483" s="600"/>
      <c r="L483" s="600"/>
      <c r="M483" s="600"/>
      <c r="N483" s="600"/>
      <c r="O483" s="600">
        <f t="shared" si="71"/>
        <v>124250.43000000001</v>
      </c>
      <c r="P483" s="601">
        <f t="shared" si="65"/>
        <v>29.5</v>
      </c>
      <c r="Q483" s="600">
        <f t="shared" si="66"/>
        <v>3665387.6850000001</v>
      </c>
    </row>
    <row r="484" spans="1:17" s="598" customFormat="1" ht="15" outlineLevel="1">
      <c r="A484" s="597">
        <v>3810</v>
      </c>
      <c r="B484" s="598" t="s">
        <v>97</v>
      </c>
      <c r="C484" s="598">
        <v>1994</v>
      </c>
      <c r="D484" s="599">
        <v>130337.49000000002</v>
      </c>
      <c r="E484" s="601">
        <f>Input!$C$14-C484+0.5</f>
        <v>28.5</v>
      </c>
      <c r="F484" s="600">
        <f t="shared" si="70"/>
        <v>3714618.4650000008</v>
      </c>
      <c r="G484" s="600"/>
      <c r="H484" s="317"/>
      <c r="I484" s="600"/>
      <c r="J484" s="600"/>
      <c r="K484" s="600"/>
      <c r="L484" s="600"/>
      <c r="M484" s="600"/>
      <c r="N484" s="600"/>
      <c r="O484" s="600">
        <f t="shared" si="71"/>
        <v>130337.49000000002</v>
      </c>
      <c r="P484" s="601">
        <f t="shared" si="65"/>
        <v>28.5</v>
      </c>
      <c r="Q484" s="600">
        <f t="shared" si="66"/>
        <v>3714618.4650000008</v>
      </c>
    </row>
    <row r="485" spans="1:17" s="598" customFormat="1" ht="15" outlineLevel="1">
      <c r="A485" s="597">
        <v>3810</v>
      </c>
      <c r="B485" s="598" t="s">
        <v>97</v>
      </c>
      <c r="C485" s="598">
        <v>1995</v>
      </c>
      <c r="D485" s="599">
        <v>87857.300000000017</v>
      </c>
      <c r="E485" s="601">
        <f>Input!$C$14-C485+0.5</f>
        <v>27.5</v>
      </c>
      <c r="F485" s="600">
        <f t="shared" si="70"/>
        <v>2416075.7500000005</v>
      </c>
      <c r="G485" s="600"/>
      <c r="H485" s="317"/>
      <c r="I485" s="600"/>
      <c r="J485" s="600"/>
      <c r="K485" s="600"/>
      <c r="L485" s="600"/>
      <c r="M485" s="600"/>
      <c r="N485" s="600"/>
      <c r="O485" s="600">
        <f t="shared" si="71"/>
        <v>87857.300000000017</v>
      </c>
      <c r="P485" s="601">
        <f t="shared" si="65"/>
        <v>27.5</v>
      </c>
      <c r="Q485" s="600">
        <f t="shared" si="66"/>
        <v>2416075.7500000005</v>
      </c>
    </row>
    <row r="486" spans="1:17" s="598" customFormat="1" ht="15" outlineLevel="1">
      <c r="A486" s="597">
        <v>3810</v>
      </c>
      <c r="B486" s="598" t="s">
        <v>97</v>
      </c>
      <c r="C486" s="598">
        <v>1996</v>
      </c>
      <c r="D486" s="599">
        <f>96647.48+18515.88-2110</f>
        <v>113053.36</v>
      </c>
      <c r="E486" s="601">
        <f>Input!$C$14-C486+0.5</f>
        <v>26.5</v>
      </c>
      <c r="F486" s="600">
        <f t="shared" si="70"/>
        <v>2995914.04</v>
      </c>
      <c r="G486" s="600"/>
      <c r="H486" s="317"/>
      <c r="I486" s="600"/>
      <c r="J486" s="600"/>
      <c r="K486" s="600"/>
      <c r="L486" s="600"/>
      <c r="M486" s="600"/>
      <c r="N486" s="600"/>
      <c r="O486" s="600">
        <f t="shared" si="71"/>
        <v>113053.36</v>
      </c>
      <c r="P486" s="601">
        <f t="shared" si="65"/>
        <v>26.5</v>
      </c>
      <c r="Q486" s="600">
        <f t="shared" si="66"/>
        <v>2995914.04</v>
      </c>
    </row>
    <row r="487" spans="1:17" s="598" customFormat="1" ht="15" outlineLevel="1">
      <c r="A487" s="597">
        <v>3810</v>
      </c>
      <c r="B487" s="598" t="s">
        <v>97</v>
      </c>
      <c r="C487" s="598">
        <v>1997</v>
      </c>
      <c r="D487" s="599">
        <v>114387.98000000001</v>
      </c>
      <c r="E487" s="601">
        <f>Input!$C$14-C487+0.5</f>
        <v>25.5</v>
      </c>
      <c r="F487" s="600">
        <f t="shared" si="70"/>
        <v>2916893.4900000002</v>
      </c>
      <c r="G487" s="600"/>
      <c r="H487" s="317"/>
      <c r="I487" s="600"/>
      <c r="J487" s="600"/>
      <c r="K487" s="600"/>
      <c r="L487" s="600"/>
      <c r="M487" s="600"/>
      <c r="N487" s="600"/>
      <c r="O487" s="600">
        <f t="shared" si="71"/>
        <v>114387.98000000001</v>
      </c>
      <c r="P487" s="601">
        <f t="shared" si="65"/>
        <v>25.5</v>
      </c>
      <c r="Q487" s="600">
        <f t="shared" si="66"/>
        <v>2916893.4900000002</v>
      </c>
    </row>
    <row r="488" spans="1:17" s="598" customFormat="1" ht="15" outlineLevel="1">
      <c r="A488" s="597">
        <v>3810</v>
      </c>
      <c r="B488" s="598" t="s">
        <v>97</v>
      </c>
      <c r="C488" s="598">
        <v>1998</v>
      </c>
      <c r="D488" s="599">
        <v>160114.95000000001</v>
      </c>
      <c r="E488" s="601">
        <f>Input!$C$14-C488+0.5</f>
        <v>24.5</v>
      </c>
      <c r="F488" s="600">
        <f t="shared" si="70"/>
        <v>3922816.2750000004</v>
      </c>
      <c r="G488" s="600"/>
      <c r="H488" s="317"/>
      <c r="I488" s="600"/>
      <c r="J488" s="600"/>
      <c r="K488" s="600"/>
      <c r="L488" s="600"/>
      <c r="M488" s="600"/>
      <c r="N488" s="600"/>
      <c r="O488" s="600">
        <f t="shared" si="71"/>
        <v>160114.95000000001</v>
      </c>
      <c r="P488" s="601">
        <f t="shared" si="65"/>
        <v>24.5</v>
      </c>
      <c r="Q488" s="600">
        <f t="shared" si="66"/>
        <v>3922816.2750000004</v>
      </c>
    </row>
    <row r="489" spans="1:17" s="598" customFormat="1" ht="15" outlineLevel="1">
      <c r="A489" s="597">
        <v>3810</v>
      </c>
      <c r="B489" s="598" t="s">
        <v>97</v>
      </c>
      <c r="C489" s="598">
        <v>1999</v>
      </c>
      <c r="D489" s="599">
        <v>206898.63999999998</v>
      </c>
      <c r="E489" s="601">
        <f>Input!$C$14-C489+0.5</f>
        <v>23.5</v>
      </c>
      <c r="F489" s="600">
        <f t="shared" si="70"/>
        <v>4862118.04</v>
      </c>
      <c r="G489" s="600"/>
      <c r="H489" s="317"/>
      <c r="I489" s="600"/>
      <c r="J489" s="600"/>
      <c r="K489" s="600"/>
      <c r="L489" s="600"/>
      <c r="M489" s="600"/>
      <c r="N489" s="600"/>
      <c r="O489" s="600">
        <f t="shared" si="71"/>
        <v>206898.63999999998</v>
      </c>
      <c r="P489" s="601">
        <f t="shared" si="65"/>
        <v>23.5</v>
      </c>
      <c r="Q489" s="600">
        <f t="shared" si="66"/>
        <v>4862118.04</v>
      </c>
    </row>
    <row r="490" spans="1:17" s="598" customFormat="1" ht="15" outlineLevel="1">
      <c r="A490" s="597">
        <v>3810</v>
      </c>
      <c r="B490" s="598" t="s">
        <v>97</v>
      </c>
      <c r="C490" s="598">
        <v>2000</v>
      </c>
      <c r="D490" s="599">
        <v>113855.07999999999</v>
      </c>
      <c r="E490" s="601">
        <f>Input!$C$14-C490+0.5</f>
        <v>22.5</v>
      </c>
      <c r="F490" s="600">
        <f t="shared" si="70"/>
        <v>2561739.2999999998</v>
      </c>
      <c r="G490" s="600"/>
      <c r="H490" s="317"/>
      <c r="I490" s="600"/>
      <c r="J490" s="600"/>
      <c r="K490" s="600"/>
      <c r="L490" s="600"/>
      <c r="M490" s="600"/>
      <c r="N490" s="600"/>
      <c r="O490" s="600">
        <f t="shared" si="71"/>
        <v>113855.07999999999</v>
      </c>
      <c r="P490" s="601">
        <f t="shared" si="65"/>
        <v>22.5</v>
      </c>
      <c r="Q490" s="600">
        <f t="shared" si="66"/>
        <v>2561739.2999999998</v>
      </c>
    </row>
    <row r="491" spans="1:17" s="598" customFormat="1" ht="15" outlineLevel="1">
      <c r="A491" s="597">
        <v>3810</v>
      </c>
      <c r="B491" s="598" t="s">
        <v>97</v>
      </c>
      <c r="C491" s="598">
        <v>2001</v>
      </c>
      <c r="D491" s="599">
        <v>510564.46000000008</v>
      </c>
      <c r="E491" s="601">
        <f>Input!$C$14-C491+0.5</f>
        <v>21.5</v>
      </c>
      <c r="F491" s="600">
        <f t="shared" si="70"/>
        <v>10977135.890000002</v>
      </c>
      <c r="G491" s="600"/>
      <c r="H491" s="317"/>
      <c r="I491" s="600"/>
      <c r="J491" s="600"/>
      <c r="K491" s="600"/>
      <c r="L491" s="600"/>
      <c r="M491" s="600"/>
      <c r="N491" s="600"/>
      <c r="O491" s="600">
        <f t="shared" si="71"/>
        <v>510564.46000000008</v>
      </c>
      <c r="P491" s="601">
        <f t="shared" si="65"/>
        <v>21.5</v>
      </c>
      <c r="Q491" s="600">
        <f t="shared" si="66"/>
        <v>10977135.890000002</v>
      </c>
    </row>
    <row r="492" spans="1:17" s="598" customFormat="1" ht="15" outlineLevel="1">
      <c r="A492" s="597">
        <v>3810</v>
      </c>
      <c r="B492" s="598" t="s">
        <v>97</v>
      </c>
      <c r="C492" s="598">
        <v>2002</v>
      </c>
      <c r="D492" s="599">
        <v>364451.86000000004</v>
      </c>
      <c r="E492" s="601">
        <f>Input!$C$14-C492+0.5</f>
        <v>20.5</v>
      </c>
      <c r="F492" s="600">
        <f t="shared" si="70"/>
        <v>7471263.1300000008</v>
      </c>
      <c r="G492" s="600"/>
      <c r="H492" s="317"/>
      <c r="I492" s="600"/>
      <c r="J492" s="600"/>
      <c r="K492" s="600"/>
      <c r="L492" s="600"/>
      <c r="M492" s="600"/>
      <c r="N492" s="600"/>
      <c r="O492" s="600">
        <f t="shared" si="71"/>
        <v>364451.86000000004</v>
      </c>
      <c r="P492" s="601">
        <f t="shared" si="65"/>
        <v>20.5</v>
      </c>
      <c r="Q492" s="600">
        <f t="shared" si="66"/>
        <v>7471263.1300000008</v>
      </c>
    </row>
    <row r="493" spans="1:17" s="598" customFormat="1" ht="15" outlineLevel="1">
      <c r="A493" s="597">
        <v>3810</v>
      </c>
      <c r="B493" s="598" t="s">
        <v>97</v>
      </c>
      <c r="C493" s="598">
        <v>2003</v>
      </c>
      <c r="D493" s="599">
        <f>328932.96+48.78</f>
        <v>328981.74000000005</v>
      </c>
      <c r="E493" s="601">
        <f>Input!$C$14-C493+0.5</f>
        <v>19.5</v>
      </c>
      <c r="F493" s="600">
        <f t="shared" si="70"/>
        <v>6415143.9300000006</v>
      </c>
      <c r="G493" s="600"/>
      <c r="H493" s="317"/>
      <c r="I493" s="600"/>
      <c r="J493" s="600"/>
      <c r="K493" s="600"/>
      <c r="L493" s="600"/>
      <c r="M493" s="600"/>
      <c r="N493" s="600"/>
      <c r="O493" s="600">
        <f t="shared" si="71"/>
        <v>328981.74000000005</v>
      </c>
      <c r="P493" s="601">
        <f t="shared" si="65"/>
        <v>19.5</v>
      </c>
      <c r="Q493" s="600">
        <f t="shared" si="66"/>
        <v>6415143.9300000006</v>
      </c>
    </row>
    <row r="494" spans="1:17" s="598" customFormat="1" ht="15" outlineLevel="1">
      <c r="A494" s="597">
        <v>3810</v>
      </c>
      <c r="B494" s="598" t="s">
        <v>97</v>
      </c>
      <c r="C494" s="598">
        <v>2004</v>
      </c>
      <c r="D494" s="599">
        <v>377347.7300000001</v>
      </c>
      <c r="E494" s="601">
        <f>Input!$C$14-C494+0.5</f>
        <v>18.5</v>
      </c>
      <c r="F494" s="600">
        <f t="shared" si="70"/>
        <v>6980933.0050000018</v>
      </c>
      <c r="G494" s="600"/>
      <c r="H494" s="317"/>
      <c r="I494" s="600"/>
      <c r="J494" s="600"/>
      <c r="K494" s="600"/>
      <c r="L494" s="600"/>
      <c r="M494" s="600"/>
      <c r="N494" s="600"/>
      <c r="O494" s="600">
        <f t="shared" si="71"/>
        <v>377347.7300000001</v>
      </c>
      <c r="P494" s="601">
        <f t="shared" si="65"/>
        <v>18.5</v>
      </c>
      <c r="Q494" s="600">
        <f t="shared" si="66"/>
        <v>6980933.0050000018</v>
      </c>
    </row>
    <row r="495" spans="1:17" s="598" customFormat="1" ht="15" outlineLevel="1">
      <c r="A495" s="597">
        <v>3810</v>
      </c>
      <c r="B495" s="598" t="s">
        <v>97</v>
      </c>
      <c r="C495" s="598">
        <v>2005</v>
      </c>
      <c r="D495" s="599">
        <f>658047.18+11577.06</f>
        <v>669624.24000000011</v>
      </c>
      <c r="E495" s="601">
        <f>Input!$C$14-C495+0.5</f>
        <v>17.5</v>
      </c>
      <c r="F495" s="600">
        <f t="shared" si="70"/>
        <v>11718424.200000001</v>
      </c>
      <c r="G495" s="600"/>
      <c r="H495" s="317"/>
      <c r="I495" s="600"/>
      <c r="J495" s="600"/>
      <c r="K495" s="600"/>
      <c r="L495" s="600"/>
      <c r="M495" s="600"/>
      <c r="N495" s="600"/>
      <c r="O495" s="600">
        <f t="shared" si="71"/>
        <v>669624.24000000011</v>
      </c>
      <c r="P495" s="601">
        <f t="shared" si="65"/>
        <v>17.5</v>
      </c>
      <c r="Q495" s="600">
        <f t="shared" si="66"/>
        <v>11718424.200000001</v>
      </c>
    </row>
    <row r="496" spans="1:17" s="598" customFormat="1" ht="15" outlineLevel="1">
      <c r="A496" s="597">
        <v>3810</v>
      </c>
      <c r="B496" s="598" t="s">
        <v>97</v>
      </c>
      <c r="C496" s="598">
        <v>2006</v>
      </c>
      <c r="D496" s="599">
        <f>840051.25+616</f>
        <v>840667.25</v>
      </c>
      <c r="E496" s="601">
        <f>Input!$C$14-C496+0.5</f>
        <v>16.5</v>
      </c>
      <c r="F496" s="600">
        <f t="shared" si="70"/>
        <v>13871009.625</v>
      </c>
      <c r="G496" s="600"/>
      <c r="H496" s="317"/>
      <c r="I496" s="600"/>
      <c r="J496" s="600"/>
      <c r="K496" s="600"/>
      <c r="L496" s="600"/>
      <c r="M496" s="600"/>
      <c r="N496" s="600"/>
      <c r="O496" s="600">
        <f t="shared" si="71"/>
        <v>840667.25</v>
      </c>
      <c r="P496" s="601">
        <f t="shared" si="65"/>
        <v>16.5</v>
      </c>
      <c r="Q496" s="600">
        <f t="shared" si="66"/>
        <v>13871009.625</v>
      </c>
    </row>
    <row r="497" spans="1:17" s="598" customFormat="1" ht="15" outlineLevel="1">
      <c r="A497" s="597">
        <v>3810</v>
      </c>
      <c r="B497" s="598" t="s">
        <v>97</v>
      </c>
      <c r="C497" s="598">
        <v>2007</v>
      </c>
      <c r="D497" s="599">
        <v>417936.15999999974</v>
      </c>
      <c r="E497" s="601">
        <f>Input!$C$14-C497+0.5</f>
        <v>15.5</v>
      </c>
      <c r="F497" s="600">
        <f t="shared" si="70"/>
        <v>6478010.4799999958</v>
      </c>
      <c r="G497" s="600"/>
      <c r="H497" s="317"/>
      <c r="I497" s="600"/>
      <c r="J497" s="600"/>
      <c r="K497" s="600"/>
      <c r="L497" s="600"/>
      <c r="M497" s="600"/>
      <c r="N497" s="600"/>
      <c r="O497" s="600">
        <f t="shared" si="71"/>
        <v>417936.15999999974</v>
      </c>
      <c r="P497" s="601">
        <f t="shared" si="65"/>
        <v>15.5</v>
      </c>
      <c r="Q497" s="600">
        <f t="shared" si="66"/>
        <v>6478010.4799999958</v>
      </c>
    </row>
    <row r="498" spans="1:17" s="598" customFormat="1" ht="15" outlineLevel="1">
      <c r="A498" s="597">
        <v>3810</v>
      </c>
      <c r="B498" s="598" t="s">
        <v>97</v>
      </c>
      <c r="C498" s="598">
        <v>2008</v>
      </c>
      <c r="D498" s="599">
        <v>701767.78000000026</v>
      </c>
      <c r="E498" s="601">
        <f>Input!$C$14-C498+0.5</f>
        <v>14.5</v>
      </c>
      <c r="F498" s="600">
        <f t="shared" si="70"/>
        <v>10175632.810000004</v>
      </c>
      <c r="G498" s="600"/>
      <c r="H498" s="317"/>
      <c r="I498" s="600"/>
      <c r="J498" s="600"/>
      <c r="K498" s="600"/>
      <c r="L498" s="600"/>
      <c r="M498" s="600"/>
      <c r="N498" s="600"/>
      <c r="O498" s="600">
        <f t="shared" si="71"/>
        <v>701767.78000000026</v>
      </c>
      <c r="P498" s="601">
        <f t="shared" si="65"/>
        <v>14.5</v>
      </c>
      <c r="Q498" s="600">
        <f t="shared" si="66"/>
        <v>10175632.810000004</v>
      </c>
    </row>
    <row r="499" spans="1:17" s="598" customFormat="1" ht="15" outlineLevel="1">
      <c r="A499" s="597">
        <v>3810</v>
      </c>
      <c r="B499" s="598" t="s">
        <v>97</v>
      </c>
      <c r="C499" s="598">
        <v>2009</v>
      </c>
      <c r="D499" s="599">
        <f>465281.54+2104</f>
        <v>467385.53999999998</v>
      </c>
      <c r="E499" s="601">
        <f>Input!$C$14-C499+0.5</f>
        <v>13.5</v>
      </c>
      <c r="F499" s="600">
        <f t="shared" si="70"/>
        <v>6309704.79</v>
      </c>
      <c r="G499" s="600"/>
      <c r="H499" s="317"/>
      <c r="I499" s="600"/>
      <c r="J499" s="600"/>
      <c r="K499" s="600"/>
      <c r="L499" s="600"/>
      <c r="M499" s="600"/>
      <c r="N499" s="600"/>
      <c r="O499" s="600">
        <f t="shared" si="71"/>
        <v>467385.53999999998</v>
      </c>
      <c r="P499" s="601">
        <f t="shared" si="65"/>
        <v>13.5</v>
      </c>
      <c r="Q499" s="600">
        <f t="shared" si="66"/>
        <v>6309704.79</v>
      </c>
    </row>
    <row r="500" spans="1:17" s="598" customFormat="1" ht="15" outlineLevel="1">
      <c r="A500" s="597">
        <v>3810</v>
      </c>
      <c r="B500" s="598" t="s">
        <v>97</v>
      </c>
      <c r="C500" s="598">
        <v>2010</v>
      </c>
      <c r="D500" s="599">
        <f>257541.62-30751.72</f>
        <v>226789.89999999999</v>
      </c>
      <c r="E500" s="601">
        <f>Input!$C$14-C500+0.5</f>
        <v>12.5</v>
      </c>
      <c r="F500" s="600">
        <f t="shared" si="70"/>
        <v>2834873.75</v>
      </c>
      <c r="G500" s="600"/>
      <c r="H500" s="317"/>
      <c r="I500" s="600"/>
      <c r="J500" s="600"/>
      <c r="K500" s="600"/>
      <c r="L500" s="600"/>
      <c r="M500" s="600"/>
      <c r="N500" s="600"/>
      <c r="O500" s="600">
        <f t="shared" si="71"/>
        <v>226789.89999999999</v>
      </c>
      <c r="P500" s="601">
        <f t="shared" si="65"/>
        <v>12.5</v>
      </c>
      <c r="Q500" s="600">
        <f t="shared" si="66"/>
        <v>2834873.75</v>
      </c>
    </row>
    <row r="501" spans="1:17" s="598" customFormat="1" ht="15" outlineLevel="1">
      <c r="A501" s="597">
        <v>3810</v>
      </c>
      <c r="B501" s="598" t="s">
        <v>97</v>
      </c>
      <c r="C501" s="598">
        <v>2011</v>
      </c>
      <c r="D501" s="599">
        <v>572748.05000000005</v>
      </c>
      <c r="E501" s="601">
        <f>Input!$C$14-C501+0.5</f>
        <v>11.5</v>
      </c>
      <c r="F501" s="600">
        <f t="shared" si="70"/>
        <v>6586602.5750000002</v>
      </c>
      <c r="G501" s="600"/>
      <c r="H501" s="317"/>
      <c r="I501" s="600"/>
      <c r="J501" s="600"/>
      <c r="K501" s="600"/>
      <c r="L501" s="600"/>
      <c r="M501" s="600"/>
      <c r="N501" s="600"/>
      <c r="O501" s="600">
        <f t="shared" si="71"/>
        <v>572748.05000000005</v>
      </c>
      <c r="P501" s="601">
        <f t="shared" si="65"/>
        <v>11.5</v>
      </c>
      <c r="Q501" s="600">
        <f t="shared" si="66"/>
        <v>6586602.5750000002</v>
      </c>
    </row>
    <row r="502" spans="1:17" s="598" customFormat="1" ht="15" outlineLevel="1">
      <c r="A502" s="597">
        <v>3810</v>
      </c>
      <c r="B502" s="598" t="s">
        <v>97</v>
      </c>
      <c r="C502" s="598">
        <v>2012</v>
      </c>
      <c r="D502" s="599">
        <v>363996.20000000007</v>
      </c>
      <c r="E502" s="601">
        <f>Input!$C$14-C502+0.5</f>
        <v>10.5</v>
      </c>
      <c r="F502" s="600">
        <f t="shared" si="70"/>
        <v>3821960.1000000006</v>
      </c>
      <c r="G502" s="600"/>
      <c r="H502" s="317"/>
      <c r="I502" s="600"/>
      <c r="J502" s="600"/>
      <c r="K502" s="600"/>
      <c r="L502" s="600"/>
      <c r="M502" s="600"/>
      <c r="N502" s="600"/>
      <c r="O502" s="600">
        <f t="shared" si="71"/>
        <v>363996.20000000007</v>
      </c>
      <c r="P502" s="601">
        <f t="shared" si="65"/>
        <v>10.5</v>
      </c>
      <c r="Q502" s="600">
        <f t="shared" si="66"/>
        <v>3821960.1000000006</v>
      </c>
    </row>
    <row r="503" spans="1:17" s="598" customFormat="1" ht="15" outlineLevel="1">
      <c r="A503" s="597">
        <v>3810</v>
      </c>
      <c r="B503" s="598" t="s">
        <v>97</v>
      </c>
      <c r="C503" s="598">
        <v>2013</v>
      </c>
      <c r="D503" s="599">
        <v>923437.67999999993</v>
      </c>
      <c r="E503" s="601">
        <f>Input!$C$14-C503+0.5</f>
        <v>9.5</v>
      </c>
      <c r="F503" s="600">
        <f t="shared" si="70"/>
        <v>8772657.959999999</v>
      </c>
      <c r="G503" s="600"/>
      <c r="H503" s="317"/>
      <c r="I503" s="600"/>
      <c r="J503" s="600"/>
      <c r="K503" s="600"/>
      <c r="L503" s="600"/>
      <c r="M503" s="600"/>
      <c r="N503" s="600"/>
      <c r="O503" s="600">
        <f t="shared" si="71"/>
        <v>923437.67999999993</v>
      </c>
      <c r="P503" s="601">
        <f t="shared" si="65"/>
        <v>9.5</v>
      </c>
      <c r="Q503" s="600">
        <f t="shared" si="66"/>
        <v>8772657.959999999</v>
      </c>
    </row>
    <row r="504" spans="1:17" s="598" customFormat="1" ht="15" outlineLevel="1">
      <c r="A504" s="597">
        <v>3810</v>
      </c>
      <c r="B504" s="598" t="s">
        <v>97</v>
      </c>
      <c r="C504" s="598">
        <v>2014</v>
      </c>
      <c r="D504" s="599">
        <v>1247427.1200000001</v>
      </c>
      <c r="E504" s="601">
        <f>Input!$C$14-C504+0.5</f>
        <v>8.5</v>
      </c>
      <c r="F504" s="600">
        <f t="shared" si="70"/>
        <v>10603130.520000001</v>
      </c>
      <c r="G504" s="600"/>
      <c r="H504" s="317"/>
      <c r="I504" s="600"/>
      <c r="J504" s="600">
        <v>-3850.21</v>
      </c>
      <c r="K504" s="600"/>
      <c r="L504" s="600"/>
      <c r="M504" s="600"/>
      <c r="N504" s="600"/>
      <c r="O504" s="600">
        <f t="shared" si="71"/>
        <v>1243576.9100000001</v>
      </c>
      <c r="P504" s="601">
        <f t="shared" si="65"/>
        <v>8.5</v>
      </c>
      <c r="Q504" s="600">
        <f t="shared" si="66"/>
        <v>10570403.735000001</v>
      </c>
    </row>
    <row r="505" spans="1:17" s="598" customFormat="1" ht="15" outlineLevel="1">
      <c r="A505" s="597">
        <v>3810</v>
      </c>
      <c r="B505" s="598" t="s">
        <v>97</v>
      </c>
      <c r="C505" s="598">
        <v>2015</v>
      </c>
      <c r="D505" s="599">
        <v>1548838.9099999999</v>
      </c>
      <c r="E505" s="601">
        <f>Input!$C$14-C505+0.5</f>
        <v>7.5</v>
      </c>
      <c r="F505" s="600">
        <f t="shared" si="70"/>
        <v>11616291.824999999</v>
      </c>
      <c r="G505" s="600"/>
      <c r="H505" s="317"/>
      <c r="I505" s="600"/>
      <c r="J505" s="600"/>
      <c r="K505" s="600"/>
      <c r="L505" s="600"/>
      <c r="M505" s="600"/>
      <c r="N505" s="600"/>
      <c r="O505" s="600">
        <f t="shared" si="71"/>
        <v>1548838.9099999999</v>
      </c>
      <c r="P505" s="601">
        <f t="shared" si="65"/>
        <v>7.5</v>
      </c>
      <c r="Q505" s="600">
        <f t="shared" si="66"/>
        <v>11616291.824999999</v>
      </c>
    </row>
    <row r="506" spans="1:17" s="598" customFormat="1" ht="15" outlineLevel="1">
      <c r="A506" s="597">
        <v>3810</v>
      </c>
      <c r="B506" s="598" t="s">
        <v>97</v>
      </c>
      <c r="C506" s="598">
        <v>2016</v>
      </c>
      <c r="D506" s="599">
        <v>770590.70000000019</v>
      </c>
      <c r="E506" s="601">
        <f>Input!$C$14-C506+0.5</f>
        <v>6.5</v>
      </c>
      <c r="F506" s="600">
        <f t="shared" si="70"/>
        <v>5008839.5500000007</v>
      </c>
      <c r="G506" s="600"/>
      <c r="H506" s="317"/>
      <c r="I506" s="600"/>
      <c r="J506" s="600"/>
      <c r="K506" s="600"/>
      <c r="L506" s="600"/>
      <c r="M506" s="600"/>
      <c r="N506" s="600"/>
      <c r="O506" s="600">
        <f t="shared" si="71"/>
        <v>770590.70000000019</v>
      </c>
      <c r="P506" s="601">
        <f t="shared" si="65"/>
        <v>6.5</v>
      </c>
      <c r="Q506" s="600">
        <f t="shared" si="66"/>
        <v>5008839.5500000007</v>
      </c>
    </row>
    <row r="507" spans="1:17" s="598" customFormat="1" ht="15" outlineLevel="1">
      <c r="A507" s="597">
        <v>3810</v>
      </c>
      <c r="B507" s="598" t="s">
        <v>97</v>
      </c>
      <c r="C507" s="598">
        <v>2017</v>
      </c>
      <c r="D507" s="599">
        <v>1104451.0000000005</v>
      </c>
      <c r="E507" s="601">
        <f>Input!$C$14-C507+0.5</f>
        <v>5.5</v>
      </c>
      <c r="F507" s="600">
        <f t="shared" si="70"/>
        <v>6074480.5000000028</v>
      </c>
      <c r="G507" s="600"/>
      <c r="H507" s="317"/>
      <c r="I507" s="600"/>
      <c r="J507" s="600"/>
      <c r="K507" s="600"/>
      <c r="L507" s="600"/>
      <c r="M507" s="600"/>
      <c r="N507" s="600"/>
      <c r="O507" s="600">
        <f t="shared" si="71"/>
        <v>1104451.0000000005</v>
      </c>
      <c r="P507" s="601">
        <f t="shared" si="65"/>
        <v>5.5</v>
      </c>
      <c r="Q507" s="600">
        <f t="shared" si="66"/>
        <v>6074480.5000000028</v>
      </c>
    </row>
    <row r="508" spans="1:17" s="598" customFormat="1" ht="15" outlineLevel="1">
      <c r="A508" s="597">
        <v>3810</v>
      </c>
      <c r="B508" s="598" t="s">
        <v>97</v>
      </c>
      <c r="C508" s="598">
        <v>2018</v>
      </c>
      <c r="D508" s="599">
        <v>1391445.6300000004</v>
      </c>
      <c r="E508" s="601">
        <f>Input!$C$14-C508+0.5</f>
        <v>4.5</v>
      </c>
      <c r="F508" s="600">
        <f t="shared" si="70"/>
        <v>6261505.3350000018</v>
      </c>
      <c r="G508" s="600"/>
      <c r="H508" s="317"/>
      <c r="I508" s="600"/>
      <c r="J508" s="600"/>
      <c r="K508" s="600"/>
      <c r="L508" s="600"/>
      <c r="M508" s="600"/>
      <c r="N508" s="600"/>
      <c r="O508" s="600">
        <f t="shared" si="71"/>
        <v>1391445.6300000004</v>
      </c>
      <c r="P508" s="601">
        <f t="shared" si="65"/>
        <v>4.5</v>
      </c>
      <c r="Q508" s="600">
        <f t="shared" si="66"/>
        <v>6261505.3350000018</v>
      </c>
    </row>
    <row r="509" spans="1:17" s="598" customFormat="1" ht="15" outlineLevel="1">
      <c r="A509" s="597">
        <v>3810</v>
      </c>
      <c r="B509" s="598" t="s">
        <v>97</v>
      </c>
      <c r="C509" s="598">
        <v>2019</v>
      </c>
      <c r="D509" s="599">
        <v>2362697.8399999999</v>
      </c>
      <c r="E509" s="601">
        <f>Input!$C$14-C509+0.5</f>
        <v>3.5</v>
      </c>
      <c r="F509" s="600">
        <f t="shared" si="70"/>
        <v>8269442.4399999995</v>
      </c>
      <c r="G509" s="600"/>
      <c r="H509" s="317"/>
      <c r="I509" s="600"/>
      <c r="J509" s="600">
        <v>3850.21</v>
      </c>
      <c r="K509" s="600"/>
      <c r="L509" s="600"/>
      <c r="M509" s="600"/>
      <c r="N509" s="600"/>
      <c r="O509" s="600">
        <f t="shared" si="71"/>
        <v>2366548.0499999998</v>
      </c>
      <c r="P509" s="601">
        <f t="shared" si="65"/>
        <v>3.5</v>
      </c>
      <c r="Q509" s="600">
        <f t="shared" si="66"/>
        <v>8282918.1749999989</v>
      </c>
    </row>
    <row r="510" spans="1:17" s="598" customFormat="1" ht="15" outlineLevel="1">
      <c r="A510" s="597">
        <v>3810</v>
      </c>
      <c r="B510" s="598" t="s">
        <v>97</v>
      </c>
      <c r="C510" s="598">
        <v>2020</v>
      </c>
      <c r="D510" s="599">
        <v>2163522.6799999992</v>
      </c>
      <c r="E510" s="601">
        <f>Input!$C$14-C510+0.5</f>
        <v>2.5</v>
      </c>
      <c r="F510" s="600">
        <f t="shared" si="70"/>
        <v>5408806.6999999983</v>
      </c>
      <c r="G510" s="600"/>
      <c r="H510" s="317"/>
      <c r="I510" s="600"/>
      <c r="J510" s="600"/>
      <c r="K510" s="600"/>
      <c r="L510" s="600"/>
      <c r="M510" s="600"/>
      <c r="N510" s="600"/>
      <c r="O510" s="600">
        <f t="shared" si="71"/>
        <v>2163522.6799999992</v>
      </c>
      <c r="P510" s="601">
        <f t="shared" si="72" ref="P510:P569">E510</f>
        <v>2.5</v>
      </c>
      <c r="Q510" s="600">
        <f t="shared" si="73" ref="Q510:Q569">O510*P510</f>
        <v>5408806.6999999983</v>
      </c>
    </row>
    <row r="511" spans="1:17" s="598" customFormat="1" ht="15" outlineLevel="1">
      <c r="A511" s="597">
        <v>3810</v>
      </c>
      <c r="B511" s="598" t="s">
        <v>97</v>
      </c>
      <c r="C511" s="598">
        <v>2021</v>
      </c>
      <c r="D511" s="599">
        <v>2701222.7399999998</v>
      </c>
      <c r="E511" s="601">
        <f>Input!$C$14-C511+0.5</f>
        <v>1.5</v>
      </c>
      <c r="F511" s="600">
        <f t="shared" si="70"/>
        <v>4051834.1099999994</v>
      </c>
      <c r="G511" s="600"/>
      <c r="H511" s="317"/>
      <c r="I511" s="600"/>
      <c r="J511" s="600">
        <v>130</v>
      </c>
      <c r="K511" s="600"/>
      <c r="L511" s="600"/>
      <c r="M511" s="600"/>
      <c r="N511" s="600"/>
      <c r="O511" s="600">
        <f t="shared" si="71"/>
        <v>2701352.7399999998</v>
      </c>
      <c r="P511" s="601">
        <f t="shared" si="72"/>
        <v>1.5</v>
      </c>
      <c r="Q511" s="600">
        <f t="shared" si="73"/>
        <v>4052029.1099999994</v>
      </c>
    </row>
    <row r="512" spans="1:20" s="598" customFormat="1" ht="13.5" thickBot="1">
      <c r="A512" s="563">
        <f>A511</f>
        <v>3810</v>
      </c>
      <c r="B512" s="564" t="s">
        <v>496</v>
      </c>
      <c r="D512" s="357">
        <f>SUM(D460:D511)</f>
        <v>22386758.760000002</v>
      </c>
      <c r="E512" s="565">
        <f>ROUND(F512/D512,1)</f>
        <v>10.4</v>
      </c>
      <c r="F512" s="357">
        <f>SUM(F460:F511)</f>
        <v>233804231.30000001</v>
      </c>
      <c r="G512" s="358"/>
      <c r="H512" s="318"/>
      <c r="I512" s="357">
        <f>SUM(I460:I511)</f>
        <v>0</v>
      </c>
      <c r="J512" s="357">
        <f>SUM(J460:J511)</f>
        <v>0</v>
      </c>
      <c r="K512" s="357">
        <f t="shared" si="74" ref="K512:N512">SUM(K460:K511)</f>
        <v>0</v>
      </c>
      <c r="L512" s="357">
        <f t="shared" si="74"/>
        <v>0</v>
      </c>
      <c r="M512" s="357">
        <f t="shared" si="74"/>
        <v>0</v>
      </c>
      <c r="N512" s="357">
        <f t="shared" si="74"/>
        <v>0</v>
      </c>
      <c r="O512" s="357">
        <f>SUM(O460:O511)</f>
        <v>22386758.759999998</v>
      </c>
      <c r="P512" s="565">
        <f>ROUND(Q512/O512,1)</f>
        <v>10.4</v>
      </c>
      <c r="Q512" s="357">
        <f>SUM(Q460:Q511)</f>
        <v>233778090.25</v>
      </c>
      <c r="S512" s="604">
        <f>'Sch. G 2021'!H23</f>
        <v>22386759</v>
      </c>
      <c r="T512" s="679">
        <f>D512-S512</f>
        <v>-0.23999999836087227</v>
      </c>
    </row>
    <row r="513" spans="1:20" s="598" customFormat="1" ht="15.75" thickTop="1">
      <c r="A513" s="566">
        <f>A511</f>
        <v>3810</v>
      </c>
      <c r="B513" s="490" t="str">
        <f>B511&amp;" - Additions"</f>
        <v>Meters - Additions</v>
      </c>
      <c r="C513" s="490">
        <v>2022</v>
      </c>
      <c r="D513" s="567">
        <f>'Sch. H'!N23</f>
        <v>975619.53859319724</v>
      </c>
      <c r="E513" s="601">
        <f>Input!$C$14-C513+0.5</f>
        <v>0.5</v>
      </c>
      <c r="F513" s="600">
        <f>D513*E513</f>
        <v>487809.76929659862</v>
      </c>
      <c r="G513" s="600"/>
      <c r="H513" s="317"/>
      <c r="I513" s="600"/>
      <c r="J513" s="600"/>
      <c r="K513" s="600"/>
      <c r="L513" s="600"/>
      <c r="M513" s="600"/>
      <c r="N513" s="600"/>
      <c r="O513" s="600">
        <f t="shared" si="71"/>
        <v>975619.53859319724</v>
      </c>
      <c r="P513" s="601">
        <f t="shared" si="72"/>
        <v>0.5</v>
      </c>
      <c r="Q513" s="600">
        <f t="shared" si="73"/>
        <v>487809.76929659862</v>
      </c>
      <c r="T513" s="679"/>
    </row>
    <row r="514" spans="1:20" s="598" customFormat="1" ht="15">
      <c r="A514" s="566">
        <f>A513</f>
        <v>3810</v>
      </c>
      <c r="B514" s="490" t="str">
        <f>B511&amp;" - Retirements"</f>
        <v>Meters - Retirements</v>
      </c>
      <c r="C514" s="490">
        <v>2022</v>
      </c>
      <c r="D514" s="567">
        <f>-'Sch. F 2022'!W90</f>
        <v>-94320</v>
      </c>
      <c r="E514" s="601">
        <f>'Sch. F 2022'!W92</f>
        <v>46.539999999999999</v>
      </c>
      <c r="F514" s="600">
        <f>D514*E514</f>
        <v>-4389652.7999999998</v>
      </c>
      <c r="G514" s="600"/>
      <c r="H514" s="317"/>
      <c r="I514" s="600"/>
      <c r="J514" s="600"/>
      <c r="K514" s="600"/>
      <c r="L514" s="600"/>
      <c r="M514" s="600"/>
      <c r="N514" s="600"/>
      <c r="O514" s="600">
        <f t="shared" si="71"/>
        <v>-94320</v>
      </c>
      <c r="P514" s="601">
        <f t="shared" si="72"/>
        <v>46.539999999999999</v>
      </c>
      <c r="Q514" s="600">
        <f t="shared" si="73"/>
        <v>-4389652.7999999998</v>
      </c>
      <c r="T514" s="679"/>
    </row>
    <row r="515" spans="1:20" s="598" customFormat="1" ht="13.5" thickBot="1">
      <c r="A515" s="566"/>
      <c r="B515" s="564" t="s">
        <v>557</v>
      </c>
      <c r="C515" s="490"/>
      <c r="D515" s="568">
        <f>SUM(D512:D514)</f>
        <v>23268058.298593201</v>
      </c>
      <c r="E515" s="565">
        <f>ROUND(F515/D515,1)</f>
        <v>9.9000000000000004</v>
      </c>
      <c r="F515" s="569">
        <f>SUM(F512:F514)</f>
        <v>229902388.26929659</v>
      </c>
      <c r="G515" s="570"/>
      <c r="H515" s="372"/>
      <c r="I515" s="568">
        <f>SUM(I512:I514)</f>
        <v>0</v>
      </c>
      <c r="J515" s="568">
        <f>SUM(J512:J514)</f>
        <v>0</v>
      </c>
      <c r="K515" s="568">
        <f t="shared" si="75" ref="K515:N515">SUM(K512:K514)</f>
        <v>0</v>
      </c>
      <c r="L515" s="568">
        <f t="shared" si="75"/>
        <v>0</v>
      </c>
      <c r="M515" s="568">
        <f t="shared" si="75"/>
        <v>0</v>
      </c>
      <c r="N515" s="568">
        <f t="shared" si="75"/>
        <v>0</v>
      </c>
      <c r="O515" s="568">
        <f>SUM(O512:O514)</f>
        <v>23268058.298593193</v>
      </c>
      <c r="P515" s="565">
        <f>ROUND(Q515/O515,1)</f>
        <v>9.9000000000000004</v>
      </c>
      <c r="Q515" s="569">
        <f>SUM(Q512:Q514)</f>
        <v>229876247.21929657</v>
      </c>
      <c r="S515" s="604">
        <f>'Sch. G 2022'!H23</f>
        <v>23268059</v>
      </c>
      <c r="T515" s="679">
        <f>O515-S515</f>
        <v>-0.7014068067073822</v>
      </c>
    </row>
    <row r="516" spans="1:20" s="598" customFormat="1" ht="15" thickTop="1">
      <c r="A516" s="563"/>
      <c r="B516" s="571"/>
      <c r="D516" s="358"/>
      <c r="E516" s="572"/>
      <c r="F516" s="358"/>
      <c r="G516" s="358"/>
      <c r="H516" s="318"/>
      <c r="I516" s="358"/>
      <c r="J516" s="358"/>
      <c r="K516" s="358"/>
      <c r="L516" s="358"/>
      <c r="M516" s="358"/>
      <c r="N516" s="358"/>
      <c r="O516" s="600"/>
      <c r="P516" s="601"/>
      <c r="Q516" s="600"/>
      <c r="T516" s="679"/>
    </row>
    <row r="517" spans="1:17" s="598" customFormat="1" ht="15" outlineLevel="1">
      <c r="A517" s="597">
        <v>3811</v>
      </c>
      <c r="B517" s="598" t="s">
        <v>532</v>
      </c>
      <c r="C517" s="598">
        <v>2010</v>
      </c>
      <c r="D517" s="599">
        <v>2158610.7599999998</v>
      </c>
      <c r="E517" s="601">
        <f>Input!$C$14-C517+0.5</f>
        <v>12.5</v>
      </c>
      <c r="F517" s="600">
        <f>D517*E517</f>
        <v>26982634.499999996</v>
      </c>
      <c r="G517" s="600"/>
      <c r="H517" s="317"/>
      <c r="I517" s="600"/>
      <c r="J517" s="600"/>
      <c r="K517" s="600"/>
      <c r="L517" s="600"/>
      <c r="M517" s="600"/>
      <c r="N517" s="600"/>
      <c r="O517" s="600">
        <f t="shared" si="76" ref="O517:O520">SUM(D517,I517:N517)</f>
        <v>2158610.7599999998</v>
      </c>
      <c r="P517" s="601">
        <f t="shared" si="72"/>
        <v>12.5</v>
      </c>
      <c r="Q517" s="600">
        <f t="shared" si="73"/>
        <v>26982634.499999996</v>
      </c>
    </row>
    <row r="518" spans="1:17" s="598" customFormat="1" ht="15" outlineLevel="1">
      <c r="A518" s="597">
        <v>3811</v>
      </c>
      <c r="B518" s="598" t="s">
        <v>532</v>
      </c>
      <c r="C518" s="598">
        <v>2011</v>
      </c>
      <c r="D518" s="599">
        <v>22536</v>
      </c>
      <c r="E518" s="601">
        <f>Input!$C$14-C518+0.5</f>
        <v>11.5</v>
      </c>
      <c r="F518" s="600">
        <f>D518*E518</f>
        <v>259164</v>
      </c>
      <c r="G518" s="600"/>
      <c r="H518" s="317"/>
      <c r="I518" s="600"/>
      <c r="J518" s="600"/>
      <c r="K518" s="600"/>
      <c r="L518" s="600"/>
      <c r="M518" s="600"/>
      <c r="N518" s="600"/>
      <c r="O518" s="600">
        <f t="shared" si="76"/>
        <v>22536</v>
      </c>
      <c r="P518" s="601">
        <f t="shared" si="72"/>
        <v>11.5</v>
      </c>
      <c r="Q518" s="600">
        <f t="shared" si="73"/>
        <v>259164</v>
      </c>
    </row>
    <row r="519" spans="1:17" s="598" customFormat="1" ht="15" outlineLevel="1">
      <c r="A519" s="597">
        <v>3811</v>
      </c>
      <c r="B519" s="598" t="s">
        <v>532</v>
      </c>
      <c r="C519" s="598">
        <v>2012</v>
      </c>
      <c r="D519" s="599">
        <v>35264</v>
      </c>
      <c r="E519" s="601">
        <f>Input!$C$14-C519+0.5</f>
        <v>10.5</v>
      </c>
      <c r="F519" s="600">
        <f>D519*E519</f>
        <v>370272</v>
      </c>
      <c r="G519" s="600"/>
      <c r="H519" s="317"/>
      <c r="I519" s="600"/>
      <c r="J519" s="600"/>
      <c r="K519" s="600"/>
      <c r="L519" s="600"/>
      <c r="M519" s="600"/>
      <c r="N519" s="600"/>
      <c r="O519" s="600">
        <f t="shared" si="76"/>
        <v>35264</v>
      </c>
      <c r="P519" s="601">
        <f t="shared" si="72"/>
        <v>10.5</v>
      </c>
      <c r="Q519" s="600">
        <f t="shared" si="73"/>
        <v>370272</v>
      </c>
    </row>
    <row r="520" spans="1:17" s="598" customFormat="1" ht="15" outlineLevel="1">
      <c r="A520" s="597">
        <v>3811</v>
      </c>
      <c r="B520" s="598" t="s">
        <v>532</v>
      </c>
      <c r="C520" s="598">
        <v>2017</v>
      </c>
      <c r="D520" s="599">
        <v>20124.740000000002</v>
      </c>
      <c r="E520" s="601">
        <f>Input!$C$14-C520+0.5</f>
        <v>5.5</v>
      </c>
      <c r="F520" s="600">
        <f>D520*E520</f>
        <v>110686.07000000001</v>
      </c>
      <c r="G520" s="600"/>
      <c r="H520" s="317"/>
      <c r="I520" s="600"/>
      <c r="J520" s="600"/>
      <c r="K520" s="600"/>
      <c r="L520" s="600"/>
      <c r="M520" s="600"/>
      <c r="N520" s="600"/>
      <c r="O520" s="600">
        <f t="shared" si="76"/>
        <v>20124.740000000002</v>
      </c>
      <c r="P520" s="601">
        <f t="shared" si="72"/>
        <v>5.5</v>
      </c>
      <c r="Q520" s="600">
        <f t="shared" si="73"/>
        <v>110686.07000000001</v>
      </c>
    </row>
    <row r="521" spans="1:20" s="598" customFormat="1" ht="13.5" thickBot="1">
      <c r="A521" s="563">
        <f>A520</f>
        <v>3811</v>
      </c>
      <c r="B521" s="564" t="s">
        <v>496</v>
      </c>
      <c r="D521" s="357">
        <f>SUM(D517:D520)</f>
        <v>2236535.5</v>
      </c>
      <c r="E521" s="565">
        <f>ROUND(F521/D521,1)</f>
        <v>12.4</v>
      </c>
      <c r="F521" s="357">
        <f>SUM(F517:F520)</f>
        <v>27722756.569999997</v>
      </c>
      <c r="G521" s="358"/>
      <c r="H521" s="318"/>
      <c r="I521" s="357">
        <f>SUM(I517:I520)</f>
        <v>0</v>
      </c>
      <c r="J521" s="357">
        <f>SUM(J517:J520)</f>
        <v>0</v>
      </c>
      <c r="K521" s="357">
        <f t="shared" si="77" ref="K521:N521">SUM(K517:K520)</f>
        <v>0</v>
      </c>
      <c r="L521" s="357">
        <f t="shared" si="77"/>
        <v>0</v>
      </c>
      <c r="M521" s="357">
        <f t="shared" si="77"/>
        <v>0</v>
      </c>
      <c r="N521" s="357">
        <f t="shared" si="77"/>
        <v>0</v>
      </c>
      <c r="O521" s="357">
        <f>SUM(O517:O520)</f>
        <v>2236535.5</v>
      </c>
      <c r="P521" s="565">
        <f>ROUND(Q521/O521,1)</f>
        <v>12.4</v>
      </c>
      <c r="Q521" s="357">
        <f>SUM(Q517:Q520)</f>
        <v>27722756.569999997</v>
      </c>
      <c r="S521" s="604">
        <f>'Sch. G 2021'!H24</f>
        <v>2236536</v>
      </c>
      <c r="T521" s="679">
        <f>D521-S521</f>
        <v>-0.5</v>
      </c>
    </row>
    <row r="522" spans="1:20" s="598" customFormat="1" ht="15.75" thickTop="1">
      <c r="A522" s="566">
        <f>A520</f>
        <v>3811</v>
      </c>
      <c r="B522" s="490" t="str">
        <f>B520&amp;" - Additions"</f>
        <v>Meters-MTU/DCU - Additions</v>
      </c>
      <c r="C522" s="490">
        <v>2022</v>
      </c>
      <c r="D522" s="567">
        <f>'Sch. H'!N24</f>
        <v>66498</v>
      </c>
      <c r="E522" s="601">
        <f>Input!$C$14-C522+0.5</f>
        <v>0.5</v>
      </c>
      <c r="F522" s="600">
        <f>D522*E522</f>
        <v>33249</v>
      </c>
      <c r="G522" s="600"/>
      <c r="H522" s="317"/>
      <c r="I522" s="600"/>
      <c r="J522" s="600"/>
      <c r="K522" s="600"/>
      <c r="L522" s="600"/>
      <c r="M522" s="600"/>
      <c r="N522" s="600"/>
      <c r="O522" s="600">
        <f t="shared" si="78" ref="O522:O523">SUM(D522,I522:N522)</f>
        <v>66498</v>
      </c>
      <c r="P522" s="601">
        <f t="shared" si="72"/>
        <v>0.5</v>
      </c>
      <c r="Q522" s="600">
        <f t="shared" si="73"/>
        <v>33249</v>
      </c>
      <c r="T522" s="679"/>
    </row>
    <row r="523" spans="1:20" s="598" customFormat="1" ht="15">
      <c r="A523" s="566">
        <f>A522</f>
        <v>3811</v>
      </c>
      <c r="B523" s="490" t="str">
        <f>B520&amp;" - Retirements"</f>
        <v>Meters-MTU/DCU - Retirements</v>
      </c>
      <c r="C523" s="490">
        <v>2022</v>
      </c>
      <c r="D523" s="567">
        <f>-'Sch. F 2022'!Y90</f>
        <v>0</v>
      </c>
      <c r="E523" s="601">
        <f>'Sch. F 2022'!Y92</f>
        <v>0</v>
      </c>
      <c r="F523" s="600">
        <f>D523*E523</f>
        <v>0</v>
      </c>
      <c r="G523" s="600"/>
      <c r="H523" s="317"/>
      <c r="I523" s="600"/>
      <c r="J523" s="600"/>
      <c r="K523" s="600"/>
      <c r="L523" s="600"/>
      <c r="M523" s="600"/>
      <c r="N523" s="600"/>
      <c r="O523" s="600">
        <f t="shared" si="78"/>
        <v>0</v>
      </c>
      <c r="P523" s="601">
        <f t="shared" si="72"/>
        <v>0</v>
      </c>
      <c r="Q523" s="600">
        <f t="shared" si="73"/>
        <v>0</v>
      </c>
      <c r="T523" s="679"/>
    </row>
    <row r="524" spans="1:20" s="598" customFormat="1" ht="13.5" thickBot="1">
      <c r="A524" s="566"/>
      <c r="B524" s="564" t="s">
        <v>557</v>
      </c>
      <c r="C524" s="490"/>
      <c r="D524" s="568">
        <f>SUM(D521:D523)</f>
        <v>2303033.5</v>
      </c>
      <c r="E524" s="565">
        <f>ROUND(F524/D524,1)</f>
        <v>12.1</v>
      </c>
      <c r="F524" s="569">
        <f>SUM(F521:F523)</f>
        <v>27756005.569999997</v>
      </c>
      <c r="G524" s="570"/>
      <c r="H524" s="372"/>
      <c r="I524" s="568">
        <f>SUM(I521:I523)</f>
        <v>0</v>
      </c>
      <c r="J524" s="568">
        <f>SUM(J521:J523)</f>
        <v>0</v>
      </c>
      <c r="K524" s="568">
        <f t="shared" si="79" ref="K524:N524">SUM(K521:K523)</f>
        <v>0</v>
      </c>
      <c r="L524" s="568">
        <f t="shared" si="79"/>
        <v>0</v>
      </c>
      <c r="M524" s="568">
        <f t="shared" si="79"/>
        <v>0</v>
      </c>
      <c r="N524" s="568">
        <f t="shared" si="79"/>
        <v>0</v>
      </c>
      <c r="O524" s="568">
        <f>SUM(O521:O523)</f>
        <v>2303033.5</v>
      </c>
      <c r="P524" s="565">
        <f>ROUND(Q524/O524,1)</f>
        <v>12.1</v>
      </c>
      <c r="Q524" s="569">
        <f>SUM(Q521:Q523)</f>
        <v>27756005.569999997</v>
      </c>
      <c r="S524" s="604">
        <f>'Sch. G 2022'!H24</f>
        <v>2303034</v>
      </c>
      <c r="T524" s="679">
        <f>O524-S524</f>
        <v>-0.5</v>
      </c>
    </row>
    <row r="525" spans="1:20" s="598" customFormat="1" ht="15" thickTop="1">
      <c r="A525" s="563"/>
      <c r="B525" s="571"/>
      <c r="D525" s="358"/>
      <c r="E525" s="572"/>
      <c r="F525" s="358"/>
      <c r="G525" s="358"/>
      <c r="H525" s="318"/>
      <c r="I525" s="358"/>
      <c r="J525" s="358"/>
      <c r="K525" s="358"/>
      <c r="L525" s="358"/>
      <c r="M525" s="358"/>
      <c r="N525" s="358"/>
      <c r="O525" s="600"/>
      <c r="P525" s="601"/>
      <c r="Q525" s="600"/>
      <c r="T525" s="679"/>
    </row>
    <row r="526" spans="1:17" s="598" customFormat="1" ht="15" outlineLevel="1">
      <c r="A526" s="597">
        <v>3820</v>
      </c>
      <c r="B526" s="598" t="s">
        <v>533</v>
      </c>
      <c r="C526" s="598">
        <v>1930</v>
      </c>
      <c r="D526" s="599">
        <v>8423.0000000000018</v>
      </c>
      <c r="E526" s="601">
        <f>Input!$C$14-C526+0.5</f>
        <v>92.5</v>
      </c>
      <c r="F526" s="600">
        <f t="shared" si="80" ref="F526:F589">D526*E526</f>
        <v>779127.50000000012</v>
      </c>
      <c r="G526" s="600"/>
      <c r="H526" s="317"/>
      <c r="I526" s="600"/>
      <c r="J526" s="600"/>
      <c r="K526" s="600"/>
      <c r="L526" s="600"/>
      <c r="M526" s="600"/>
      <c r="N526" s="600"/>
      <c r="O526" s="600">
        <f t="shared" si="81" ref="O526:O589">SUM(D526,I526:N526)</f>
        <v>8423.0000000000018</v>
      </c>
      <c r="P526" s="601">
        <f t="shared" si="72"/>
        <v>92.5</v>
      </c>
      <c r="Q526" s="600">
        <f t="shared" si="73"/>
        <v>779127.50000000012</v>
      </c>
    </row>
    <row r="527" spans="1:17" s="598" customFormat="1" ht="15" outlineLevel="1">
      <c r="A527" s="597">
        <v>3820</v>
      </c>
      <c r="B527" s="598" t="s">
        <v>533</v>
      </c>
      <c r="C527" s="598">
        <v>1935</v>
      </c>
      <c r="D527" s="599">
        <v>325</v>
      </c>
      <c r="E527" s="601">
        <f>Input!$C$14-C527+0.5</f>
        <v>87.5</v>
      </c>
      <c r="F527" s="600">
        <f t="shared" si="80"/>
        <v>28437.5</v>
      </c>
      <c r="G527" s="600"/>
      <c r="H527" s="317"/>
      <c r="I527" s="600"/>
      <c r="J527" s="600"/>
      <c r="K527" s="600"/>
      <c r="L527" s="600"/>
      <c r="M527" s="600"/>
      <c r="N527" s="600"/>
      <c r="O527" s="600">
        <f t="shared" si="81"/>
        <v>325</v>
      </c>
      <c r="P527" s="601">
        <f t="shared" si="72"/>
        <v>87.5</v>
      </c>
      <c r="Q527" s="600">
        <f t="shared" si="73"/>
        <v>28437.5</v>
      </c>
    </row>
    <row r="528" spans="1:17" s="598" customFormat="1" ht="15" outlineLevel="1">
      <c r="A528" s="597">
        <v>3820</v>
      </c>
      <c r="B528" s="598" t="s">
        <v>533</v>
      </c>
      <c r="C528" s="598">
        <v>1940</v>
      </c>
      <c r="D528" s="599">
        <v>143</v>
      </c>
      <c r="E528" s="601">
        <f>Input!$C$14-C528+0.5</f>
        <v>82.5</v>
      </c>
      <c r="F528" s="600">
        <f t="shared" si="80"/>
        <v>11797.5</v>
      </c>
      <c r="G528" s="600"/>
      <c r="H528" s="317"/>
      <c r="I528" s="600"/>
      <c r="J528" s="600"/>
      <c r="K528" s="600"/>
      <c r="L528" s="600"/>
      <c r="M528" s="600"/>
      <c r="N528" s="600"/>
      <c r="O528" s="600">
        <f t="shared" si="81"/>
        <v>143</v>
      </c>
      <c r="P528" s="601">
        <f t="shared" si="72"/>
        <v>82.5</v>
      </c>
      <c r="Q528" s="600">
        <f t="shared" si="73"/>
        <v>11797.5</v>
      </c>
    </row>
    <row r="529" spans="1:17" s="598" customFormat="1" ht="15" outlineLevel="1">
      <c r="A529" s="597">
        <v>3820</v>
      </c>
      <c r="B529" s="598" t="s">
        <v>533</v>
      </c>
      <c r="C529" s="598">
        <v>1945</v>
      </c>
      <c r="D529" s="599">
        <v>631</v>
      </c>
      <c r="E529" s="601">
        <f>Input!$C$14-C529+0.5</f>
        <v>77.5</v>
      </c>
      <c r="F529" s="600">
        <f t="shared" si="80"/>
        <v>48902.5</v>
      </c>
      <c r="G529" s="600"/>
      <c r="H529" s="317"/>
      <c r="I529" s="600"/>
      <c r="J529" s="600"/>
      <c r="K529" s="600"/>
      <c r="L529" s="600"/>
      <c r="M529" s="600"/>
      <c r="N529" s="600"/>
      <c r="O529" s="600">
        <f t="shared" si="81"/>
        <v>631</v>
      </c>
      <c r="P529" s="601">
        <f t="shared" si="72"/>
        <v>77.5</v>
      </c>
      <c r="Q529" s="600">
        <f t="shared" si="73"/>
        <v>48902.5</v>
      </c>
    </row>
    <row r="530" spans="1:17" s="598" customFormat="1" ht="15" outlineLevel="1">
      <c r="A530" s="597">
        <v>3820</v>
      </c>
      <c r="B530" s="598" t="s">
        <v>533</v>
      </c>
      <c r="C530" s="598">
        <v>1950</v>
      </c>
      <c r="D530" s="599">
        <v>1064</v>
      </c>
      <c r="E530" s="601">
        <f>Input!$C$14-C530+0.5</f>
        <v>72.5</v>
      </c>
      <c r="F530" s="600">
        <f t="shared" si="80"/>
        <v>77140</v>
      </c>
      <c r="G530" s="600"/>
      <c r="H530" s="317"/>
      <c r="I530" s="600"/>
      <c r="J530" s="600"/>
      <c r="K530" s="600"/>
      <c r="L530" s="600"/>
      <c r="M530" s="600"/>
      <c r="N530" s="600"/>
      <c r="O530" s="600">
        <f t="shared" si="81"/>
        <v>1064</v>
      </c>
      <c r="P530" s="601">
        <f t="shared" si="72"/>
        <v>72.5</v>
      </c>
      <c r="Q530" s="600">
        <f t="shared" si="73"/>
        <v>77140</v>
      </c>
    </row>
    <row r="531" spans="1:17" s="598" customFormat="1" ht="15" outlineLevel="1">
      <c r="A531" s="597">
        <v>3820</v>
      </c>
      <c r="B531" s="598" t="s">
        <v>533</v>
      </c>
      <c r="C531" s="598">
        <v>1954</v>
      </c>
      <c r="D531" s="599">
        <v>877.12</v>
      </c>
      <c r="E531" s="601">
        <f>Input!$C$14-C531+0.5</f>
        <v>68.5</v>
      </c>
      <c r="F531" s="600">
        <f t="shared" si="80"/>
        <v>60082.720000000001</v>
      </c>
      <c r="G531" s="600"/>
      <c r="H531" s="317"/>
      <c r="I531" s="600"/>
      <c r="J531" s="600"/>
      <c r="K531" s="600"/>
      <c r="L531" s="600"/>
      <c r="M531" s="600"/>
      <c r="N531" s="600"/>
      <c r="O531" s="600">
        <f t="shared" si="81"/>
        <v>877.12</v>
      </c>
      <c r="P531" s="601">
        <f t="shared" si="72"/>
        <v>68.5</v>
      </c>
      <c r="Q531" s="600">
        <f t="shared" si="73"/>
        <v>60082.720000000001</v>
      </c>
    </row>
    <row r="532" spans="1:17" s="598" customFormat="1" ht="15" outlineLevel="1">
      <c r="A532" s="597">
        <v>3820</v>
      </c>
      <c r="B532" s="598" t="s">
        <v>533</v>
      </c>
      <c r="C532" s="598">
        <v>1955</v>
      </c>
      <c r="D532" s="599">
        <v>1575.0599999999999</v>
      </c>
      <c r="E532" s="601">
        <f>Input!$C$14-C532+0.5</f>
        <v>67.5</v>
      </c>
      <c r="F532" s="600">
        <f t="shared" si="80"/>
        <v>106316.55</v>
      </c>
      <c r="G532" s="600"/>
      <c r="H532" s="317"/>
      <c r="I532" s="600"/>
      <c r="J532" s="600"/>
      <c r="K532" s="600"/>
      <c r="L532" s="600"/>
      <c r="M532" s="600"/>
      <c r="N532" s="600"/>
      <c r="O532" s="600">
        <f t="shared" si="81"/>
        <v>1575.0599999999999</v>
      </c>
      <c r="P532" s="601">
        <f t="shared" si="72"/>
        <v>67.5</v>
      </c>
      <c r="Q532" s="600">
        <f t="shared" si="73"/>
        <v>106316.55</v>
      </c>
    </row>
    <row r="533" spans="1:17" s="598" customFormat="1" ht="15" outlineLevel="1">
      <c r="A533" s="597">
        <v>3820</v>
      </c>
      <c r="B533" s="598" t="s">
        <v>533</v>
      </c>
      <c r="C533" s="598">
        <v>1956</v>
      </c>
      <c r="D533" s="599">
        <v>1008.9300000000001</v>
      </c>
      <c r="E533" s="601">
        <f>Input!$C$14-C533+0.5</f>
        <v>66.5</v>
      </c>
      <c r="F533" s="600">
        <f t="shared" si="80"/>
        <v>67093.845000000001</v>
      </c>
      <c r="G533" s="600"/>
      <c r="H533" s="317"/>
      <c r="I533" s="600"/>
      <c r="J533" s="600"/>
      <c r="K533" s="600"/>
      <c r="L533" s="600"/>
      <c r="M533" s="600"/>
      <c r="N533" s="600"/>
      <c r="O533" s="600">
        <f t="shared" si="81"/>
        <v>1008.9300000000001</v>
      </c>
      <c r="P533" s="601">
        <f t="shared" si="72"/>
        <v>66.5</v>
      </c>
      <c r="Q533" s="600">
        <f t="shared" si="73"/>
        <v>67093.845000000001</v>
      </c>
    </row>
    <row r="534" spans="1:17" s="598" customFormat="1" ht="15" outlineLevel="1">
      <c r="A534" s="597">
        <v>3820</v>
      </c>
      <c r="B534" s="598" t="s">
        <v>533</v>
      </c>
      <c r="C534" s="598">
        <v>1957</v>
      </c>
      <c r="D534" s="599">
        <v>1523.54</v>
      </c>
      <c r="E534" s="601">
        <f>Input!$C$14-C534+0.5</f>
        <v>65.5</v>
      </c>
      <c r="F534" s="600">
        <f t="shared" si="80"/>
        <v>99791.869999999995</v>
      </c>
      <c r="G534" s="600"/>
      <c r="H534" s="317"/>
      <c r="I534" s="600"/>
      <c r="J534" s="600"/>
      <c r="K534" s="600"/>
      <c r="L534" s="600"/>
      <c r="M534" s="600"/>
      <c r="N534" s="600"/>
      <c r="O534" s="600">
        <f t="shared" si="81"/>
        <v>1523.54</v>
      </c>
      <c r="P534" s="601">
        <f t="shared" si="72"/>
        <v>65.5</v>
      </c>
      <c r="Q534" s="600">
        <f t="shared" si="73"/>
        <v>99791.869999999995</v>
      </c>
    </row>
    <row r="535" spans="1:17" s="598" customFormat="1" ht="15" outlineLevel="1">
      <c r="A535" s="597">
        <v>3820</v>
      </c>
      <c r="B535" s="598" t="s">
        <v>533</v>
      </c>
      <c r="C535" s="598">
        <v>1958</v>
      </c>
      <c r="D535" s="599">
        <v>1204.47</v>
      </c>
      <c r="E535" s="601">
        <f>Input!$C$14-C535+0.5</f>
        <v>64.5</v>
      </c>
      <c r="F535" s="600">
        <f t="shared" si="80"/>
        <v>77688.315000000002</v>
      </c>
      <c r="G535" s="600"/>
      <c r="H535" s="317"/>
      <c r="I535" s="600"/>
      <c r="J535" s="600"/>
      <c r="K535" s="600"/>
      <c r="L535" s="600"/>
      <c r="M535" s="600"/>
      <c r="N535" s="600"/>
      <c r="O535" s="600">
        <f t="shared" si="81"/>
        <v>1204.47</v>
      </c>
      <c r="P535" s="601">
        <f t="shared" si="72"/>
        <v>64.5</v>
      </c>
      <c r="Q535" s="600">
        <f t="shared" si="73"/>
        <v>77688.315000000002</v>
      </c>
    </row>
    <row r="536" spans="1:17" s="598" customFormat="1" ht="15" outlineLevel="1">
      <c r="A536" s="597">
        <v>3820</v>
      </c>
      <c r="B536" s="598" t="s">
        <v>533</v>
      </c>
      <c r="C536" s="598">
        <v>1959</v>
      </c>
      <c r="D536" s="599">
        <v>10020.52</v>
      </c>
      <c r="E536" s="601">
        <f>Input!$C$14-C536+0.5</f>
        <v>63.5</v>
      </c>
      <c r="F536" s="600">
        <f t="shared" si="80"/>
        <v>636303.02000000002</v>
      </c>
      <c r="G536" s="600"/>
      <c r="H536" s="317"/>
      <c r="I536" s="600"/>
      <c r="J536" s="600"/>
      <c r="K536" s="600"/>
      <c r="L536" s="600"/>
      <c r="M536" s="600"/>
      <c r="N536" s="600"/>
      <c r="O536" s="600">
        <f t="shared" si="81"/>
        <v>10020.52</v>
      </c>
      <c r="P536" s="601">
        <f t="shared" si="72"/>
        <v>63.5</v>
      </c>
      <c r="Q536" s="600">
        <f t="shared" si="73"/>
        <v>636303.02000000002</v>
      </c>
    </row>
    <row r="537" spans="1:17" s="598" customFormat="1" ht="15" outlineLevel="1">
      <c r="A537" s="597">
        <v>3820</v>
      </c>
      <c r="B537" s="598" t="s">
        <v>533</v>
      </c>
      <c r="C537" s="598">
        <v>1960</v>
      </c>
      <c r="D537" s="599">
        <v>10368.309999999999</v>
      </c>
      <c r="E537" s="601">
        <f>Input!$C$14-C537+0.5</f>
        <v>62.5</v>
      </c>
      <c r="F537" s="600">
        <f t="shared" si="80"/>
        <v>648019.375</v>
      </c>
      <c r="G537" s="600"/>
      <c r="H537" s="317"/>
      <c r="I537" s="600"/>
      <c r="J537" s="600"/>
      <c r="K537" s="600"/>
      <c r="L537" s="600"/>
      <c r="M537" s="600"/>
      <c r="N537" s="600"/>
      <c r="O537" s="600">
        <f t="shared" si="81"/>
        <v>10368.309999999999</v>
      </c>
      <c r="P537" s="601">
        <f t="shared" si="72"/>
        <v>62.5</v>
      </c>
      <c r="Q537" s="600">
        <f t="shared" si="73"/>
        <v>648019.375</v>
      </c>
    </row>
    <row r="538" spans="1:17" s="598" customFormat="1" ht="15" outlineLevel="1">
      <c r="A538" s="597">
        <v>3820</v>
      </c>
      <c r="B538" s="598" t="s">
        <v>533</v>
      </c>
      <c r="C538" s="598">
        <v>1961</v>
      </c>
      <c r="D538" s="599">
        <v>12213.92</v>
      </c>
      <c r="E538" s="601">
        <f>Input!$C$14-C538+0.5</f>
        <v>61.5</v>
      </c>
      <c r="F538" s="600">
        <f t="shared" si="80"/>
        <v>751156.07999999996</v>
      </c>
      <c r="G538" s="600"/>
      <c r="H538" s="317"/>
      <c r="I538" s="600"/>
      <c r="J538" s="600"/>
      <c r="K538" s="600"/>
      <c r="L538" s="600"/>
      <c r="M538" s="600"/>
      <c r="N538" s="600"/>
      <c r="O538" s="600">
        <f t="shared" si="81"/>
        <v>12213.92</v>
      </c>
      <c r="P538" s="601">
        <f t="shared" si="72"/>
        <v>61.5</v>
      </c>
      <c r="Q538" s="600">
        <f t="shared" si="73"/>
        <v>751156.07999999996</v>
      </c>
    </row>
    <row r="539" spans="1:17" s="598" customFormat="1" ht="15" outlineLevel="1">
      <c r="A539" s="597">
        <v>3820</v>
      </c>
      <c r="B539" s="598" t="s">
        <v>533</v>
      </c>
      <c r="C539" s="598">
        <v>1962</v>
      </c>
      <c r="D539" s="599">
        <v>11622.33</v>
      </c>
      <c r="E539" s="601">
        <f>Input!$C$14-C539+0.5</f>
        <v>60.5</v>
      </c>
      <c r="F539" s="600">
        <f t="shared" si="80"/>
        <v>703150.96499999997</v>
      </c>
      <c r="G539" s="600"/>
      <c r="H539" s="317"/>
      <c r="I539" s="600"/>
      <c r="J539" s="600"/>
      <c r="K539" s="600"/>
      <c r="L539" s="600"/>
      <c r="M539" s="600"/>
      <c r="N539" s="600"/>
      <c r="O539" s="600">
        <f t="shared" si="81"/>
        <v>11622.33</v>
      </c>
      <c r="P539" s="601">
        <f t="shared" si="72"/>
        <v>60.5</v>
      </c>
      <c r="Q539" s="600">
        <f t="shared" si="73"/>
        <v>703150.96499999997</v>
      </c>
    </row>
    <row r="540" spans="1:17" s="598" customFormat="1" ht="15" outlineLevel="1">
      <c r="A540" s="597">
        <v>3820</v>
      </c>
      <c r="B540" s="598" t="s">
        <v>533</v>
      </c>
      <c r="C540" s="598">
        <v>1963</v>
      </c>
      <c r="D540" s="599">
        <v>6181.6199999999999</v>
      </c>
      <c r="E540" s="601">
        <f>Input!$C$14-C540+0.5</f>
        <v>59.5</v>
      </c>
      <c r="F540" s="600">
        <f t="shared" si="80"/>
        <v>367806.39000000001</v>
      </c>
      <c r="G540" s="600"/>
      <c r="H540" s="317"/>
      <c r="I540" s="600"/>
      <c r="J540" s="600"/>
      <c r="K540" s="600"/>
      <c r="L540" s="600"/>
      <c r="M540" s="600"/>
      <c r="N540" s="600"/>
      <c r="O540" s="600">
        <f t="shared" si="81"/>
        <v>6181.6199999999999</v>
      </c>
      <c r="P540" s="601">
        <f t="shared" si="72"/>
        <v>59.5</v>
      </c>
      <c r="Q540" s="600">
        <f t="shared" si="73"/>
        <v>367806.39000000001</v>
      </c>
    </row>
    <row r="541" spans="1:17" s="598" customFormat="1" ht="15" outlineLevel="1">
      <c r="A541" s="597">
        <v>3820</v>
      </c>
      <c r="B541" s="598" t="s">
        <v>533</v>
      </c>
      <c r="C541" s="598">
        <v>1964</v>
      </c>
      <c r="D541" s="599">
        <v>8567.4300000000003</v>
      </c>
      <c r="E541" s="601">
        <f>Input!$C$14-C541+0.5</f>
        <v>58.5</v>
      </c>
      <c r="F541" s="600">
        <f t="shared" si="80"/>
        <v>501194.65500000003</v>
      </c>
      <c r="G541" s="600"/>
      <c r="H541" s="317"/>
      <c r="I541" s="600"/>
      <c r="J541" s="600"/>
      <c r="K541" s="600"/>
      <c r="L541" s="600"/>
      <c r="M541" s="600"/>
      <c r="N541" s="600"/>
      <c r="O541" s="600">
        <f t="shared" si="81"/>
        <v>8567.4300000000003</v>
      </c>
      <c r="P541" s="601">
        <f t="shared" si="72"/>
        <v>58.5</v>
      </c>
      <c r="Q541" s="600">
        <f t="shared" si="73"/>
        <v>501194.65500000003</v>
      </c>
    </row>
    <row r="542" spans="1:17" s="598" customFormat="1" ht="15" outlineLevel="1">
      <c r="A542" s="597">
        <v>3820</v>
      </c>
      <c r="B542" s="598" t="s">
        <v>533</v>
      </c>
      <c r="C542" s="598">
        <v>1965</v>
      </c>
      <c r="D542" s="599">
        <v>8642.4799999999996</v>
      </c>
      <c r="E542" s="601">
        <f>Input!$C$14-C542+0.5</f>
        <v>57.5</v>
      </c>
      <c r="F542" s="600">
        <f t="shared" si="80"/>
        <v>496942.59999999998</v>
      </c>
      <c r="G542" s="600"/>
      <c r="H542" s="317"/>
      <c r="I542" s="600"/>
      <c r="J542" s="600"/>
      <c r="K542" s="600"/>
      <c r="L542" s="600"/>
      <c r="M542" s="600"/>
      <c r="N542" s="600"/>
      <c r="O542" s="600">
        <f t="shared" si="81"/>
        <v>8642.4799999999996</v>
      </c>
      <c r="P542" s="601">
        <f t="shared" si="72"/>
        <v>57.5</v>
      </c>
      <c r="Q542" s="600">
        <f t="shared" si="73"/>
        <v>496942.59999999998</v>
      </c>
    </row>
    <row r="543" spans="1:17" s="598" customFormat="1" ht="15" outlineLevel="1">
      <c r="A543" s="597">
        <v>3820</v>
      </c>
      <c r="B543" s="598" t="s">
        <v>533</v>
      </c>
      <c r="C543" s="598">
        <v>1966</v>
      </c>
      <c r="D543" s="599">
        <v>6312.5999999999995</v>
      </c>
      <c r="E543" s="601">
        <f>Input!$C$14-C543+0.5</f>
        <v>56.5</v>
      </c>
      <c r="F543" s="600">
        <f t="shared" si="80"/>
        <v>356661.89999999997</v>
      </c>
      <c r="G543" s="600"/>
      <c r="H543" s="317"/>
      <c r="I543" s="600"/>
      <c r="J543" s="600"/>
      <c r="K543" s="600"/>
      <c r="L543" s="600"/>
      <c r="M543" s="600"/>
      <c r="N543" s="600"/>
      <c r="O543" s="600">
        <f t="shared" si="81"/>
        <v>6312.5999999999995</v>
      </c>
      <c r="P543" s="601">
        <f t="shared" si="72"/>
        <v>56.5</v>
      </c>
      <c r="Q543" s="600">
        <f t="shared" si="73"/>
        <v>356661.89999999997</v>
      </c>
    </row>
    <row r="544" spans="1:17" s="598" customFormat="1" ht="15" outlineLevel="1">
      <c r="A544" s="597">
        <v>3820</v>
      </c>
      <c r="B544" s="598" t="s">
        <v>533</v>
      </c>
      <c r="C544" s="598">
        <v>1967</v>
      </c>
      <c r="D544" s="599">
        <v>14249.09</v>
      </c>
      <c r="E544" s="601">
        <f>Input!$C$14-C544+0.5</f>
        <v>55.5</v>
      </c>
      <c r="F544" s="600">
        <f t="shared" si="80"/>
        <v>790824.495</v>
      </c>
      <c r="G544" s="600"/>
      <c r="H544" s="317"/>
      <c r="I544" s="600"/>
      <c r="J544" s="600"/>
      <c r="K544" s="600"/>
      <c r="L544" s="600"/>
      <c r="M544" s="600"/>
      <c r="N544" s="600"/>
      <c r="O544" s="600">
        <f t="shared" si="81"/>
        <v>14249.09</v>
      </c>
      <c r="P544" s="601">
        <f t="shared" si="72"/>
        <v>55.5</v>
      </c>
      <c r="Q544" s="600">
        <f t="shared" si="73"/>
        <v>790824.495</v>
      </c>
    </row>
    <row r="545" spans="1:17" s="598" customFormat="1" ht="15" outlineLevel="1">
      <c r="A545" s="597">
        <v>3820</v>
      </c>
      <c r="B545" s="598" t="s">
        <v>533</v>
      </c>
      <c r="C545" s="598">
        <v>1968</v>
      </c>
      <c r="D545" s="599">
        <v>4904.7000000000007</v>
      </c>
      <c r="E545" s="601">
        <f>Input!$C$14-C545+0.5</f>
        <v>54.5</v>
      </c>
      <c r="F545" s="600">
        <f t="shared" si="80"/>
        <v>267306.15000000002</v>
      </c>
      <c r="G545" s="600"/>
      <c r="H545" s="317"/>
      <c r="I545" s="600"/>
      <c r="J545" s="600"/>
      <c r="K545" s="600"/>
      <c r="L545" s="600"/>
      <c r="M545" s="600"/>
      <c r="N545" s="600"/>
      <c r="O545" s="600">
        <f t="shared" si="81"/>
        <v>4904.7000000000007</v>
      </c>
      <c r="P545" s="601">
        <f t="shared" si="72"/>
        <v>54.5</v>
      </c>
      <c r="Q545" s="600">
        <f t="shared" si="73"/>
        <v>267306.15000000002</v>
      </c>
    </row>
    <row r="546" spans="1:17" s="598" customFormat="1" ht="15" outlineLevel="1">
      <c r="A546" s="597">
        <v>3820</v>
      </c>
      <c r="B546" s="598" t="s">
        <v>533</v>
      </c>
      <c r="C546" s="598">
        <v>1969</v>
      </c>
      <c r="D546" s="599">
        <v>6445.2900000000009</v>
      </c>
      <c r="E546" s="601">
        <f>Input!$C$14-C546+0.5</f>
        <v>53.5</v>
      </c>
      <c r="F546" s="600">
        <f t="shared" si="80"/>
        <v>344823.01500000007</v>
      </c>
      <c r="G546" s="600"/>
      <c r="H546" s="317"/>
      <c r="I546" s="600"/>
      <c r="J546" s="600"/>
      <c r="K546" s="600"/>
      <c r="L546" s="600"/>
      <c r="M546" s="600"/>
      <c r="N546" s="600"/>
      <c r="O546" s="600">
        <f t="shared" si="81"/>
        <v>6445.2900000000009</v>
      </c>
      <c r="P546" s="601">
        <f t="shared" si="72"/>
        <v>53.5</v>
      </c>
      <c r="Q546" s="600">
        <f t="shared" si="73"/>
        <v>344823.01500000007</v>
      </c>
    </row>
    <row r="547" spans="1:17" s="598" customFormat="1" ht="15" outlineLevel="1">
      <c r="A547" s="597">
        <v>3820</v>
      </c>
      <c r="B547" s="598" t="s">
        <v>533</v>
      </c>
      <c r="C547" s="598">
        <v>1970</v>
      </c>
      <c r="D547" s="599">
        <f>1970.53+4501.03-2470-219</f>
        <v>3782.5599999999995</v>
      </c>
      <c r="E547" s="601">
        <f>Input!$C$14-C547+0.5</f>
        <v>52.5</v>
      </c>
      <c r="F547" s="600">
        <f t="shared" si="80"/>
        <v>198584.39999999997</v>
      </c>
      <c r="G547" s="600"/>
      <c r="H547" s="317"/>
      <c r="I547" s="600"/>
      <c r="J547" s="600"/>
      <c r="K547" s="600"/>
      <c r="L547" s="600"/>
      <c r="M547" s="600"/>
      <c r="N547" s="600"/>
      <c r="O547" s="600">
        <f t="shared" si="81"/>
        <v>3782.5599999999995</v>
      </c>
      <c r="P547" s="601">
        <f t="shared" si="72"/>
        <v>52.5</v>
      </c>
      <c r="Q547" s="600">
        <f t="shared" si="73"/>
        <v>198584.39999999997</v>
      </c>
    </row>
    <row r="548" spans="1:17" s="598" customFormat="1" ht="15" outlineLevel="1">
      <c r="A548" s="597">
        <v>3820</v>
      </c>
      <c r="B548" s="598" t="s">
        <v>533</v>
      </c>
      <c r="C548" s="598">
        <v>1971</v>
      </c>
      <c r="D548" s="599">
        <v>3532.9800000000005</v>
      </c>
      <c r="E548" s="601">
        <f>Input!$C$14-C548+0.5</f>
        <v>51.5</v>
      </c>
      <c r="F548" s="600">
        <f t="shared" si="80"/>
        <v>181948.47000000003</v>
      </c>
      <c r="G548" s="600"/>
      <c r="H548" s="317"/>
      <c r="I548" s="600"/>
      <c r="J548" s="600"/>
      <c r="K548" s="600"/>
      <c r="L548" s="600"/>
      <c r="M548" s="600"/>
      <c r="N548" s="600"/>
      <c r="O548" s="600">
        <f t="shared" si="81"/>
        <v>3532.9800000000005</v>
      </c>
      <c r="P548" s="601">
        <f t="shared" si="72"/>
        <v>51.5</v>
      </c>
      <c r="Q548" s="600">
        <f t="shared" si="73"/>
        <v>181948.47000000003</v>
      </c>
    </row>
    <row r="549" spans="1:17" s="598" customFormat="1" ht="15" outlineLevel="1">
      <c r="A549" s="597">
        <v>3820</v>
      </c>
      <c r="B549" s="598" t="s">
        <v>533</v>
      </c>
      <c r="C549" s="598">
        <v>1972</v>
      </c>
      <c r="D549" s="599">
        <v>8374.9300000000003</v>
      </c>
      <c r="E549" s="601">
        <f>Input!$C$14-C549+0.5</f>
        <v>50.5</v>
      </c>
      <c r="F549" s="600">
        <f t="shared" si="80"/>
        <v>422933.96500000003</v>
      </c>
      <c r="G549" s="600"/>
      <c r="H549" s="317"/>
      <c r="I549" s="600"/>
      <c r="J549" s="600"/>
      <c r="K549" s="600"/>
      <c r="L549" s="600"/>
      <c r="M549" s="600"/>
      <c r="N549" s="600"/>
      <c r="O549" s="600">
        <f t="shared" si="81"/>
        <v>8374.9300000000003</v>
      </c>
      <c r="P549" s="601">
        <f t="shared" si="72"/>
        <v>50.5</v>
      </c>
      <c r="Q549" s="600">
        <f t="shared" si="73"/>
        <v>422933.96500000003</v>
      </c>
    </row>
    <row r="550" spans="1:17" s="598" customFormat="1" ht="15" outlineLevel="1">
      <c r="A550" s="597">
        <v>3820</v>
      </c>
      <c r="B550" s="598" t="s">
        <v>533</v>
      </c>
      <c r="C550" s="598">
        <v>1973</v>
      </c>
      <c r="D550" s="599">
        <v>5515.9899999999998</v>
      </c>
      <c r="E550" s="601">
        <f>Input!$C$14-C550+0.5</f>
        <v>49.5</v>
      </c>
      <c r="F550" s="600">
        <f t="shared" si="80"/>
        <v>273041.505</v>
      </c>
      <c r="G550" s="600"/>
      <c r="H550" s="317"/>
      <c r="I550" s="600"/>
      <c r="J550" s="600"/>
      <c r="K550" s="600"/>
      <c r="L550" s="600"/>
      <c r="M550" s="600"/>
      <c r="N550" s="600"/>
      <c r="O550" s="600">
        <f t="shared" si="81"/>
        <v>5515.9899999999998</v>
      </c>
      <c r="P550" s="601">
        <f t="shared" si="72"/>
        <v>49.5</v>
      </c>
      <c r="Q550" s="600">
        <f t="shared" si="73"/>
        <v>273041.505</v>
      </c>
    </row>
    <row r="551" spans="1:17" s="598" customFormat="1" ht="15" outlineLevel="1">
      <c r="A551" s="597">
        <v>3820</v>
      </c>
      <c r="B551" s="598" t="s">
        <v>533</v>
      </c>
      <c r="C551" s="598">
        <v>1974</v>
      </c>
      <c r="D551" s="599">
        <v>4994.79</v>
      </c>
      <c r="E551" s="601">
        <f>Input!$C$14-C551+0.5</f>
        <v>48.5</v>
      </c>
      <c r="F551" s="600">
        <f t="shared" si="80"/>
        <v>242247.315</v>
      </c>
      <c r="G551" s="600"/>
      <c r="H551" s="317"/>
      <c r="I551" s="600"/>
      <c r="J551" s="600"/>
      <c r="K551" s="600"/>
      <c r="L551" s="600"/>
      <c r="M551" s="600"/>
      <c r="N551" s="600"/>
      <c r="O551" s="600">
        <f t="shared" si="81"/>
        <v>4994.79</v>
      </c>
      <c r="P551" s="601">
        <f t="shared" si="72"/>
        <v>48.5</v>
      </c>
      <c r="Q551" s="600">
        <f t="shared" si="73"/>
        <v>242247.315</v>
      </c>
    </row>
    <row r="552" spans="1:17" s="598" customFormat="1" ht="15" outlineLevel="1">
      <c r="A552" s="597">
        <v>3820</v>
      </c>
      <c r="B552" s="598" t="s">
        <v>533</v>
      </c>
      <c r="C552" s="598">
        <v>1975</v>
      </c>
      <c r="D552" s="599">
        <v>4694.8800000000001</v>
      </c>
      <c r="E552" s="601">
        <f>Input!$C$14-C552+0.5</f>
        <v>47.5</v>
      </c>
      <c r="F552" s="600">
        <f t="shared" si="80"/>
        <v>223006.80000000002</v>
      </c>
      <c r="G552" s="600"/>
      <c r="H552" s="317"/>
      <c r="I552" s="600"/>
      <c r="J552" s="600"/>
      <c r="K552" s="600"/>
      <c r="L552" s="600"/>
      <c r="M552" s="600"/>
      <c r="N552" s="600"/>
      <c r="O552" s="600">
        <f t="shared" si="81"/>
        <v>4694.8800000000001</v>
      </c>
      <c r="P552" s="601">
        <f t="shared" si="72"/>
        <v>47.5</v>
      </c>
      <c r="Q552" s="600">
        <f t="shared" si="73"/>
        <v>223006.80000000002</v>
      </c>
    </row>
    <row r="553" spans="1:17" s="598" customFormat="1" ht="15" outlineLevel="1">
      <c r="A553" s="597">
        <v>3820</v>
      </c>
      <c r="B553" s="598" t="s">
        <v>533</v>
      </c>
      <c r="C553" s="598">
        <v>1976</v>
      </c>
      <c r="D553" s="599">
        <v>6663.0100000000002</v>
      </c>
      <c r="E553" s="601">
        <f>Input!$C$14-C553+0.5</f>
        <v>46.5</v>
      </c>
      <c r="F553" s="600">
        <f t="shared" si="80"/>
        <v>309829.96500000003</v>
      </c>
      <c r="G553" s="600"/>
      <c r="H553" s="317"/>
      <c r="I553" s="600"/>
      <c r="J553" s="600"/>
      <c r="K553" s="600"/>
      <c r="L553" s="600"/>
      <c r="M553" s="600"/>
      <c r="N553" s="600"/>
      <c r="O553" s="600">
        <f t="shared" si="81"/>
        <v>6663.0100000000002</v>
      </c>
      <c r="P553" s="601">
        <f t="shared" si="72"/>
        <v>46.5</v>
      </c>
      <c r="Q553" s="600">
        <f t="shared" si="73"/>
        <v>309829.96500000003</v>
      </c>
    </row>
    <row r="554" spans="1:17" s="598" customFormat="1" ht="15" outlineLevel="1">
      <c r="A554" s="597">
        <v>3820</v>
      </c>
      <c r="B554" s="598" t="s">
        <v>533</v>
      </c>
      <c r="C554" s="598">
        <v>1977</v>
      </c>
      <c r="D554" s="599">
        <v>14097.459999999999</v>
      </c>
      <c r="E554" s="601">
        <f>Input!$C$14-C554+0.5</f>
        <v>45.5</v>
      </c>
      <c r="F554" s="600">
        <f t="shared" si="80"/>
        <v>641434.42999999993</v>
      </c>
      <c r="G554" s="600"/>
      <c r="H554" s="317"/>
      <c r="I554" s="600"/>
      <c r="J554" s="600"/>
      <c r="K554" s="600"/>
      <c r="L554" s="600"/>
      <c r="M554" s="600"/>
      <c r="N554" s="600"/>
      <c r="O554" s="600">
        <f t="shared" si="81"/>
        <v>14097.459999999999</v>
      </c>
      <c r="P554" s="601">
        <f t="shared" si="72"/>
        <v>45.5</v>
      </c>
      <c r="Q554" s="600">
        <f t="shared" si="73"/>
        <v>641434.42999999993</v>
      </c>
    </row>
    <row r="555" spans="1:17" s="598" customFormat="1" ht="15" outlineLevel="1">
      <c r="A555" s="597">
        <v>3820</v>
      </c>
      <c r="B555" s="598" t="s">
        <v>533</v>
      </c>
      <c r="C555" s="598">
        <v>1978</v>
      </c>
      <c r="D555" s="599">
        <v>12890.670000000002</v>
      </c>
      <c r="E555" s="601">
        <f>Input!$C$14-C555+0.5</f>
        <v>44.5</v>
      </c>
      <c r="F555" s="600">
        <f t="shared" si="80"/>
        <v>573634.81500000006</v>
      </c>
      <c r="G555" s="600"/>
      <c r="H555" s="317"/>
      <c r="I555" s="600"/>
      <c r="J555" s="600"/>
      <c r="K555" s="600"/>
      <c r="L555" s="600"/>
      <c r="M555" s="600"/>
      <c r="N555" s="600"/>
      <c r="O555" s="600">
        <f t="shared" si="81"/>
        <v>12890.670000000002</v>
      </c>
      <c r="P555" s="601">
        <f t="shared" si="72"/>
        <v>44.5</v>
      </c>
      <c r="Q555" s="600">
        <f t="shared" si="73"/>
        <v>573634.81500000006</v>
      </c>
    </row>
    <row r="556" spans="1:17" s="598" customFormat="1" ht="15" outlineLevel="1">
      <c r="A556" s="597">
        <v>3820</v>
      </c>
      <c r="B556" s="598" t="s">
        <v>533</v>
      </c>
      <c r="C556" s="598">
        <v>1979</v>
      </c>
      <c r="D556" s="599">
        <v>21003.080000000002</v>
      </c>
      <c r="E556" s="601">
        <f>Input!$C$14-C556+0.5</f>
        <v>43.5</v>
      </c>
      <c r="F556" s="600">
        <f t="shared" si="80"/>
        <v>913633.9800000001</v>
      </c>
      <c r="G556" s="600"/>
      <c r="H556" s="317"/>
      <c r="I556" s="600"/>
      <c r="J556" s="600"/>
      <c r="K556" s="600"/>
      <c r="L556" s="600"/>
      <c r="M556" s="600"/>
      <c r="N556" s="600"/>
      <c r="O556" s="600">
        <f t="shared" si="81"/>
        <v>21003.080000000002</v>
      </c>
      <c r="P556" s="601">
        <f t="shared" si="72"/>
        <v>43.5</v>
      </c>
      <c r="Q556" s="600">
        <f t="shared" si="73"/>
        <v>913633.9800000001</v>
      </c>
    </row>
    <row r="557" spans="1:17" s="598" customFormat="1" ht="15" outlineLevel="1">
      <c r="A557" s="597">
        <v>3820</v>
      </c>
      <c r="B557" s="598" t="s">
        <v>533</v>
      </c>
      <c r="C557" s="598">
        <v>1980</v>
      </c>
      <c r="D557" s="599">
        <v>42409.450000000004</v>
      </c>
      <c r="E557" s="601">
        <f>Input!$C$14-C557+0.5</f>
        <v>42.5</v>
      </c>
      <c r="F557" s="600">
        <f t="shared" si="80"/>
        <v>1802401.6250000002</v>
      </c>
      <c r="G557" s="600"/>
      <c r="H557" s="317"/>
      <c r="I557" s="600"/>
      <c r="J557" s="600"/>
      <c r="K557" s="600"/>
      <c r="L557" s="600"/>
      <c r="M557" s="600"/>
      <c r="N557" s="600"/>
      <c r="O557" s="600">
        <f t="shared" si="81"/>
        <v>42409.450000000004</v>
      </c>
      <c r="P557" s="601">
        <f t="shared" si="72"/>
        <v>42.5</v>
      </c>
      <c r="Q557" s="600">
        <f t="shared" si="73"/>
        <v>1802401.6250000002</v>
      </c>
    </row>
    <row r="558" spans="1:17" s="598" customFormat="1" ht="15" outlineLevel="1">
      <c r="A558" s="597">
        <v>3820</v>
      </c>
      <c r="B558" s="598" t="s">
        <v>533</v>
      </c>
      <c r="C558" s="598">
        <v>1981</v>
      </c>
      <c r="D558" s="599">
        <v>25184.07</v>
      </c>
      <c r="E558" s="601">
        <f>Input!$C$14-C558+0.5</f>
        <v>41.5</v>
      </c>
      <c r="F558" s="600">
        <f t="shared" si="80"/>
        <v>1045138.905</v>
      </c>
      <c r="G558" s="600"/>
      <c r="H558" s="317"/>
      <c r="I558" s="600"/>
      <c r="J558" s="600"/>
      <c r="K558" s="600"/>
      <c r="L558" s="600"/>
      <c r="M558" s="600"/>
      <c r="N558" s="600"/>
      <c r="O558" s="600">
        <f t="shared" si="81"/>
        <v>25184.07</v>
      </c>
      <c r="P558" s="601">
        <f t="shared" si="72"/>
        <v>41.5</v>
      </c>
      <c r="Q558" s="600">
        <f t="shared" si="73"/>
        <v>1045138.905</v>
      </c>
    </row>
    <row r="559" spans="1:17" s="598" customFormat="1" ht="15" outlineLevel="1">
      <c r="A559" s="597">
        <v>3820</v>
      </c>
      <c r="B559" s="598" t="s">
        <v>533</v>
      </c>
      <c r="C559" s="598">
        <v>1982</v>
      </c>
      <c r="D559" s="599">
        <v>21653.860000000001</v>
      </c>
      <c r="E559" s="601">
        <f>Input!$C$14-C559+0.5</f>
        <v>40.5</v>
      </c>
      <c r="F559" s="600">
        <f t="shared" si="80"/>
        <v>876981.33000000007</v>
      </c>
      <c r="G559" s="600"/>
      <c r="H559" s="317"/>
      <c r="I559" s="600"/>
      <c r="J559" s="600"/>
      <c r="K559" s="600"/>
      <c r="L559" s="600"/>
      <c r="M559" s="600"/>
      <c r="N559" s="600"/>
      <c r="O559" s="600">
        <f t="shared" si="81"/>
        <v>21653.860000000001</v>
      </c>
      <c r="P559" s="601">
        <f t="shared" si="72"/>
        <v>40.5</v>
      </c>
      <c r="Q559" s="600">
        <f t="shared" si="73"/>
        <v>876981.33000000007</v>
      </c>
    </row>
    <row r="560" spans="1:17" s="598" customFormat="1" ht="15" outlineLevel="1">
      <c r="A560" s="597">
        <v>3820</v>
      </c>
      <c r="B560" s="598" t="s">
        <v>533</v>
      </c>
      <c r="C560" s="598">
        <v>1983</v>
      </c>
      <c r="D560" s="599">
        <v>18767.82</v>
      </c>
      <c r="E560" s="601">
        <f>Input!$C$14-C560+0.5</f>
        <v>39.5</v>
      </c>
      <c r="F560" s="600">
        <f t="shared" si="80"/>
        <v>741328.89000000001</v>
      </c>
      <c r="G560" s="600"/>
      <c r="H560" s="317"/>
      <c r="I560" s="600"/>
      <c r="J560" s="600"/>
      <c r="K560" s="600"/>
      <c r="L560" s="600"/>
      <c r="M560" s="600"/>
      <c r="N560" s="600"/>
      <c r="O560" s="600">
        <f t="shared" si="81"/>
        <v>18767.82</v>
      </c>
      <c r="P560" s="601">
        <f t="shared" si="72"/>
        <v>39.5</v>
      </c>
      <c r="Q560" s="600">
        <f t="shared" si="73"/>
        <v>741328.89000000001</v>
      </c>
    </row>
    <row r="561" spans="1:17" s="598" customFormat="1" ht="15" outlineLevel="1">
      <c r="A561" s="597">
        <v>3820</v>
      </c>
      <c r="B561" s="598" t="s">
        <v>533</v>
      </c>
      <c r="C561" s="598">
        <v>1984</v>
      </c>
      <c r="D561" s="599">
        <v>22119.849999999999</v>
      </c>
      <c r="E561" s="601">
        <f>Input!$C$14-C561+0.5</f>
        <v>38.5</v>
      </c>
      <c r="F561" s="600">
        <f t="shared" si="80"/>
        <v>851614.22499999998</v>
      </c>
      <c r="G561" s="600"/>
      <c r="H561" s="317"/>
      <c r="I561" s="600"/>
      <c r="J561" s="600"/>
      <c r="K561" s="600"/>
      <c r="L561" s="600"/>
      <c r="M561" s="600"/>
      <c r="N561" s="600"/>
      <c r="O561" s="600">
        <f t="shared" si="81"/>
        <v>22119.849999999999</v>
      </c>
      <c r="P561" s="601">
        <f t="shared" si="72"/>
        <v>38.5</v>
      </c>
      <c r="Q561" s="600">
        <f t="shared" si="73"/>
        <v>851614.22499999998</v>
      </c>
    </row>
    <row r="562" spans="1:17" s="598" customFormat="1" ht="15" outlineLevel="1">
      <c r="A562" s="597">
        <v>3820</v>
      </c>
      <c r="B562" s="598" t="s">
        <v>533</v>
      </c>
      <c r="C562" s="598">
        <v>1985</v>
      </c>
      <c r="D562" s="599">
        <v>14258.300000000001</v>
      </c>
      <c r="E562" s="601">
        <f>Input!$C$14-C562+0.5</f>
        <v>37.5</v>
      </c>
      <c r="F562" s="600">
        <f t="shared" si="80"/>
        <v>534686.25</v>
      </c>
      <c r="G562" s="600"/>
      <c r="H562" s="317"/>
      <c r="I562" s="600"/>
      <c r="J562" s="600"/>
      <c r="K562" s="600"/>
      <c r="L562" s="600"/>
      <c r="M562" s="600"/>
      <c r="N562" s="600"/>
      <c r="O562" s="600">
        <f t="shared" si="81"/>
        <v>14258.300000000001</v>
      </c>
      <c r="P562" s="601">
        <f t="shared" si="72"/>
        <v>37.5</v>
      </c>
      <c r="Q562" s="600">
        <f t="shared" si="73"/>
        <v>534686.25</v>
      </c>
    </row>
    <row r="563" spans="1:17" s="598" customFormat="1" ht="15" outlineLevel="1">
      <c r="A563" s="597">
        <v>3820</v>
      </c>
      <c r="B563" s="598" t="s">
        <v>533</v>
      </c>
      <c r="C563" s="598">
        <v>1986</v>
      </c>
      <c r="D563" s="599">
        <v>15001.700000000001</v>
      </c>
      <c r="E563" s="601">
        <f>Input!$C$14-C563+0.5</f>
        <v>36.5</v>
      </c>
      <c r="F563" s="600">
        <f t="shared" si="80"/>
        <v>547562.05000000005</v>
      </c>
      <c r="G563" s="600"/>
      <c r="H563" s="317"/>
      <c r="I563" s="600"/>
      <c r="J563" s="600"/>
      <c r="K563" s="600"/>
      <c r="L563" s="600"/>
      <c r="M563" s="600"/>
      <c r="N563" s="600"/>
      <c r="O563" s="600">
        <f t="shared" si="81"/>
        <v>15001.700000000001</v>
      </c>
      <c r="P563" s="601">
        <f t="shared" si="72"/>
        <v>36.5</v>
      </c>
      <c r="Q563" s="600">
        <f t="shared" si="73"/>
        <v>547562.05000000005</v>
      </c>
    </row>
    <row r="564" spans="1:17" s="598" customFormat="1" ht="15" outlineLevel="1">
      <c r="A564" s="597">
        <v>3820</v>
      </c>
      <c r="B564" s="598" t="s">
        <v>533</v>
      </c>
      <c r="C564" s="598">
        <v>1987</v>
      </c>
      <c r="D564" s="599">
        <v>29836.599999999999</v>
      </c>
      <c r="E564" s="601">
        <f>Input!$C$14-C564+0.5</f>
        <v>35.5</v>
      </c>
      <c r="F564" s="600">
        <f t="shared" si="80"/>
        <v>1059199.3</v>
      </c>
      <c r="G564" s="600"/>
      <c r="H564" s="317"/>
      <c r="I564" s="600"/>
      <c r="J564" s="600"/>
      <c r="K564" s="600"/>
      <c r="L564" s="600"/>
      <c r="M564" s="600"/>
      <c r="N564" s="600"/>
      <c r="O564" s="600">
        <f t="shared" si="81"/>
        <v>29836.599999999999</v>
      </c>
      <c r="P564" s="601">
        <f t="shared" si="72"/>
        <v>35.5</v>
      </c>
      <c r="Q564" s="600">
        <f t="shared" si="73"/>
        <v>1059199.3</v>
      </c>
    </row>
    <row r="565" spans="1:17" s="598" customFormat="1" ht="15" outlineLevel="1">
      <c r="A565" s="597">
        <v>3820</v>
      </c>
      <c r="B565" s="598" t="s">
        <v>533</v>
      </c>
      <c r="C565" s="598">
        <v>1988</v>
      </c>
      <c r="D565" s="599">
        <v>41806.110000000001</v>
      </c>
      <c r="E565" s="601">
        <f>Input!$C$14-C565+0.5</f>
        <v>34.5</v>
      </c>
      <c r="F565" s="600">
        <f t="shared" si="80"/>
        <v>1442310.7949999999</v>
      </c>
      <c r="G565" s="600"/>
      <c r="H565" s="317"/>
      <c r="I565" s="600"/>
      <c r="J565" s="600"/>
      <c r="K565" s="600"/>
      <c r="L565" s="600"/>
      <c r="M565" s="600"/>
      <c r="N565" s="600"/>
      <c r="O565" s="600">
        <f t="shared" si="81"/>
        <v>41806.110000000001</v>
      </c>
      <c r="P565" s="601">
        <f t="shared" si="72"/>
        <v>34.5</v>
      </c>
      <c r="Q565" s="600">
        <f t="shared" si="73"/>
        <v>1442310.7949999999</v>
      </c>
    </row>
    <row r="566" spans="1:17" s="598" customFormat="1" ht="15" outlineLevel="1">
      <c r="A566" s="597">
        <v>3820</v>
      </c>
      <c r="B566" s="598" t="s">
        <v>533</v>
      </c>
      <c r="C566" s="598">
        <v>1989</v>
      </c>
      <c r="D566" s="599">
        <v>136299.89000000001</v>
      </c>
      <c r="E566" s="601">
        <f>Input!$C$14-C566+0.5</f>
        <v>33.5</v>
      </c>
      <c r="F566" s="600">
        <f t="shared" si="80"/>
        <v>4566046.3150000004</v>
      </c>
      <c r="G566" s="600"/>
      <c r="H566" s="317"/>
      <c r="I566" s="600"/>
      <c r="J566" s="600"/>
      <c r="K566" s="600"/>
      <c r="L566" s="600"/>
      <c r="M566" s="600"/>
      <c r="N566" s="600"/>
      <c r="O566" s="600">
        <f t="shared" si="81"/>
        <v>136299.89000000001</v>
      </c>
      <c r="P566" s="601">
        <f t="shared" si="72"/>
        <v>33.5</v>
      </c>
      <c r="Q566" s="600">
        <f t="shared" si="73"/>
        <v>4566046.3150000004</v>
      </c>
    </row>
    <row r="567" spans="1:17" s="598" customFormat="1" ht="15" outlineLevel="1">
      <c r="A567" s="597">
        <v>3820</v>
      </c>
      <c r="B567" s="598" t="s">
        <v>533</v>
      </c>
      <c r="C567" s="598">
        <v>1990</v>
      </c>
      <c r="D567" s="599">
        <v>97444.749999999985</v>
      </c>
      <c r="E567" s="601">
        <f>Input!$C$14-C567+0.5</f>
        <v>32.5</v>
      </c>
      <c r="F567" s="600">
        <f t="shared" si="80"/>
        <v>3166954.3749999995</v>
      </c>
      <c r="G567" s="600"/>
      <c r="H567" s="317"/>
      <c r="I567" s="600"/>
      <c r="J567" s="600"/>
      <c r="K567" s="600"/>
      <c r="L567" s="600"/>
      <c r="M567" s="600"/>
      <c r="N567" s="600"/>
      <c r="O567" s="600">
        <f t="shared" si="81"/>
        <v>97444.749999999985</v>
      </c>
      <c r="P567" s="601">
        <f t="shared" si="72"/>
        <v>32.5</v>
      </c>
      <c r="Q567" s="600">
        <f t="shared" si="73"/>
        <v>3166954.3749999995</v>
      </c>
    </row>
    <row r="568" spans="1:17" s="598" customFormat="1" ht="15" outlineLevel="1">
      <c r="A568" s="597">
        <v>3820</v>
      </c>
      <c r="B568" s="598" t="s">
        <v>533</v>
      </c>
      <c r="C568" s="598">
        <v>1991</v>
      </c>
      <c r="D568" s="599">
        <v>102253.52999999998</v>
      </c>
      <c r="E568" s="601">
        <f>Input!$C$14-C568+0.5</f>
        <v>31.5</v>
      </c>
      <c r="F568" s="600">
        <f t="shared" si="80"/>
        <v>3220986.1949999994</v>
      </c>
      <c r="G568" s="600"/>
      <c r="H568" s="317"/>
      <c r="I568" s="600"/>
      <c r="J568" s="600"/>
      <c r="K568" s="600"/>
      <c r="L568" s="600"/>
      <c r="M568" s="600"/>
      <c r="N568" s="600"/>
      <c r="O568" s="600">
        <f t="shared" si="81"/>
        <v>102253.52999999998</v>
      </c>
      <c r="P568" s="601">
        <f t="shared" si="72"/>
        <v>31.5</v>
      </c>
      <c r="Q568" s="600">
        <f t="shared" si="73"/>
        <v>3220986.1949999994</v>
      </c>
    </row>
    <row r="569" spans="1:17" s="598" customFormat="1" ht="15" outlineLevel="1">
      <c r="A569" s="597">
        <v>3820</v>
      </c>
      <c r="B569" s="598" t="s">
        <v>533</v>
      </c>
      <c r="C569" s="598">
        <v>1992</v>
      </c>
      <c r="D569" s="599">
        <v>130165.53000000001</v>
      </c>
      <c r="E569" s="601">
        <f>Input!$C$14-C569+0.5</f>
        <v>30.5</v>
      </c>
      <c r="F569" s="600">
        <f t="shared" si="80"/>
        <v>3970048.6650000005</v>
      </c>
      <c r="G569" s="600"/>
      <c r="H569" s="317"/>
      <c r="I569" s="600"/>
      <c r="J569" s="600"/>
      <c r="K569" s="600"/>
      <c r="L569" s="600"/>
      <c r="M569" s="600"/>
      <c r="N569" s="600"/>
      <c r="O569" s="600">
        <f t="shared" si="81"/>
        <v>130165.53000000001</v>
      </c>
      <c r="P569" s="601">
        <f t="shared" si="72"/>
        <v>30.5</v>
      </c>
      <c r="Q569" s="600">
        <f t="shared" si="73"/>
        <v>3970048.6650000005</v>
      </c>
    </row>
    <row r="570" spans="1:17" s="598" customFormat="1" ht="15" outlineLevel="1">
      <c r="A570" s="597">
        <v>3820</v>
      </c>
      <c r="B570" s="598" t="s">
        <v>533</v>
      </c>
      <c r="C570" s="598">
        <v>1993</v>
      </c>
      <c r="D570" s="599">
        <f>59946.14+53</f>
        <v>59999.139999999999</v>
      </c>
      <c r="E570" s="601">
        <f>Input!$C$14-C570+0.5</f>
        <v>29.5</v>
      </c>
      <c r="F570" s="600">
        <f t="shared" si="80"/>
        <v>1769974.6299999999</v>
      </c>
      <c r="G570" s="600"/>
      <c r="H570" s="317"/>
      <c r="I570" s="600"/>
      <c r="J570" s="600"/>
      <c r="K570" s="600"/>
      <c r="L570" s="600"/>
      <c r="M570" s="600"/>
      <c r="N570" s="600"/>
      <c r="O570" s="600">
        <f t="shared" si="81"/>
        <v>59999.139999999999</v>
      </c>
      <c r="P570" s="601">
        <f t="shared" si="82" ref="P570:P634">E570</f>
        <v>29.5</v>
      </c>
      <c r="Q570" s="600">
        <f t="shared" si="83" ref="Q570:Q634">O570*P570</f>
        <v>1769974.6299999999</v>
      </c>
    </row>
    <row r="571" spans="1:17" s="598" customFormat="1" ht="15" outlineLevel="1">
      <c r="A571" s="597">
        <v>3820</v>
      </c>
      <c r="B571" s="598" t="s">
        <v>533</v>
      </c>
      <c r="C571" s="598">
        <v>1994</v>
      </c>
      <c r="D571" s="599">
        <f>59619.8+150</f>
        <v>59769.800000000003</v>
      </c>
      <c r="E571" s="601">
        <f>Input!$C$14-C571+0.5</f>
        <v>28.5</v>
      </c>
      <c r="F571" s="600">
        <f t="shared" si="80"/>
        <v>1703439.3</v>
      </c>
      <c r="G571" s="600"/>
      <c r="H571" s="317"/>
      <c r="I571" s="600"/>
      <c r="J571" s="600"/>
      <c r="K571" s="600"/>
      <c r="L571" s="600"/>
      <c r="M571" s="600"/>
      <c r="N571" s="600"/>
      <c r="O571" s="600">
        <f t="shared" si="81"/>
        <v>59769.800000000003</v>
      </c>
      <c r="P571" s="601">
        <f t="shared" si="82"/>
        <v>28.5</v>
      </c>
      <c r="Q571" s="600">
        <f t="shared" si="83"/>
        <v>1703439.3</v>
      </c>
    </row>
    <row r="572" spans="1:17" s="598" customFormat="1" ht="15" outlineLevel="1">
      <c r="A572" s="597">
        <v>3820</v>
      </c>
      <c r="B572" s="598" t="s">
        <v>533</v>
      </c>
      <c r="C572" s="598">
        <v>1995</v>
      </c>
      <c r="D572" s="599">
        <f>55190.52+133</f>
        <v>55323.519999999997</v>
      </c>
      <c r="E572" s="601">
        <f>Input!$C$14-C572+0.5</f>
        <v>27.5</v>
      </c>
      <c r="F572" s="600">
        <f t="shared" si="80"/>
        <v>1521396.7999999998</v>
      </c>
      <c r="G572" s="600"/>
      <c r="H572" s="317"/>
      <c r="I572" s="600"/>
      <c r="J572" s="600"/>
      <c r="K572" s="600"/>
      <c r="L572" s="600"/>
      <c r="M572" s="600"/>
      <c r="N572" s="600"/>
      <c r="O572" s="600">
        <f t="shared" si="81"/>
        <v>55323.519999999997</v>
      </c>
      <c r="P572" s="601">
        <f t="shared" si="82"/>
        <v>27.5</v>
      </c>
      <c r="Q572" s="600">
        <f t="shared" si="83"/>
        <v>1521396.7999999998</v>
      </c>
    </row>
    <row r="573" spans="1:17" s="598" customFormat="1" ht="15" outlineLevel="1">
      <c r="A573" s="597">
        <v>3820</v>
      </c>
      <c r="B573" s="598" t="s">
        <v>533</v>
      </c>
      <c r="C573" s="598">
        <v>1996</v>
      </c>
      <c r="D573" s="599">
        <f>170209.66+1369</f>
        <v>171578.66</v>
      </c>
      <c r="E573" s="601">
        <f>Input!$C$14-C573+0.5</f>
        <v>26.5</v>
      </c>
      <c r="F573" s="600">
        <f t="shared" si="80"/>
        <v>4546834.4900000002</v>
      </c>
      <c r="G573" s="600"/>
      <c r="H573" s="317"/>
      <c r="I573" s="600"/>
      <c r="J573" s="600"/>
      <c r="K573" s="600"/>
      <c r="L573" s="600"/>
      <c r="M573" s="600"/>
      <c r="N573" s="600"/>
      <c r="O573" s="600">
        <f t="shared" si="81"/>
        <v>171578.66</v>
      </c>
      <c r="P573" s="601">
        <f t="shared" si="82"/>
        <v>26.5</v>
      </c>
      <c r="Q573" s="600">
        <f t="shared" si="83"/>
        <v>4546834.4900000002</v>
      </c>
    </row>
    <row r="574" spans="1:17" s="598" customFormat="1" ht="15" outlineLevel="1">
      <c r="A574" s="597">
        <v>3820</v>
      </c>
      <c r="B574" s="598" t="s">
        <v>533</v>
      </c>
      <c r="C574" s="598">
        <v>1997</v>
      </c>
      <c r="D574" s="599">
        <f>115841.55+324</f>
        <v>116165.55</v>
      </c>
      <c r="E574" s="601">
        <f>Input!$C$14-C574+0.5</f>
        <v>25.5</v>
      </c>
      <c r="F574" s="600">
        <f t="shared" si="80"/>
        <v>2962221.5249999999</v>
      </c>
      <c r="G574" s="600"/>
      <c r="H574" s="317"/>
      <c r="I574" s="600"/>
      <c r="J574" s="600"/>
      <c r="K574" s="600"/>
      <c r="L574" s="600"/>
      <c r="M574" s="600"/>
      <c r="N574" s="600"/>
      <c r="O574" s="600">
        <f t="shared" si="81"/>
        <v>116165.55</v>
      </c>
      <c r="P574" s="601">
        <f t="shared" si="82"/>
        <v>25.5</v>
      </c>
      <c r="Q574" s="600">
        <f t="shared" si="83"/>
        <v>2962221.5249999999</v>
      </c>
    </row>
    <row r="575" spans="1:17" s="598" customFormat="1" ht="15" outlineLevel="1">
      <c r="A575" s="597">
        <v>3820</v>
      </c>
      <c r="B575" s="598" t="s">
        <v>533</v>
      </c>
      <c r="C575" s="598">
        <v>1998</v>
      </c>
      <c r="D575" s="599">
        <f>119951.51+93</f>
        <v>120044.50999999999</v>
      </c>
      <c r="E575" s="601">
        <f>Input!$C$14-C575+0.5</f>
        <v>24.5</v>
      </c>
      <c r="F575" s="600">
        <f t="shared" si="80"/>
        <v>2941090.4949999996</v>
      </c>
      <c r="G575" s="600"/>
      <c r="H575" s="317"/>
      <c r="I575" s="600"/>
      <c r="J575" s="600"/>
      <c r="K575" s="600"/>
      <c r="L575" s="600"/>
      <c r="M575" s="600"/>
      <c r="N575" s="600"/>
      <c r="O575" s="600">
        <f t="shared" si="81"/>
        <v>120044.50999999999</v>
      </c>
      <c r="P575" s="601">
        <f t="shared" si="82"/>
        <v>24.5</v>
      </c>
      <c r="Q575" s="600">
        <f t="shared" si="83"/>
        <v>2941090.4949999996</v>
      </c>
    </row>
    <row r="576" spans="1:17" s="598" customFormat="1" ht="15" outlineLevel="1">
      <c r="A576" s="597">
        <v>3820</v>
      </c>
      <c r="B576" s="598" t="s">
        <v>533</v>
      </c>
      <c r="C576" s="598">
        <v>1999</v>
      </c>
      <c r="D576" s="599">
        <v>235974.11000000002</v>
      </c>
      <c r="E576" s="601">
        <f>Input!$C$14-C576+0.5</f>
        <v>23.5</v>
      </c>
      <c r="F576" s="600">
        <f t="shared" si="80"/>
        <v>5545391.585</v>
      </c>
      <c r="G576" s="600"/>
      <c r="H576" s="317"/>
      <c r="I576" s="600"/>
      <c r="J576" s="600"/>
      <c r="K576" s="600"/>
      <c r="L576" s="600"/>
      <c r="M576" s="600"/>
      <c r="N576" s="600"/>
      <c r="O576" s="600">
        <f t="shared" si="81"/>
        <v>235974.11000000002</v>
      </c>
      <c r="P576" s="601">
        <f t="shared" si="82"/>
        <v>23.5</v>
      </c>
      <c r="Q576" s="600">
        <f t="shared" si="83"/>
        <v>5545391.585</v>
      </c>
    </row>
    <row r="577" spans="1:17" s="598" customFormat="1" ht="15" outlineLevel="1">
      <c r="A577" s="597">
        <v>3820</v>
      </c>
      <c r="B577" s="598" t="s">
        <v>533</v>
      </c>
      <c r="C577" s="598">
        <v>2000</v>
      </c>
      <c r="D577" s="599">
        <v>208487.18000000002</v>
      </c>
      <c r="E577" s="601">
        <f>Input!$C$14-C577+0.5</f>
        <v>22.5</v>
      </c>
      <c r="F577" s="600">
        <f t="shared" si="80"/>
        <v>4690961.5500000007</v>
      </c>
      <c r="G577" s="600"/>
      <c r="H577" s="317"/>
      <c r="I577" s="600"/>
      <c r="J577" s="600"/>
      <c r="K577" s="600"/>
      <c r="L577" s="600"/>
      <c r="M577" s="600"/>
      <c r="N577" s="600"/>
      <c r="O577" s="600">
        <f t="shared" si="81"/>
        <v>208487.18000000002</v>
      </c>
      <c r="P577" s="601">
        <f t="shared" si="82"/>
        <v>22.5</v>
      </c>
      <c r="Q577" s="600">
        <f t="shared" si="83"/>
        <v>4690961.5500000007</v>
      </c>
    </row>
    <row r="578" spans="1:17" s="598" customFormat="1" ht="15" outlineLevel="1">
      <c r="A578" s="597">
        <v>3820</v>
      </c>
      <c r="B578" s="598" t="s">
        <v>533</v>
      </c>
      <c r="C578" s="598">
        <v>2001</v>
      </c>
      <c r="D578" s="599">
        <f>384055.89+748</f>
        <v>384803.89000000001</v>
      </c>
      <c r="E578" s="601">
        <f>Input!$C$14-C578+0.5</f>
        <v>21.5</v>
      </c>
      <c r="F578" s="600">
        <f t="shared" si="80"/>
        <v>8273283.6350000007</v>
      </c>
      <c r="G578" s="600"/>
      <c r="H578" s="317"/>
      <c r="I578" s="600"/>
      <c r="J578" s="600"/>
      <c r="K578" s="600"/>
      <c r="L578" s="600"/>
      <c r="M578" s="600"/>
      <c r="N578" s="600"/>
      <c r="O578" s="600">
        <f t="shared" si="81"/>
        <v>384803.89000000001</v>
      </c>
      <c r="P578" s="601">
        <f t="shared" si="82"/>
        <v>21.5</v>
      </c>
      <c r="Q578" s="600">
        <f t="shared" si="83"/>
        <v>8273283.6350000007</v>
      </c>
    </row>
    <row r="579" spans="1:17" s="598" customFormat="1" ht="15" outlineLevel="1">
      <c r="A579" s="597">
        <v>3820</v>
      </c>
      <c r="B579" s="598" t="s">
        <v>533</v>
      </c>
      <c r="C579" s="598">
        <v>2002</v>
      </c>
      <c r="D579" s="599">
        <f>264538.46+1573</f>
        <v>266111.46000000002</v>
      </c>
      <c r="E579" s="601">
        <f>Input!$C$14-C579+0.5</f>
        <v>20.5</v>
      </c>
      <c r="F579" s="600">
        <f t="shared" si="80"/>
        <v>5455284.9300000006</v>
      </c>
      <c r="G579" s="600"/>
      <c r="H579" s="317"/>
      <c r="I579" s="600"/>
      <c r="J579" s="600"/>
      <c r="K579" s="600"/>
      <c r="L579" s="600"/>
      <c r="M579" s="600"/>
      <c r="N579" s="600"/>
      <c r="O579" s="600">
        <f t="shared" si="81"/>
        <v>266111.46000000002</v>
      </c>
      <c r="P579" s="601">
        <f t="shared" si="82"/>
        <v>20.5</v>
      </c>
      <c r="Q579" s="600">
        <f t="shared" si="83"/>
        <v>5455284.9300000006</v>
      </c>
    </row>
    <row r="580" spans="1:17" s="598" customFormat="1" ht="15" outlineLevel="1">
      <c r="A580" s="597">
        <v>3820</v>
      </c>
      <c r="B580" s="598" t="s">
        <v>533</v>
      </c>
      <c r="C580" s="598">
        <v>2003</v>
      </c>
      <c r="D580" s="599">
        <f>179443.42+3283</f>
        <v>182726.42000000001</v>
      </c>
      <c r="E580" s="601">
        <f>Input!$C$14-C580+0.5</f>
        <v>19.5</v>
      </c>
      <c r="F580" s="600">
        <f t="shared" si="80"/>
        <v>3563165.1900000004</v>
      </c>
      <c r="G580" s="600"/>
      <c r="H580" s="317"/>
      <c r="I580" s="600"/>
      <c r="J580" s="600"/>
      <c r="K580" s="600"/>
      <c r="L580" s="600"/>
      <c r="M580" s="600"/>
      <c r="N580" s="600"/>
      <c r="O580" s="600">
        <f t="shared" si="81"/>
        <v>182726.42000000001</v>
      </c>
      <c r="P580" s="601">
        <f t="shared" si="82"/>
        <v>19.5</v>
      </c>
      <c r="Q580" s="600">
        <f t="shared" si="83"/>
        <v>3563165.1900000004</v>
      </c>
    </row>
    <row r="581" spans="1:17" s="598" customFormat="1" ht="15" outlineLevel="1">
      <c r="A581" s="597">
        <v>3820</v>
      </c>
      <c r="B581" s="598" t="s">
        <v>533</v>
      </c>
      <c r="C581" s="598">
        <v>2004</v>
      </c>
      <c r="D581" s="599">
        <f>306499.73+1107</f>
        <v>307606.72999999998</v>
      </c>
      <c r="E581" s="601">
        <f>Input!$C$14-C581+0.5</f>
        <v>18.5</v>
      </c>
      <c r="F581" s="600">
        <f t="shared" si="80"/>
        <v>5690724.5049999999</v>
      </c>
      <c r="G581" s="600"/>
      <c r="H581" s="317"/>
      <c r="I581" s="600"/>
      <c r="J581" s="600"/>
      <c r="K581" s="600"/>
      <c r="L581" s="600"/>
      <c r="M581" s="600"/>
      <c r="N581" s="600"/>
      <c r="O581" s="600">
        <f t="shared" si="81"/>
        <v>307606.72999999998</v>
      </c>
      <c r="P581" s="601">
        <f t="shared" si="82"/>
        <v>18.5</v>
      </c>
      <c r="Q581" s="600">
        <f t="shared" si="83"/>
        <v>5690724.5049999999</v>
      </c>
    </row>
    <row r="582" spans="1:17" s="598" customFormat="1" ht="15" outlineLevel="1">
      <c r="A582" s="597">
        <v>3820</v>
      </c>
      <c r="B582" s="598" t="s">
        <v>533</v>
      </c>
      <c r="C582" s="598">
        <v>2005</v>
      </c>
      <c r="D582" s="599">
        <f>349792.57+1774</f>
        <v>351566.57000000001</v>
      </c>
      <c r="E582" s="601">
        <f>Input!$C$14-C582+0.5</f>
        <v>17.5</v>
      </c>
      <c r="F582" s="600">
        <f t="shared" si="80"/>
        <v>6152414.9750000006</v>
      </c>
      <c r="G582" s="600"/>
      <c r="H582" s="317"/>
      <c r="I582" s="600"/>
      <c r="J582" s="600"/>
      <c r="K582" s="600"/>
      <c r="L582" s="600"/>
      <c r="M582" s="600"/>
      <c r="N582" s="600"/>
      <c r="O582" s="600">
        <f t="shared" si="81"/>
        <v>351566.57000000001</v>
      </c>
      <c r="P582" s="601">
        <f t="shared" si="82"/>
        <v>17.5</v>
      </c>
      <c r="Q582" s="600">
        <f t="shared" si="83"/>
        <v>6152414.9750000006</v>
      </c>
    </row>
    <row r="583" spans="1:17" s="598" customFormat="1" ht="15" outlineLevel="1">
      <c r="A583" s="597">
        <v>3820</v>
      </c>
      <c r="B583" s="598" t="s">
        <v>533</v>
      </c>
      <c r="C583" s="598">
        <v>2006</v>
      </c>
      <c r="D583" s="599">
        <f>466158.88+1368</f>
        <v>467526.88</v>
      </c>
      <c r="E583" s="601">
        <f>Input!$C$14-C583+0.5</f>
        <v>16.5</v>
      </c>
      <c r="F583" s="600">
        <f t="shared" si="80"/>
        <v>7714193.5200000005</v>
      </c>
      <c r="G583" s="600"/>
      <c r="H583" s="317"/>
      <c r="I583" s="600"/>
      <c r="J583" s="600"/>
      <c r="K583" s="600"/>
      <c r="L583" s="600"/>
      <c r="M583" s="600"/>
      <c r="N583" s="600"/>
      <c r="O583" s="600">
        <f t="shared" si="81"/>
        <v>467526.88</v>
      </c>
      <c r="P583" s="601">
        <f t="shared" si="82"/>
        <v>16.5</v>
      </c>
      <c r="Q583" s="600">
        <f t="shared" si="83"/>
        <v>7714193.5200000005</v>
      </c>
    </row>
    <row r="584" spans="1:17" s="598" customFormat="1" ht="15" outlineLevel="1">
      <c r="A584" s="597">
        <v>3820</v>
      </c>
      <c r="B584" s="598" t="s">
        <v>533</v>
      </c>
      <c r="C584" s="598">
        <v>2007</v>
      </c>
      <c r="D584" s="599">
        <f>460214.89+1088</f>
        <v>461302.89000000001</v>
      </c>
      <c r="E584" s="601">
        <f>Input!$C$14-C584+0.5</f>
        <v>15.5</v>
      </c>
      <c r="F584" s="600">
        <f t="shared" si="80"/>
        <v>7150194.7949999999</v>
      </c>
      <c r="G584" s="600"/>
      <c r="H584" s="317"/>
      <c r="I584" s="600"/>
      <c r="J584" s="600"/>
      <c r="K584" s="600"/>
      <c r="L584" s="600"/>
      <c r="M584" s="600"/>
      <c r="N584" s="600"/>
      <c r="O584" s="600">
        <f t="shared" si="81"/>
        <v>461302.89000000001</v>
      </c>
      <c r="P584" s="601">
        <f t="shared" si="82"/>
        <v>15.5</v>
      </c>
      <c r="Q584" s="600">
        <f t="shared" si="83"/>
        <v>7150194.7949999999</v>
      </c>
    </row>
    <row r="585" spans="1:17" s="598" customFormat="1" ht="15" outlineLevel="1">
      <c r="A585" s="597">
        <v>3820</v>
      </c>
      <c r="B585" s="598" t="s">
        <v>533</v>
      </c>
      <c r="C585" s="598">
        <v>2008</v>
      </c>
      <c r="D585" s="599">
        <f>599630.32+494</f>
        <v>600124.31999999995</v>
      </c>
      <c r="E585" s="601">
        <f>Input!$C$14-C585+0.5</f>
        <v>14.5</v>
      </c>
      <c r="F585" s="600">
        <f t="shared" si="80"/>
        <v>8701802.6399999987</v>
      </c>
      <c r="G585" s="600"/>
      <c r="H585" s="317"/>
      <c r="I585" s="600"/>
      <c r="J585" s="600"/>
      <c r="K585" s="600"/>
      <c r="L585" s="600"/>
      <c r="M585" s="600"/>
      <c r="N585" s="600"/>
      <c r="O585" s="600">
        <f t="shared" si="81"/>
        <v>600124.31999999995</v>
      </c>
      <c r="P585" s="601">
        <f t="shared" si="82"/>
        <v>14.5</v>
      </c>
      <c r="Q585" s="600">
        <f t="shared" si="83"/>
        <v>8701802.6399999987</v>
      </c>
    </row>
    <row r="586" spans="1:17" s="598" customFormat="1" ht="15" outlineLevel="1">
      <c r="A586" s="597">
        <v>3820</v>
      </c>
      <c r="B586" s="598" t="s">
        <v>533</v>
      </c>
      <c r="C586" s="598">
        <v>2009</v>
      </c>
      <c r="D586" s="599">
        <f>254302.76+423</f>
        <v>254725.76000000001</v>
      </c>
      <c r="E586" s="601">
        <f>Input!$C$14-C586+0.5</f>
        <v>13.5</v>
      </c>
      <c r="F586" s="600">
        <f t="shared" si="80"/>
        <v>3438797.7600000002</v>
      </c>
      <c r="G586" s="600"/>
      <c r="H586" s="317"/>
      <c r="I586" s="600"/>
      <c r="J586" s="600"/>
      <c r="K586" s="600"/>
      <c r="L586" s="600"/>
      <c r="M586" s="600"/>
      <c r="N586" s="600"/>
      <c r="O586" s="600">
        <f t="shared" si="81"/>
        <v>254725.76000000001</v>
      </c>
      <c r="P586" s="601">
        <f t="shared" si="82"/>
        <v>13.5</v>
      </c>
      <c r="Q586" s="600">
        <f t="shared" si="83"/>
        <v>3438797.7600000002</v>
      </c>
    </row>
    <row r="587" spans="1:17" s="598" customFormat="1" ht="15" outlineLevel="1">
      <c r="A587" s="597">
        <v>3820</v>
      </c>
      <c r="B587" s="598" t="s">
        <v>533</v>
      </c>
      <c r="C587" s="598">
        <v>2010</v>
      </c>
      <c r="D587" s="599">
        <f>257101.96-15792.03</f>
        <v>241309.92999999999</v>
      </c>
      <c r="E587" s="601">
        <f>Input!$C$14-C587+0.5</f>
        <v>12.5</v>
      </c>
      <c r="F587" s="600">
        <f t="shared" si="80"/>
        <v>3016374.125</v>
      </c>
      <c r="G587" s="600"/>
      <c r="H587" s="317"/>
      <c r="I587" s="600"/>
      <c r="J587" s="600"/>
      <c r="K587" s="600"/>
      <c r="L587" s="600"/>
      <c r="M587" s="600"/>
      <c r="N587" s="600"/>
      <c r="O587" s="600">
        <f t="shared" si="81"/>
        <v>241309.92999999999</v>
      </c>
      <c r="P587" s="601">
        <f t="shared" si="82"/>
        <v>12.5</v>
      </c>
      <c r="Q587" s="600">
        <f t="shared" si="83"/>
        <v>3016374.125</v>
      </c>
    </row>
    <row r="588" spans="1:17" s="598" customFormat="1" ht="15" outlineLevel="1">
      <c r="A588" s="597">
        <v>3820</v>
      </c>
      <c r="B588" s="598" t="s">
        <v>533</v>
      </c>
      <c r="C588" s="598">
        <v>2011</v>
      </c>
      <c r="D588" s="599">
        <v>369784.59000000008</v>
      </c>
      <c r="E588" s="601">
        <f>Input!$C$14-C588+0.5</f>
        <v>11.5</v>
      </c>
      <c r="F588" s="600">
        <f t="shared" si="80"/>
        <v>4252522.7850000011</v>
      </c>
      <c r="G588" s="600"/>
      <c r="H588" s="317"/>
      <c r="I588" s="600"/>
      <c r="J588" s="600"/>
      <c r="K588" s="600"/>
      <c r="L588" s="600"/>
      <c r="M588" s="600"/>
      <c r="N588" s="600"/>
      <c r="O588" s="600">
        <f t="shared" si="81"/>
        <v>369784.59000000008</v>
      </c>
      <c r="P588" s="601">
        <f t="shared" si="82"/>
        <v>11.5</v>
      </c>
      <c r="Q588" s="600">
        <f t="shared" si="83"/>
        <v>4252522.7850000011</v>
      </c>
    </row>
    <row r="589" spans="1:17" s="598" customFormat="1" ht="15" outlineLevel="1">
      <c r="A589" s="597">
        <v>3820</v>
      </c>
      <c r="B589" s="598" t="s">
        <v>533</v>
      </c>
      <c r="C589" s="598">
        <v>2012</v>
      </c>
      <c r="D589" s="599">
        <v>480388.58999999997</v>
      </c>
      <c r="E589" s="601">
        <f>Input!$C$14-C589+0.5</f>
        <v>10.5</v>
      </c>
      <c r="F589" s="600">
        <f t="shared" si="80"/>
        <v>5044080.1949999994</v>
      </c>
      <c r="G589" s="600"/>
      <c r="H589" s="317"/>
      <c r="I589" s="600"/>
      <c r="J589" s="600"/>
      <c r="K589" s="600"/>
      <c r="L589" s="600"/>
      <c r="M589" s="600"/>
      <c r="N589" s="600"/>
      <c r="O589" s="600">
        <f t="shared" si="81"/>
        <v>480388.58999999997</v>
      </c>
      <c r="P589" s="601">
        <f t="shared" si="82"/>
        <v>10.5</v>
      </c>
      <c r="Q589" s="600">
        <f t="shared" si="83"/>
        <v>5044080.1949999994</v>
      </c>
    </row>
    <row r="590" spans="1:17" s="598" customFormat="1" ht="15" outlineLevel="1">
      <c r="A590" s="597">
        <v>3820</v>
      </c>
      <c r="B590" s="598" t="s">
        <v>533</v>
      </c>
      <c r="C590" s="598">
        <v>2013</v>
      </c>
      <c r="D590" s="599">
        <v>600218.77000000002</v>
      </c>
      <c r="E590" s="601">
        <f>Input!$C$14-C590+0.5</f>
        <v>9.5</v>
      </c>
      <c r="F590" s="600">
        <f t="shared" si="84" ref="F590:F598">D590*E590</f>
        <v>5702078.3150000004</v>
      </c>
      <c r="G590" s="600"/>
      <c r="H590" s="317"/>
      <c r="I590" s="600"/>
      <c r="J590" s="600"/>
      <c r="K590" s="600"/>
      <c r="L590" s="600"/>
      <c r="M590" s="600"/>
      <c r="N590" s="600"/>
      <c r="O590" s="600">
        <f t="shared" si="85" ref="O590:O598">SUM(D590,I590:N590)</f>
        <v>600218.77000000002</v>
      </c>
      <c r="P590" s="601">
        <f t="shared" si="82"/>
        <v>9.5</v>
      </c>
      <c r="Q590" s="600">
        <f t="shared" si="83"/>
        <v>5702078.3150000004</v>
      </c>
    </row>
    <row r="591" spans="1:17" s="598" customFormat="1" ht="15" outlineLevel="1">
      <c r="A591" s="597">
        <v>3820</v>
      </c>
      <c r="B591" s="598" t="s">
        <v>533</v>
      </c>
      <c r="C591" s="598">
        <v>2014</v>
      </c>
      <c r="D591" s="599">
        <v>880532.33000000007</v>
      </c>
      <c r="E591" s="601">
        <f>Input!$C$14-C591+0.5</f>
        <v>8.5</v>
      </c>
      <c r="F591" s="600">
        <f t="shared" si="84"/>
        <v>7484524.8050000006</v>
      </c>
      <c r="G591" s="600"/>
      <c r="H591" s="317"/>
      <c r="I591" s="600"/>
      <c r="J591" s="600"/>
      <c r="K591" s="600"/>
      <c r="L591" s="600"/>
      <c r="M591" s="600"/>
      <c r="N591" s="600"/>
      <c r="O591" s="600">
        <f t="shared" si="85"/>
        <v>880532.33000000007</v>
      </c>
      <c r="P591" s="601">
        <f t="shared" si="82"/>
        <v>8.5</v>
      </c>
      <c r="Q591" s="600">
        <f t="shared" si="83"/>
        <v>7484524.8050000006</v>
      </c>
    </row>
    <row r="592" spans="1:17" s="598" customFormat="1" ht="15" outlineLevel="1">
      <c r="A592" s="597">
        <v>3820</v>
      </c>
      <c r="B592" s="598" t="s">
        <v>533</v>
      </c>
      <c r="C592" s="598">
        <v>2015</v>
      </c>
      <c r="D592" s="599">
        <v>856787.28000000026</v>
      </c>
      <c r="E592" s="601">
        <f>Input!$C$14-C592+0.5</f>
        <v>7.5</v>
      </c>
      <c r="F592" s="600">
        <f t="shared" si="84"/>
        <v>6425904.6000000015</v>
      </c>
      <c r="G592" s="600"/>
      <c r="H592" s="317"/>
      <c r="I592" s="600"/>
      <c r="J592" s="600"/>
      <c r="K592" s="600"/>
      <c r="L592" s="600"/>
      <c r="M592" s="600"/>
      <c r="N592" s="600"/>
      <c r="O592" s="600">
        <f t="shared" si="85"/>
        <v>856787.28000000026</v>
      </c>
      <c r="P592" s="601">
        <f t="shared" si="82"/>
        <v>7.5</v>
      </c>
      <c r="Q592" s="600">
        <f t="shared" si="83"/>
        <v>6425904.6000000015</v>
      </c>
    </row>
    <row r="593" spans="1:17" s="598" customFormat="1" ht="15" outlineLevel="1">
      <c r="A593" s="597">
        <v>3820</v>
      </c>
      <c r="B593" s="598" t="s">
        <v>533</v>
      </c>
      <c r="C593" s="598">
        <v>2016</v>
      </c>
      <c r="D593" s="599">
        <v>1768583.5500000003</v>
      </c>
      <c r="E593" s="601">
        <f>Input!$C$14-C593+0.5</f>
        <v>6.5</v>
      </c>
      <c r="F593" s="600">
        <f t="shared" si="84"/>
        <v>11495793.075000001</v>
      </c>
      <c r="G593" s="600"/>
      <c r="H593" s="317"/>
      <c r="I593" s="600"/>
      <c r="J593" s="600"/>
      <c r="K593" s="600"/>
      <c r="L593" s="600"/>
      <c r="M593" s="600"/>
      <c r="N593" s="600"/>
      <c r="O593" s="600">
        <f t="shared" si="85"/>
        <v>1768583.5500000003</v>
      </c>
      <c r="P593" s="601">
        <f t="shared" si="82"/>
        <v>6.5</v>
      </c>
      <c r="Q593" s="600">
        <f t="shared" si="83"/>
        <v>11495793.075000001</v>
      </c>
    </row>
    <row r="594" spans="1:17" s="598" customFormat="1" ht="15" outlineLevel="1">
      <c r="A594" s="597">
        <v>3820</v>
      </c>
      <c r="B594" s="598" t="s">
        <v>533</v>
      </c>
      <c r="C594" s="598">
        <v>2017</v>
      </c>
      <c r="D594" s="599">
        <v>1664674.5500000003</v>
      </c>
      <c r="E594" s="601">
        <f>Input!$C$14-C594+0.5</f>
        <v>5.5</v>
      </c>
      <c r="F594" s="600">
        <f t="shared" si="84"/>
        <v>9155710.0250000022</v>
      </c>
      <c r="G594" s="600"/>
      <c r="H594" s="317"/>
      <c r="I594" s="600"/>
      <c r="J594" s="600"/>
      <c r="K594" s="600"/>
      <c r="L594" s="600"/>
      <c r="M594" s="600"/>
      <c r="N594" s="600"/>
      <c r="O594" s="600">
        <f t="shared" si="85"/>
        <v>1664674.5500000003</v>
      </c>
      <c r="P594" s="601">
        <f t="shared" si="82"/>
        <v>5.5</v>
      </c>
      <c r="Q594" s="600">
        <f t="shared" si="83"/>
        <v>9155710.0250000022</v>
      </c>
    </row>
    <row r="595" spans="1:17" s="598" customFormat="1" ht="15" outlineLevel="1">
      <c r="A595" s="597">
        <v>3820</v>
      </c>
      <c r="B595" s="598" t="s">
        <v>533</v>
      </c>
      <c r="C595" s="598">
        <v>2018</v>
      </c>
      <c r="D595" s="599">
        <v>1443532.4600000002</v>
      </c>
      <c r="E595" s="601">
        <f>Input!$C$14-C595+0.5</f>
        <v>4.5</v>
      </c>
      <c r="F595" s="600">
        <f t="shared" si="84"/>
        <v>6495896.0700000012</v>
      </c>
      <c r="G595" s="600"/>
      <c r="H595" s="317"/>
      <c r="I595" s="600"/>
      <c r="J595" s="600"/>
      <c r="K595" s="600"/>
      <c r="L595" s="600"/>
      <c r="M595" s="600"/>
      <c r="N595" s="600"/>
      <c r="O595" s="600">
        <f t="shared" si="85"/>
        <v>1443532.4600000002</v>
      </c>
      <c r="P595" s="601">
        <f t="shared" si="82"/>
        <v>4.5</v>
      </c>
      <c r="Q595" s="600">
        <f t="shared" si="83"/>
        <v>6495896.0700000012</v>
      </c>
    </row>
    <row r="596" spans="1:17" s="598" customFormat="1" ht="15" outlineLevel="1">
      <c r="A596" s="597">
        <v>3820</v>
      </c>
      <c r="B596" s="598" t="s">
        <v>533</v>
      </c>
      <c r="C596" s="598">
        <v>2019</v>
      </c>
      <c r="D596" s="599">
        <v>1418540.0000000002</v>
      </c>
      <c r="E596" s="601">
        <f>Input!$C$14-C596+0.5</f>
        <v>3.5</v>
      </c>
      <c r="F596" s="600">
        <f t="shared" si="84"/>
        <v>4964890.0000000009</v>
      </c>
      <c r="G596" s="600"/>
      <c r="H596" s="317"/>
      <c r="I596" s="600"/>
      <c r="J596" s="600"/>
      <c r="K596" s="600"/>
      <c r="L596" s="600"/>
      <c r="M596" s="600"/>
      <c r="N596" s="600"/>
      <c r="O596" s="600">
        <f t="shared" si="85"/>
        <v>1418540.0000000002</v>
      </c>
      <c r="P596" s="601">
        <f t="shared" si="82"/>
        <v>3.5</v>
      </c>
      <c r="Q596" s="600">
        <f t="shared" si="83"/>
        <v>4964890.0000000009</v>
      </c>
    </row>
    <row r="597" spans="1:17" s="598" customFormat="1" ht="15" outlineLevel="1">
      <c r="A597" s="597">
        <v>3820</v>
      </c>
      <c r="B597" s="598" t="s">
        <v>533</v>
      </c>
      <c r="C597" s="598">
        <v>2020</v>
      </c>
      <c r="D597" s="599">
        <v>1306440.8100000001</v>
      </c>
      <c r="E597" s="601">
        <f>Input!$C$14-C597+0.5</f>
        <v>2.5</v>
      </c>
      <c r="F597" s="600">
        <f t="shared" si="84"/>
        <v>3266102.0250000004</v>
      </c>
      <c r="G597" s="600"/>
      <c r="H597" s="317"/>
      <c r="I597" s="600"/>
      <c r="J597" s="600"/>
      <c r="K597" s="600"/>
      <c r="L597" s="600"/>
      <c r="M597" s="600"/>
      <c r="N597" s="600"/>
      <c r="O597" s="600">
        <f t="shared" si="85"/>
        <v>1306440.8100000001</v>
      </c>
      <c r="P597" s="601">
        <f t="shared" si="82"/>
        <v>2.5</v>
      </c>
      <c r="Q597" s="600">
        <f t="shared" si="83"/>
        <v>3266102.0250000004</v>
      </c>
    </row>
    <row r="598" spans="1:17" s="598" customFormat="1" ht="15" outlineLevel="1">
      <c r="A598" s="597">
        <v>3820</v>
      </c>
      <c r="B598" s="598" t="s">
        <v>533</v>
      </c>
      <c r="C598" s="598">
        <v>2021</v>
      </c>
      <c r="D598" s="599">
        <v>1757424.8200000001</v>
      </c>
      <c r="E598" s="601">
        <f>Input!$C$14-C598+0.5</f>
        <v>1.5</v>
      </c>
      <c r="F598" s="600">
        <f t="shared" si="84"/>
        <v>2636137.23</v>
      </c>
      <c r="G598" s="600"/>
      <c r="H598" s="317"/>
      <c r="I598" s="600"/>
      <c r="J598" s="600"/>
      <c r="K598" s="600"/>
      <c r="L598" s="600"/>
      <c r="M598" s="600"/>
      <c r="N598" s="600"/>
      <c r="O598" s="600">
        <f t="shared" si="85"/>
        <v>1757424.8200000001</v>
      </c>
      <c r="P598" s="601">
        <f t="shared" si="82"/>
        <v>1.5</v>
      </c>
      <c r="Q598" s="600">
        <f t="shared" si="83"/>
        <v>2636137.23</v>
      </c>
    </row>
    <row r="599" spans="1:20" s="598" customFormat="1" ht="13.5" thickBot="1">
      <c r="A599" s="563">
        <f>A598</f>
        <v>3820</v>
      </c>
      <c r="B599" s="564" t="s">
        <v>496</v>
      </c>
      <c r="D599" s="357">
        <f>SUM(D526:D598)</f>
        <v>17991110.289999999</v>
      </c>
      <c r="E599" s="565">
        <f>ROUND(F599/D599,1)</f>
        <v>10.4</v>
      </c>
      <c r="F599" s="357">
        <f>SUM(F526:F598)</f>
        <v>186787307.08499998</v>
      </c>
      <c r="G599" s="358"/>
      <c r="H599" s="318"/>
      <c r="I599" s="357">
        <f>SUM(I526:I598)</f>
        <v>0</v>
      </c>
      <c r="J599" s="357">
        <f>SUM(J526:J598)</f>
        <v>0</v>
      </c>
      <c r="K599" s="357">
        <f t="shared" si="86" ref="K599:N599">SUM(K526:K598)</f>
        <v>0</v>
      </c>
      <c r="L599" s="357">
        <f t="shared" si="86"/>
        <v>0</v>
      </c>
      <c r="M599" s="357">
        <f t="shared" si="86"/>
        <v>0</v>
      </c>
      <c r="N599" s="357">
        <f t="shared" si="86"/>
        <v>0</v>
      </c>
      <c r="O599" s="357">
        <f>SUM(O526:O598)</f>
        <v>17991110.289999999</v>
      </c>
      <c r="P599" s="565">
        <f>ROUND(Q599/O599,1)</f>
        <v>10.4</v>
      </c>
      <c r="Q599" s="357">
        <f>SUM(Q526:Q598)</f>
        <v>186787307.08499998</v>
      </c>
      <c r="S599" s="604">
        <f>'Sch. G 2021'!H25</f>
        <v>17991110</v>
      </c>
      <c r="T599" s="679">
        <f>D599-S599</f>
        <v>0.28999999910593033</v>
      </c>
    </row>
    <row r="600" spans="1:20" s="598" customFormat="1" ht="15.75" thickTop="1">
      <c r="A600" s="566">
        <f>A598</f>
        <v>3820</v>
      </c>
      <c r="B600" s="490" t="str">
        <f>B598&amp;" - Additions"</f>
        <v>Meter Installs - Additions</v>
      </c>
      <c r="C600" s="490">
        <v>2022</v>
      </c>
      <c r="D600" s="567">
        <f>'Sch. H'!N25</f>
        <v>248812.46749527595</v>
      </c>
      <c r="E600" s="601">
        <f>Input!$C$14-C600+0.5</f>
        <v>0.5</v>
      </c>
      <c r="F600" s="600">
        <f>D600*E600</f>
        <v>124406.23374763798</v>
      </c>
      <c r="G600" s="600"/>
      <c r="H600" s="317"/>
      <c r="I600" s="600"/>
      <c r="J600" s="600"/>
      <c r="K600" s="600"/>
      <c r="L600" s="600"/>
      <c r="M600" s="600"/>
      <c r="N600" s="600"/>
      <c r="O600" s="600">
        <f t="shared" si="87" ref="O600:O601">SUM(D600,I600:N600)</f>
        <v>248812.46749527595</v>
      </c>
      <c r="P600" s="601">
        <f t="shared" si="82"/>
        <v>0.5</v>
      </c>
      <c r="Q600" s="600">
        <f t="shared" si="83"/>
        <v>124406.23374763798</v>
      </c>
      <c r="T600" s="679"/>
    </row>
    <row r="601" spans="1:20" s="598" customFormat="1" ht="15">
      <c r="A601" s="566">
        <f>A600</f>
        <v>3820</v>
      </c>
      <c r="B601" s="490" t="str">
        <f>B598&amp;" - Retirements"</f>
        <v>Meter Installs - Retirements</v>
      </c>
      <c r="C601" s="490">
        <v>2022</v>
      </c>
      <c r="D601" s="567">
        <f>-'Sch. F 2022'!AA90</f>
        <v>0</v>
      </c>
      <c r="E601" s="601">
        <f>'Sch. F 2022'!AA92</f>
        <v>0</v>
      </c>
      <c r="F601" s="600">
        <f>D601*E601</f>
        <v>0</v>
      </c>
      <c r="G601" s="600"/>
      <c r="H601" s="317"/>
      <c r="I601" s="600"/>
      <c r="J601" s="600"/>
      <c r="K601" s="600"/>
      <c r="L601" s="600"/>
      <c r="M601" s="600"/>
      <c r="N601" s="600"/>
      <c r="O601" s="600">
        <f t="shared" si="87"/>
        <v>0</v>
      </c>
      <c r="P601" s="601">
        <f t="shared" si="82"/>
        <v>0</v>
      </c>
      <c r="Q601" s="600">
        <f t="shared" si="83"/>
        <v>0</v>
      </c>
      <c r="T601" s="679"/>
    </row>
    <row r="602" spans="1:20" s="598" customFormat="1" ht="13.5" thickBot="1">
      <c r="A602" s="566"/>
      <c r="B602" s="564" t="s">
        <v>557</v>
      </c>
      <c r="C602" s="490"/>
      <c r="D602" s="568">
        <f>SUM(D599:D601)</f>
        <v>18239922.757495277</v>
      </c>
      <c r="E602" s="565">
        <f>ROUND(F602/D602,1)</f>
        <v>10.199999999999999</v>
      </c>
      <c r="F602" s="569">
        <f>SUM(F599:F601)</f>
        <v>186911713.31874761</v>
      </c>
      <c r="G602" s="570"/>
      <c r="H602" s="372"/>
      <c r="I602" s="568">
        <f>SUM(I599:I601)</f>
        <v>0</v>
      </c>
      <c r="J602" s="568">
        <f>SUM(J599:J601)</f>
        <v>0</v>
      </c>
      <c r="K602" s="568">
        <f t="shared" si="88" ref="K602:N602">SUM(K599:K601)</f>
        <v>0</v>
      </c>
      <c r="L602" s="568">
        <f t="shared" si="88"/>
        <v>0</v>
      </c>
      <c r="M602" s="568">
        <f t="shared" si="88"/>
        <v>0</v>
      </c>
      <c r="N602" s="568">
        <f t="shared" si="88"/>
        <v>0</v>
      </c>
      <c r="O602" s="568">
        <f>SUM(O599:O601)</f>
        <v>18239922.757495277</v>
      </c>
      <c r="P602" s="565">
        <f>ROUND(Q602/O602,1)</f>
        <v>10.199999999999999</v>
      </c>
      <c r="Q602" s="569">
        <f>SUM(Q599:Q601)</f>
        <v>186911713.31874761</v>
      </c>
      <c r="S602" s="604">
        <f>'Sch. G 2022'!H25</f>
        <v>18239922</v>
      </c>
      <c r="T602" s="679">
        <f>O602-S602</f>
        <v>0.75749527662992477</v>
      </c>
    </row>
    <row r="603" spans="1:20" s="598" customFormat="1" ht="15" thickTop="1">
      <c r="A603" s="563"/>
      <c r="B603" s="571"/>
      <c r="D603" s="358"/>
      <c r="E603" s="572"/>
      <c r="F603" s="358"/>
      <c r="G603" s="358"/>
      <c r="H603" s="318"/>
      <c r="I603" s="358"/>
      <c r="J603" s="358"/>
      <c r="K603" s="358"/>
      <c r="L603" s="358"/>
      <c r="M603" s="358"/>
      <c r="N603" s="358"/>
      <c r="O603" s="600">
        <f t="shared" si="89" ref="O603:O604">SUM(D603,I603:N603)</f>
        <v>0</v>
      </c>
      <c r="P603" s="601">
        <f t="shared" si="82"/>
        <v>0</v>
      </c>
      <c r="Q603" s="600">
        <f t="shared" si="83"/>
        <v>0</v>
      </c>
      <c r="T603" s="679"/>
    </row>
    <row r="604" spans="1:17" s="598" customFormat="1" ht="15" outlineLevel="1">
      <c r="A604" s="597">
        <v>3821</v>
      </c>
      <c r="B604" s="598" t="s">
        <v>534</v>
      </c>
      <c r="C604" s="598">
        <v>2010</v>
      </c>
      <c r="D604" s="599">
        <v>593040.08999999997</v>
      </c>
      <c r="E604" s="601">
        <f>Input!$C$14-C604+0.5</f>
        <v>12.5</v>
      </c>
      <c r="F604" s="600">
        <f>D604*E604</f>
        <v>7413001.125</v>
      </c>
      <c r="G604" s="600"/>
      <c r="H604" s="317"/>
      <c r="I604" s="600"/>
      <c r="J604" s="600"/>
      <c r="K604" s="600"/>
      <c r="L604" s="600"/>
      <c r="M604" s="600"/>
      <c r="N604" s="600"/>
      <c r="O604" s="600">
        <f t="shared" si="89"/>
        <v>593040.08999999997</v>
      </c>
      <c r="P604" s="601">
        <f t="shared" si="82"/>
        <v>12.5</v>
      </c>
      <c r="Q604" s="600">
        <f t="shared" si="83"/>
        <v>7413001.125</v>
      </c>
    </row>
    <row r="605" spans="1:20" s="598" customFormat="1" ht="13.5" thickBot="1">
      <c r="A605" s="563">
        <f>A604</f>
        <v>3821</v>
      </c>
      <c r="B605" s="564" t="s">
        <v>496</v>
      </c>
      <c r="D605" s="357">
        <f>SUM(D604)</f>
        <v>593040.08999999997</v>
      </c>
      <c r="E605" s="565">
        <f>ROUND(F605/D605,1)</f>
        <v>12.5</v>
      </c>
      <c r="F605" s="357">
        <f>SUM(F604)</f>
        <v>7413001.125</v>
      </c>
      <c r="G605" s="358"/>
      <c r="H605" s="318"/>
      <c r="I605" s="357">
        <f>SUM(I604)</f>
        <v>0</v>
      </c>
      <c r="J605" s="357">
        <f>SUM(J604)</f>
        <v>0</v>
      </c>
      <c r="K605" s="357">
        <f t="shared" si="90" ref="K605:N605">SUM(K604)</f>
        <v>0</v>
      </c>
      <c r="L605" s="357">
        <f t="shared" si="90"/>
        <v>0</v>
      </c>
      <c r="M605" s="357">
        <f t="shared" si="90"/>
        <v>0</v>
      </c>
      <c r="N605" s="357">
        <f t="shared" si="90"/>
        <v>0</v>
      </c>
      <c r="O605" s="357">
        <f>SUM(O604)</f>
        <v>593040.08999999997</v>
      </c>
      <c r="P605" s="565">
        <f>ROUND(Q605/O605,1)</f>
        <v>12.5</v>
      </c>
      <c r="Q605" s="357">
        <f>SUM(Q604)</f>
        <v>7413001.125</v>
      </c>
      <c r="S605" s="604">
        <f>'Sch. G 2021'!H26</f>
        <v>593040</v>
      </c>
      <c r="T605" s="679">
        <f>D605-S605</f>
        <v>0.08999999996740371</v>
      </c>
    </row>
    <row r="606" spans="1:20" s="598" customFormat="1" ht="15.75" thickTop="1">
      <c r="A606" s="566">
        <f>A604</f>
        <v>3821</v>
      </c>
      <c r="B606" s="490" t="str">
        <f>B604&amp;" - Additions"</f>
        <v>Meter Installs-MTU/DCU - Additions</v>
      </c>
      <c r="C606" s="490">
        <v>2022</v>
      </c>
      <c r="D606" s="567">
        <f>'Sch. H'!N26</f>
        <v>0</v>
      </c>
      <c r="E606" s="601">
        <f>Input!$C$14-C606+0.5</f>
        <v>0.5</v>
      </c>
      <c r="F606" s="600">
        <f>D606*E606</f>
        <v>0</v>
      </c>
      <c r="G606" s="600"/>
      <c r="H606" s="317"/>
      <c r="I606" s="600"/>
      <c r="J606" s="600"/>
      <c r="K606" s="600"/>
      <c r="L606" s="600"/>
      <c r="M606" s="600"/>
      <c r="N606" s="600"/>
      <c r="O606" s="600">
        <f t="shared" si="91" ref="O606:O607">SUM(D606,I606:N606)</f>
        <v>0</v>
      </c>
      <c r="P606" s="601">
        <f t="shared" si="82"/>
        <v>0.5</v>
      </c>
      <c r="Q606" s="600">
        <f t="shared" si="83"/>
        <v>0</v>
      </c>
      <c r="T606" s="679"/>
    </row>
    <row r="607" spans="1:20" s="598" customFormat="1" ht="15">
      <c r="A607" s="566">
        <f>A606</f>
        <v>3821</v>
      </c>
      <c r="B607" s="490" t="str">
        <f>B604&amp;" - Retirements"</f>
        <v>Meter Installs-MTU/DCU - Retirements</v>
      </c>
      <c r="C607" s="490">
        <v>2022</v>
      </c>
      <c r="D607" s="567">
        <f>-'Sch. F 2022'!AC90</f>
        <v>0</v>
      </c>
      <c r="E607" s="601">
        <f>'Sch. F 2022'!AC92</f>
        <v>0</v>
      </c>
      <c r="F607" s="600">
        <f>D607*E607</f>
        <v>0</v>
      </c>
      <c r="G607" s="600"/>
      <c r="H607" s="317"/>
      <c r="I607" s="600"/>
      <c r="J607" s="600"/>
      <c r="K607" s="600"/>
      <c r="L607" s="600"/>
      <c r="M607" s="600"/>
      <c r="N607" s="600"/>
      <c r="O607" s="600">
        <f t="shared" si="91"/>
        <v>0</v>
      </c>
      <c r="P607" s="601">
        <f t="shared" si="82"/>
        <v>0</v>
      </c>
      <c r="Q607" s="600">
        <f t="shared" si="83"/>
        <v>0</v>
      </c>
      <c r="T607" s="679"/>
    </row>
    <row r="608" spans="1:20" s="598" customFormat="1" ht="13.5" thickBot="1">
      <c r="A608" s="566"/>
      <c r="B608" s="564" t="s">
        <v>557</v>
      </c>
      <c r="C608" s="490"/>
      <c r="D608" s="568">
        <f>SUM(D605:D607)</f>
        <v>593040.08999999997</v>
      </c>
      <c r="E608" s="565">
        <f>ROUND(F608/D608,1)</f>
        <v>12.5</v>
      </c>
      <c r="F608" s="569">
        <f>SUM(F605:F607)</f>
        <v>7413001.125</v>
      </c>
      <c r="G608" s="570"/>
      <c r="H608" s="372"/>
      <c r="I608" s="568">
        <f>SUM(I605:I607)</f>
        <v>0</v>
      </c>
      <c r="J608" s="568">
        <f>SUM(J605:J607)</f>
        <v>0</v>
      </c>
      <c r="K608" s="568">
        <f t="shared" si="92" ref="K608:N608">SUM(K605:K607)</f>
        <v>0</v>
      </c>
      <c r="L608" s="568">
        <f t="shared" si="92"/>
        <v>0</v>
      </c>
      <c r="M608" s="568">
        <f t="shared" si="92"/>
        <v>0</v>
      </c>
      <c r="N608" s="568">
        <f t="shared" si="92"/>
        <v>0</v>
      </c>
      <c r="O608" s="568">
        <f>SUM(O605:O607)</f>
        <v>593040.08999999997</v>
      </c>
      <c r="P608" s="565">
        <f>ROUND(Q608/O608,1)</f>
        <v>12.5</v>
      </c>
      <c r="Q608" s="569">
        <f>SUM(Q605:Q607)</f>
        <v>7413001.125</v>
      </c>
      <c r="S608" s="604">
        <f>'Sch. G 2022'!H26</f>
        <v>593040</v>
      </c>
      <c r="T608" s="679">
        <f>O608-S608</f>
        <v>0.08999999996740371</v>
      </c>
    </row>
    <row r="609" spans="1:20" s="598" customFormat="1" ht="15" thickTop="1">
      <c r="A609" s="563"/>
      <c r="B609" s="571"/>
      <c r="D609" s="358"/>
      <c r="E609" s="572"/>
      <c r="F609" s="358"/>
      <c r="G609" s="358"/>
      <c r="H609" s="318"/>
      <c r="I609" s="358"/>
      <c r="J609" s="358"/>
      <c r="K609" s="358"/>
      <c r="L609" s="358"/>
      <c r="M609" s="358"/>
      <c r="N609" s="358"/>
      <c r="O609" s="600"/>
      <c r="P609" s="601"/>
      <c r="Q609" s="600"/>
      <c r="T609" s="679"/>
    </row>
    <row r="610" spans="1:17" s="598" customFormat="1" ht="15" outlineLevel="1">
      <c r="A610" s="597">
        <v>3830</v>
      </c>
      <c r="B610" s="598" t="s">
        <v>535</v>
      </c>
      <c r="C610" s="598">
        <v>1970</v>
      </c>
      <c r="D610" s="599">
        <v>1307</v>
      </c>
      <c r="E610" s="601">
        <f>Input!$C$14-C610+0.5</f>
        <v>52.5</v>
      </c>
      <c r="F610" s="600">
        <f t="shared" si="93" ref="F610:F658">D610*E610</f>
        <v>68617.5</v>
      </c>
      <c r="G610" s="600"/>
      <c r="H610" s="317"/>
      <c r="I610" s="600"/>
      <c r="J610" s="600"/>
      <c r="K610" s="600"/>
      <c r="L610" s="600"/>
      <c r="M610" s="600"/>
      <c r="N610" s="600"/>
      <c r="O610" s="600">
        <f t="shared" si="94" ref="O610:O658">SUM(D610,I610:N610)</f>
        <v>1307</v>
      </c>
      <c r="P610" s="601">
        <f t="shared" si="82"/>
        <v>52.5</v>
      </c>
      <c r="Q610" s="600">
        <f t="shared" si="83"/>
        <v>68617.5</v>
      </c>
    </row>
    <row r="611" spans="1:17" s="598" customFormat="1" ht="15" outlineLevel="1">
      <c r="A611" s="597">
        <v>3830</v>
      </c>
      <c r="B611" s="598" t="s">
        <v>535</v>
      </c>
      <c r="C611" s="598">
        <v>1971</v>
      </c>
      <c r="D611" s="599">
        <v>330</v>
      </c>
      <c r="E611" s="601">
        <f>Input!$C$14-C611+0.5</f>
        <v>51.5</v>
      </c>
      <c r="F611" s="600">
        <f>D611*E611</f>
        <v>16995</v>
      </c>
      <c r="G611" s="600"/>
      <c r="H611" s="317"/>
      <c r="I611" s="600"/>
      <c r="J611" s="600"/>
      <c r="K611" s="600"/>
      <c r="L611" s="600"/>
      <c r="M611" s="600"/>
      <c r="N611" s="600"/>
      <c r="O611" s="600">
        <f t="shared" si="94"/>
        <v>330</v>
      </c>
      <c r="P611" s="601">
        <f>E611</f>
        <v>51.5</v>
      </c>
      <c r="Q611" s="600">
        <f>O611*P611</f>
        <v>16995</v>
      </c>
    </row>
    <row r="612" spans="1:17" s="598" customFormat="1" ht="15" outlineLevel="1">
      <c r="A612" s="597">
        <v>3830</v>
      </c>
      <c r="B612" s="598" t="s">
        <v>535</v>
      </c>
      <c r="C612" s="598">
        <v>1972</v>
      </c>
      <c r="D612" s="599">
        <v>169</v>
      </c>
      <c r="E612" s="601">
        <f>Input!$C$14-C612+0.5</f>
        <v>50.5</v>
      </c>
      <c r="F612" s="600">
        <f>D612*E612</f>
        <v>8534.5</v>
      </c>
      <c r="G612" s="600"/>
      <c r="H612" s="317"/>
      <c r="I612" s="600"/>
      <c r="J612" s="600"/>
      <c r="K612" s="600"/>
      <c r="L612" s="600"/>
      <c r="M612" s="600"/>
      <c r="N612" s="600"/>
      <c r="O612" s="600">
        <f t="shared" si="94"/>
        <v>169</v>
      </c>
      <c r="P612" s="601">
        <f>E612</f>
        <v>50.5</v>
      </c>
      <c r="Q612" s="600">
        <f>O612*P612</f>
        <v>8534.5</v>
      </c>
    </row>
    <row r="613" spans="1:17" s="598" customFormat="1" ht="15" outlineLevel="1">
      <c r="A613" s="597">
        <v>3830</v>
      </c>
      <c r="B613" s="598" t="s">
        <v>535</v>
      </c>
      <c r="C613" s="598">
        <v>1973</v>
      </c>
      <c r="D613" s="599">
        <v>270</v>
      </c>
      <c r="E613" s="601">
        <f>Input!$C$14-C613+0.5</f>
        <v>49.5</v>
      </c>
      <c r="F613" s="600">
        <f>D613*E613</f>
        <v>13365</v>
      </c>
      <c r="G613" s="600"/>
      <c r="H613" s="317"/>
      <c r="I613" s="600"/>
      <c r="J613" s="600"/>
      <c r="K613" s="600"/>
      <c r="L613" s="600"/>
      <c r="M613" s="600"/>
      <c r="N613" s="600"/>
      <c r="O613" s="600">
        <f t="shared" si="94"/>
        <v>270</v>
      </c>
      <c r="P613" s="601">
        <f>E613</f>
        <v>49.5</v>
      </c>
      <c r="Q613" s="600">
        <f>O613*P613</f>
        <v>13365</v>
      </c>
    </row>
    <row r="614" spans="1:17" s="598" customFormat="1" ht="15" outlineLevel="1">
      <c r="A614" s="597">
        <v>3830</v>
      </c>
      <c r="B614" s="598" t="s">
        <v>535</v>
      </c>
      <c r="C614" s="598">
        <v>1975</v>
      </c>
      <c r="D614" s="599">
        <v>81</v>
      </c>
      <c r="E614" s="601">
        <f>Input!$C$14-C614+0.5</f>
        <v>47.5</v>
      </c>
      <c r="F614" s="600">
        <f>D614*E614</f>
        <v>3847.5</v>
      </c>
      <c r="G614" s="600"/>
      <c r="H614" s="317"/>
      <c r="I614" s="600"/>
      <c r="J614" s="600"/>
      <c r="K614" s="600"/>
      <c r="L614" s="600"/>
      <c r="M614" s="600"/>
      <c r="N614" s="600"/>
      <c r="O614" s="600">
        <f t="shared" si="94"/>
        <v>81</v>
      </c>
      <c r="P614" s="601">
        <f>E614</f>
        <v>47.5</v>
      </c>
      <c r="Q614" s="600">
        <f>O614*P614</f>
        <v>3847.5</v>
      </c>
    </row>
    <row r="615" spans="1:17" s="598" customFormat="1" ht="15" outlineLevel="1">
      <c r="A615" s="597">
        <v>3830</v>
      </c>
      <c r="B615" s="598" t="s">
        <v>535</v>
      </c>
      <c r="C615" s="598">
        <v>1978</v>
      </c>
      <c r="D615" s="599">
        <v>4870.8000000000002</v>
      </c>
      <c r="E615" s="601">
        <f>Input!$C$14-C615+0.5</f>
        <v>44.5</v>
      </c>
      <c r="F615" s="600">
        <f>D615*E615</f>
        <v>216750.60000000001</v>
      </c>
      <c r="G615" s="600"/>
      <c r="H615" s="317"/>
      <c r="I615" s="600"/>
      <c r="J615" s="600"/>
      <c r="K615" s="600"/>
      <c r="L615" s="600"/>
      <c r="M615" s="600"/>
      <c r="N615" s="600"/>
      <c r="O615" s="600">
        <f t="shared" si="94"/>
        <v>4870.8000000000002</v>
      </c>
      <c r="P615" s="601">
        <f>E615</f>
        <v>44.5</v>
      </c>
      <c r="Q615" s="600">
        <f>O615*P615</f>
        <v>216750.60000000001</v>
      </c>
    </row>
    <row r="616" spans="1:17" s="598" customFormat="1" ht="15" outlineLevel="1">
      <c r="A616" s="597">
        <v>3830</v>
      </c>
      <c r="B616" s="598" t="s">
        <v>535</v>
      </c>
      <c r="C616" s="598">
        <v>1979</v>
      </c>
      <c r="D616" s="599">
        <f>5994.71+160</f>
        <v>6154.71</v>
      </c>
      <c r="E616" s="601">
        <f>Input!$C$14-C616+0.5</f>
        <v>43.5</v>
      </c>
      <c r="F616" s="600">
        <f t="shared" si="93"/>
        <v>267729.88500000001</v>
      </c>
      <c r="G616" s="600"/>
      <c r="H616" s="317"/>
      <c r="I616" s="600"/>
      <c r="J616" s="600"/>
      <c r="K616" s="600"/>
      <c r="L616" s="600"/>
      <c r="M616" s="600"/>
      <c r="N616" s="600"/>
      <c r="O616" s="600">
        <f t="shared" si="94"/>
        <v>6154.71</v>
      </c>
      <c r="P616" s="601">
        <f t="shared" si="82"/>
        <v>43.5</v>
      </c>
      <c r="Q616" s="600">
        <f t="shared" si="83"/>
        <v>267729.88500000001</v>
      </c>
    </row>
    <row r="617" spans="1:17" s="598" customFormat="1" ht="15" outlineLevel="1">
      <c r="A617" s="597">
        <v>3830</v>
      </c>
      <c r="B617" s="598" t="s">
        <v>535</v>
      </c>
      <c r="C617" s="598">
        <v>1980</v>
      </c>
      <c r="D617" s="599">
        <v>16097.559999999999</v>
      </c>
      <c r="E617" s="601">
        <f>Input!$C$14-C617+0.5</f>
        <v>42.5</v>
      </c>
      <c r="F617" s="600">
        <f t="shared" si="93"/>
        <v>684146.29999999993</v>
      </c>
      <c r="G617" s="600"/>
      <c r="H617" s="317"/>
      <c r="I617" s="600"/>
      <c r="J617" s="600"/>
      <c r="K617" s="600"/>
      <c r="L617" s="600"/>
      <c r="M617" s="600"/>
      <c r="N617" s="600"/>
      <c r="O617" s="600">
        <f t="shared" si="94"/>
        <v>16097.559999999999</v>
      </c>
      <c r="P617" s="601">
        <f t="shared" si="82"/>
        <v>42.5</v>
      </c>
      <c r="Q617" s="600">
        <f t="shared" si="83"/>
        <v>684146.29999999993</v>
      </c>
    </row>
    <row r="618" spans="1:17" s="598" customFormat="1" ht="15" outlineLevel="1">
      <c r="A618" s="597">
        <v>3830</v>
      </c>
      <c r="B618" s="598" t="s">
        <v>535</v>
      </c>
      <c r="C618" s="598">
        <v>1981</v>
      </c>
      <c r="D618" s="599">
        <v>3759.5900000000001</v>
      </c>
      <c r="E618" s="601">
        <f>Input!$C$14-C618+0.5</f>
        <v>41.5</v>
      </c>
      <c r="F618" s="600">
        <f t="shared" si="93"/>
        <v>156022.98500000002</v>
      </c>
      <c r="G618" s="600"/>
      <c r="H618" s="317"/>
      <c r="I618" s="600"/>
      <c r="J618" s="600"/>
      <c r="K618" s="600"/>
      <c r="L618" s="600"/>
      <c r="M618" s="600"/>
      <c r="N618" s="600"/>
      <c r="O618" s="600">
        <f t="shared" si="94"/>
        <v>3759.5900000000001</v>
      </c>
      <c r="P618" s="601">
        <f t="shared" si="82"/>
        <v>41.5</v>
      </c>
      <c r="Q618" s="600">
        <f t="shared" si="83"/>
        <v>156022.98500000002</v>
      </c>
    </row>
    <row r="619" spans="1:17" s="598" customFormat="1" ht="15" outlineLevel="1">
      <c r="A619" s="597">
        <v>3830</v>
      </c>
      <c r="B619" s="598" t="s">
        <v>535</v>
      </c>
      <c r="C619" s="598">
        <v>1982</v>
      </c>
      <c r="D619" s="599">
        <v>2049.0700000000002</v>
      </c>
      <c r="E619" s="601">
        <f>Input!$C$14-C619+0.5</f>
        <v>40.5</v>
      </c>
      <c r="F619" s="600">
        <f t="shared" si="93"/>
        <v>82987.335000000006</v>
      </c>
      <c r="G619" s="600"/>
      <c r="H619" s="317"/>
      <c r="I619" s="600"/>
      <c r="J619" s="600"/>
      <c r="K619" s="600"/>
      <c r="L619" s="600"/>
      <c r="M619" s="600"/>
      <c r="N619" s="600"/>
      <c r="O619" s="600">
        <f t="shared" si="94"/>
        <v>2049.0700000000002</v>
      </c>
      <c r="P619" s="601">
        <f t="shared" si="82"/>
        <v>40.5</v>
      </c>
      <c r="Q619" s="600">
        <f t="shared" si="83"/>
        <v>82987.335000000006</v>
      </c>
    </row>
    <row r="620" spans="1:17" s="598" customFormat="1" ht="15" outlineLevel="1">
      <c r="A620" s="597">
        <v>3830</v>
      </c>
      <c r="B620" s="598" t="s">
        <v>535</v>
      </c>
      <c r="C620" s="598">
        <v>1983</v>
      </c>
      <c r="D620" s="599">
        <v>82843.949999999997</v>
      </c>
      <c r="E620" s="601">
        <f>Input!$C$14-C620+0.5</f>
        <v>39.5</v>
      </c>
      <c r="F620" s="600">
        <f t="shared" si="93"/>
        <v>3272336.0249999999</v>
      </c>
      <c r="G620" s="600"/>
      <c r="H620" s="317"/>
      <c r="I620" s="600"/>
      <c r="J620" s="600"/>
      <c r="K620" s="600"/>
      <c r="L620" s="600"/>
      <c r="M620" s="600"/>
      <c r="N620" s="600"/>
      <c r="O620" s="600">
        <f t="shared" si="94"/>
        <v>82843.949999999997</v>
      </c>
      <c r="P620" s="601">
        <f t="shared" si="82"/>
        <v>39.5</v>
      </c>
      <c r="Q620" s="600">
        <f t="shared" si="83"/>
        <v>3272336.0249999999</v>
      </c>
    </row>
    <row r="621" spans="1:17" s="598" customFormat="1" ht="15" outlineLevel="1">
      <c r="A621" s="597">
        <v>3830</v>
      </c>
      <c r="B621" s="598" t="s">
        <v>535</v>
      </c>
      <c r="C621" s="598">
        <v>1984</v>
      </c>
      <c r="D621" s="599">
        <v>73629.779999999999</v>
      </c>
      <c r="E621" s="601">
        <f>Input!$C$14-C621+0.5</f>
        <v>38.5</v>
      </c>
      <c r="F621" s="600">
        <f t="shared" si="93"/>
        <v>2834746.5299999998</v>
      </c>
      <c r="G621" s="600"/>
      <c r="H621" s="317"/>
      <c r="I621" s="600"/>
      <c r="J621" s="600"/>
      <c r="K621" s="600"/>
      <c r="L621" s="600"/>
      <c r="M621" s="600"/>
      <c r="N621" s="600"/>
      <c r="O621" s="600">
        <f t="shared" si="94"/>
        <v>73629.779999999999</v>
      </c>
      <c r="P621" s="601">
        <f t="shared" si="82"/>
        <v>38.5</v>
      </c>
      <c r="Q621" s="600">
        <f t="shared" si="83"/>
        <v>2834746.5299999998</v>
      </c>
    </row>
    <row r="622" spans="1:17" s="598" customFormat="1" ht="15" outlineLevel="1">
      <c r="A622" s="597">
        <v>3830</v>
      </c>
      <c r="B622" s="598" t="s">
        <v>535</v>
      </c>
      <c r="C622" s="598">
        <v>1985</v>
      </c>
      <c r="D622" s="599">
        <v>56512.770000000004</v>
      </c>
      <c r="E622" s="601">
        <f>Input!$C$14-C622+0.5</f>
        <v>37.5</v>
      </c>
      <c r="F622" s="600">
        <f t="shared" si="93"/>
        <v>2119228.875</v>
      </c>
      <c r="G622" s="600"/>
      <c r="H622" s="317"/>
      <c r="I622" s="600"/>
      <c r="J622" s="600"/>
      <c r="K622" s="600"/>
      <c r="L622" s="600"/>
      <c r="M622" s="600"/>
      <c r="N622" s="600"/>
      <c r="O622" s="600">
        <f t="shared" si="94"/>
        <v>56512.770000000004</v>
      </c>
      <c r="P622" s="601">
        <f t="shared" si="82"/>
        <v>37.5</v>
      </c>
      <c r="Q622" s="600">
        <f t="shared" si="83"/>
        <v>2119228.875</v>
      </c>
    </row>
    <row r="623" spans="1:17" s="598" customFormat="1" ht="15" outlineLevel="1">
      <c r="A623" s="597">
        <v>3830</v>
      </c>
      <c r="B623" s="598" t="s">
        <v>535</v>
      </c>
      <c r="C623" s="598">
        <v>1986</v>
      </c>
      <c r="D623" s="599">
        <v>48387.93</v>
      </c>
      <c r="E623" s="601">
        <f>Input!$C$14-C623+0.5</f>
        <v>36.5</v>
      </c>
      <c r="F623" s="600">
        <f t="shared" si="93"/>
        <v>1766159.4450000001</v>
      </c>
      <c r="G623" s="600"/>
      <c r="H623" s="317"/>
      <c r="I623" s="600"/>
      <c r="J623" s="600"/>
      <c r="K623" s="600"/>
      <c r="L623" s="600"/>
      <c r="M623" s="600"/>
      <c r="N623" s="600"/>
      <c r="O623" s="600">
        <f t="shared" si="94"/>
        <v>48387.93</v>
      </c>
      <c r="P623" s="601">
        <f t="shared" si="82"/>
        <v>36.5</v>
      </c>
      <c r="Q623" s="600">
        <f t="shared" si="83"/>
        <v>1766159.4450000001</v>
      </c>
    </row>
    <row r="624" spans="1:17" s="598" customFormat="1" ht="15" outlineLevel="1">
      <c r="A624" s="597">
        <v>3830</v>
      </c>
      <c r="B624" s="598" t="s">
        <v>535</v>
      </c>
      <c r="C624" s="598">
        <v>1987</v>
      </c>
      <c r="D624" s="599">
        <v>39366.230000000003</v>
      </c>
      <c r="E624" s="601">
        <f>Input!$C$14-C624+0.5</f>
        <v>35.5</v>
      </c>
      <c r="F624" s="600">
        <f t="shared" si="93"/>
        <v>1397501.165</v>
      </c>
      <c r="G624" s="600"/>
      <c r="H624" s="317"/>
      <c r="I624" s="600"/>
      <c r="J624" s="600"/>
      <c r="K624" s="600"/>
      <c r="L624" s="600"/>
      <c r="M624" s="600"/>
      <c r="N624" s="600"/>
      <c r="O624" s="600">
        <f t="shared" si="94"/>
        <v>39366.230000000003</v>
      </c>
      <c r="P624" s="601">
        <f t="shared" si="82"/>
        <v>35.5</v>
      </c>
      <c r="Q624" s="600">
        <f t="shared" si="83"/>
        <v>1397501.165</v>
      </c>
    </row>
    <row r="625" spans="1:17" s="598" customFormat="1" ht="15" outlineLevel="1">
      <c r="A625" s="597">
        <v>3830</v>
      </c>
      <c r="B625" s="598" t="s">
        <v>535</v>
      </c>
      <c r="C625" s="598">
        <v>1988</v>
      </c>
      <c r="D625" s="599">
        <v>36048.849999999999</v>
      </c>
      <c r="E625" s="601">
        <f>Input!$C$14-C625+0.5</f>
        <v>34.5</v>
      </c>
      <c r="F625" s="600">
        <f t="shared" si="93"/>
        <v>1243685.325</v>
      </c>
      <c r="G625" s="600"/>
      <c r="H625" s="317"/>
      <c r="I625" s="600"/>
      <c r="J625" s="600"/>
      <c r="K625" s="600"/>
      <c r="L625" s="600"/>
      <c r="M625" s="600"/>
      <c r="N625" s="600"/>
      <c r="O625" s="600">
        <f t="shared" si="94"/>
        <v>36048.849999999999</v>
      </c>
      <c r="P625" s="601">
        <f t="shared" si="82"/>
        <v>34.5</v>
      </c>
      <c r="Q625" s="600">
        <f t="shared" si="83"/>
        <v>1243685.325</v>
      </c>
    </row>
    <row r="626" spans="1:17" s="598" customFormat="1" ht="15" outlineLevel="1">
      <c r="A626" s="597">
        <v>3830</v>
      </c>
      <c r="B626" s="598" t="s">
        <v>535</v>
      </c>
      <c r="C626" s="598">
        <v>1989</v>
      </c>
      <c r="D626" s="599">
        <v>44132.82</v>
      </c>
      <c r="E626" s="601">
        <f>Input!$C$14-C626+0.5</f>
        <v>33.5</v>
      </c>
      <c r="F626" s="600">
        <f t="shared" si="93"/>
        <v>1478449.47</v>
      </c>
      <c r="G626" s="600"/>
      <c r="H626" s="317"/>
      <c r="I626" s="600"/>
      <c r="J626" s="600"/>
      <c r="K626" s="600"/>
      <c r="L626" s="600"/>
      <c r="M626" s="600"/>
      <c r="N626" s="600"/>
      <c r="O626" s="600">
        <f t="shared" si="94"/>
        <v>44132.82</v>
      </c>
      <c r="P626" s="601">
        <f t="shared" si="82"/>
        <v>33.5</v>
      </c>
      <c r="Q626" s="600">
        <f t="shared" si="83"/>
        <v>1478449.47</v>
      </c>
    </row>
    <row r="627" spans="1:17" s="598" customFormat="1" ht="15" outlineLevel="1">
      <c r="A627" s="597">
        <v>3830</v>
      </c>
      <c r="B627" s="598" t="s">
        <v>535</v>
      </c>
      <c r="C627" s="598">
        <v>1990</v>
      </c>
      <c r="D627" s="599">
        <v>36900.610000000001</v>
      </c>
      <c r="E627" s="601">
        <f>Input!$C$14-C627+0.5</f>
        <v>32.5</v>
      </c>
      <c r="F627" s="600">
        <f t="shared" si="93"/>
        <v>1199269.825</v>
      </c>
      <c r="G627" s="600"/>
      <c r="H627" s="317"/>
      <c r="I627" s="600"/>
      <c r="J627" s="600"/>
      <c r="K627" s="600"/>
      <c r="L627" s="600"/>
      <c r="M627" s="600"/>
      <c r="N627" s="600"/>
      <c r="O627" s="600">
        <f t="shared" si="94"/>
        <v>36900.610000000001</v>
      </c>
      <c r="P627" s="601">
        <f t="shared" si="82"/>
        <v>32.5</v>
      </c>
      <c r="Q627" s="600">
        <f t="shared" si="83"/>
        <v>1199269.825</v>
      </c>
    </row>
    <row r="628" spans="1:17" s="598" customFormat="1" ht="15" outlineLevel="1">
      <c r="A628" s="597">
        <v>3830</v>
      </c>
      <c r="B628" s="598" t="s">
        <v>535</v>
      </c>
      <c r="C628" s="598">
        <v>1991</v>
      </c>
      <c r="D628" s="599">
        <v>30445.710000000003</v>
      </c>
      <c r="E628" s="601">
        <f>Input!$C$14-C628+0.5</f>
        <v>31.5</v>
      </c>
      <c r="F628" s="600">
        <f t="shared" si="93"/>
        <v>959039.86500000011</v>
      </c>
      <c r="G628" s="600"/>
      <c r="H628" s="317"/>
      <c r="I628" s="600"/>
      <c r="J628" s="600"/>
      <c r="K628" s="600"/>
      <c r="L628" s="600"/>
      <c r="M628" s="600"/>
      <c r="N628" s="600"/>
      <c r="O628" s="600">
        <f t="shared" si="94"/>
        <v>30445.710000000003</v>
      </c>
      <c r="P628" s="601">
        <f t="shared" si="82"/>
        <v>31.5</v>
      </c>
      <c r="Q628" s="600">
        <f t="shared" si="83"/>
        <v>959039.86500000011</v>
      </c>
    </row>
    <row r="629" spans="1:17" s="598" customFormat="1" ht="15" outlineLevel="1">
      <c r="A629" s="597">
        <v>3830</v>
      </c>
      <c r="B629" s="598" t="s">
        <v>535</v>
      </c>
      <c r="C629" s="598">
        <v>1992</v>
      </c>
      <c r="D629" s="599">
        <v>75058.059999999998</v>
      </c>
      <c r="E629" s="601">
        <f>Input!$C$14-C629+0.5</f>
        <v>30.5</v>
      </c>
      <c r="F629" s="600">
        <f t="shared" si="93"/>
        <v>2289270.8300000001</v>
      </c>
      <c r="G629" s="600"/>
      <c r="H629" s="317"/>
      <c r="I629" s="600"/>
      <c r="J629" s="600"/>
      <c r="K629" s="600"/>
      <c r="L629" s="600"/>
      <c r="M629" s="600"/>
      <c r="N629" s="600"/>
      <c r="O629" s="600">
        <f t="shared" si="94"/>
        <v>75058.059999999998</v>
      </c>
      <c r="P629" s="601">
        <f t="shared" si="82"/>
        <v>30.5</v>
      </c>
      <c r="Q629" s="600">
        <f t="shared" si="83"/>
        <v>2289270.8300000001</v>
      </c>
    </row>
    <row r="630" spans="1:17" s="598" customFormat="1" ht="15" outlineLevel="1">
      <c r="A630" s="597">
        <v>3830</v>
      </c>
      <c r="B630" s="598" t="s">
        <v>535</v>
      </c>
      <c r="C630" s="598">
        <v>1993</v>
      </c>
      <c r="D630" s="599">
        <v>37154.589999999997</v>
      </c>
      <c r="E630" s="601">
        <f>Input!$C$14-C630+0.5</f>
        <v>29.5</v>
      </c>
      <c r="F630" s="600">
        <f t="shared" si="93"/>
        <v>1096060.4049999998</v>
      </c>
      <c r="G630" s="600"/>
      <c r="H630" s="317"/>
      <c r="I630" s="600"/>
      <c r="J630" s="600"/>
      <c r="K630" s="600"/>
      <c r="L630" s="600"/>
      <c r="M630" s="600"/>
      <c r="N630" s="600"/>
      <c r="O630" s="600">
        <f t="shared" si="94"/>
        <v>37154.589999999997</v>
      </c>
      <c r="P630" s="601">
        <f t="shared" si="82"/>
        <v>29.5</v>
      </c>
      <c r="Q630" s="600">
        <f t="shared" si="83"/>
        <v>1096060.4049999998</v>
      </c>
    </row>
    <row r="631" spans="1:17" s="598" customFormat="1" ht="15" outlineLevel="1">
      <c r="A631" s="597">
        <v>3830</v>
      </c>
      <c r="B631" s="598" t="s">
        <v>535</v>
      </c>
      <c r="C631" s="598">
        <v>1994</v>
      </c>
      <c r="D631" s="599">
        <f>10663.6+606</f>
        <v>11269.6</v>
      </c>
      <c r="E631" s="601">
        <f>Input!$C$14-C631+0.5</f>
        <v>28.5</v>
      </c>
      <c r="F631" s="600">
        <f t="shared" si="93"/>
        <v>321183.60000000003</v>
      </c>
      <c r="G631" s="600"/>
      <c r="H631" s="317"/>
      <c r="I631" s="600"/>
      <c r="J631" s="600"/>
      <c r="K631" s="600"/>
      <c r="L631" s="600"/>
      <c r="M631" s="600"/>
      <c r="N631" s="600"/>
      <c r="O631" s="600">
        <f t="shared" si="94"/>
        <v>11269.6</v>
      </c>
      <c r="P631" s="601">
        <f t="shared" si="82"/>
        <v>28.5</v>
      </c>
      <c r="Q631" s="600">
        <f t="shared" si="83"/>
        <v>321183.60000000003</v>
      </c>
    </row>
    <row r="632" spans="1:17" s="598" customFormat="1" ht="15" outlineLevel="1">
      <c r="A632" s="597">
        <v>3830</v>
      </c>
      <c r="B632" s="598" t="s">
        <v>535</v>
      </c>
      <c r="C632" s="598">
        <v>1995</v>
      </c>
      <c r="D632" s="599">
        <v>13047.970000000001</v>
      </c>
      <c r="E632" s="601">
        <f>Input!$C$14-C632+0.5</f>
        <v>27.5</v>
      </c>
      <c r="F632" s="600">
        <f t="shared" si="93"/>
        <v>358819.17500000005</v>
      </c>
      <c r="G632" s="600"/>
      <c r="H632" s="317"/>
      <c r="I632" s="600"/>
      <c r="J632" s="600"/>
      <c r="K632" s="600"/>
      <c r="L632" s="600"/>
      <c r="M632" s="600"/>
      <c r="N632" s="600"/>
      <c r="O632" s="600">
        <f t="shared" si="94"/>
        <v>13047.970000000001</v>
      </c>
      <c r="P632" s="601">
        <f t="shared" si="82"/>
        <v>27.5</v>
      </c>
      <c r="Q632" s="600">
        <f t="shared" si="83"/>
        <v>358819.17500000005</v>
      </c>
    </row>
    <row r="633" spans="1:17" s="598" customFormat="1" ht="15" outlineLevel="1">
      <c r="A633" s="597">
        <v>3830</v>
      </c>
      <c r="B633" s="598" t="s">
        <v>535</v>
      </c>
      <c r="C633" s="598">
        <v>1996</v>
      </c>
      <c r="D633" s="599">
        <f>22621.43+7434</f>
        <v>30055.43</v>
      </c>
      <c r="E633" s="601">
        <f>Input!$C$14-C633+0.5</f>
        <v>26.5</v>
      </c>
      <c r="F633" s="600">
        <f t="shared" si="93"/>
        <v>796468.89500000002</v>
      </c>
      <c r="G633" s="600"/>
      <c r="H633" s="317"/>
      <c r="I633" s="600"/>
      <c r="J633" s="600"/>
      <c r="K633" s="600"/>
      <c r="L633" s="600"/>
      <c r="M633" s="600"/>
      <c r="N633" s="600"/>
      <c r="O633" s="600">
        <f t="shared" si="94"/>
        <v>30055.43</v>
      </c>
      <c r="P633" s="601">
        <f t="shared" si="82"/>
        <v>26.5</v>
      </c>
      <c r="Q633" s="600">
        <f t="shared" si="83"/>
        <v>796468.89500000002</v>
      </c>
    </row>
    <row r="634" spans="1:17" s="598" customFormat="1" ht="15" outlineLevel="1">
      <c r="A634" s="597">
        <v>3830</v>
      </c>
      <c r="B634" s="598" t="s">
        <v>535</v>
      </c>
      <c r="C634" s="598">
        <v>1997</v>
      </c>
      <c r="D634" s="599">
        <v>38577.990000000005</v>
      </c>
      <c r="E634" s="601">
        <f>Input!$C$14-C634+0.5</f>
        <v>25.5</v>
      </c>
      <c r="F634" s="600">
        <f t="shared" si="93"/>
        <v>983738.74500000011</v>
      </c>
      <c r="G634" s="600"/>
      <c r="H634" s="317"/>
      <c r="I634" s="600"/>
      <c r="J634" s="600"/>
      <c r="K634" s="600"/>
      <c r="L634" s="600"/>
      <c r="M634" s="600"/>
      <c r="N634" s="600"/>
      <c r="O634" s="600">
        <f t="shared" si="94"/>
        <v>38577.990000000005</v>
      </c>
      <c r="P634" s="601">
        <f t="shared" si="82"/>
        <v>25.5</v>
      </c>
      <c r="Q634" s="600">
        <f t="shared" si="83"/>
        <v>983738.74500000011</v>
      </c>
    </row>
    <row r="635" spans="1:17" s="598" customFormat="1" ht="15" outlineLevel="1">
      <c r="A635" s="597">
        <v>3830</v>
      </c>
      <c r="B635" s="598" t="s">
        <v>535</v>
      </c>
      <c r="C635" s="598">
        <v>1998</v>
      </c>
      <c r="D635" s="599">
        <v>71825.169999999998</v>
      </c>
      <c r="E635" s="601">
        <f>Input!$C$14-C635+0.5</f>
        <v>24.5</v>
      </c>
      <c r="F635" s="600">
        <f t="shared" si="93"/>
        <v>1759716.665</v>
      </c>
      <c r="G635" s="600"/>
      <c r="H635" s="317"/>
      <c r="I635" s="600"/>
      <c r="J635" s="600"/>
      <c r="K635" s="600"/>
      <c r="L635" s="600"/>
      <c r="M635" s="600"/>
      <c r="N635" s="600"/>
      <c r="O635" s="600">
        <f t="shared" si="94"/>
        <v>71825.169999999998</v>
      </c>
      <c r="P635" s="601">
        <f t="shared" si="95" ref="P635:P696">E635</f>
        <v>24.5</v>
      </c>
      <c r="Q635" s="600">
        <f t="shared" si="96" ref="Q635:Q696">O635*P635</f>
        <v>1759716.665</v>
      </c>
    </row>
    <row r="636" spans="1:17" s="598" customFormat="1" ht="15" outlineLevel="1">
      <c r="A636" s="597">
        <v>3830</v>
      </c>
      <c r="B636" s="598" t="s">
        <v>535</v>
      </c>
      <c r="C636" s="598">
        <v>1999</v>
      </c>
      <c r="D636" s="599">
        <f>82528.75+706</f>
        <v>83234.75</v>
      </c>
      <c r="E636" s="601">
        <f>Input!$C$14-C636+0.5</f>
        <v>23.5</v>
      </c>
      <c r="F636" s="600">
        <f t="shared" si="93"/>
        <v>1956016.625</v>
      </c>
      <c r="G636" s="600"/>
      <c r="H636" s="317"/>
      <c r="I636" s="600"/>
      <c r="J636" s="600"/>
      <c r="K636" s="600"/>
      <c r="L636" s="600"/>
      <c r="M636" s="600"/>
      <c r="N636" s="600"/>
      <c r="O636" s="600">
        <f t="shared" si="94"/>
        <v>83234.75</v>
      </c>
      <c r="P636" s="601">
        <f t="shared" si="95"/>
        <v>23.5</v>
      </c>
      <c r="Q636" s="600">
        <f t="shared" si="96"/>
        <v>1956016.625</v>
      </c>
    </row>
    <row r="637" spans="1:17" s="598" customFormat="1" ht="15" outlineLevel="1">
      <c r="A637" s="597">
        <v>3830</v>
      </c>
      <c r="B637" s="598" t="s">
        <v>535</v>
      </c>
      <c r="C637" s="598">
        <v>2000</v>
      </c>
      <c r="D637" s="599">
        <v>58595.910000000003</v>
      </c>
      <c r="E637" s="601">
        <f>Input!$C$14-C637+0.5</f>
        <v>22.5</v>
      </c>
      <c r="F637" s="600">
        <f t="shared" si="93"/>
        <v>1318407.9750000001</v>
      </c>
      <c r="G637" s="600"/>
      <c r="H637" s="317"/>
      <c r="I637" s="600"/>
      <c r="J637" s="600"/>
      <c r="K637" s="600"/>
      <c r="L637" s="600"/>
      <c r="M637" s="600"/>
      <c r="N637" s="600"/>
      <c r="O637" s="600">
        <f t="shared" si="94"/>
        <v>58595.910000000003</v>
      </c>
      <c r="P637" s="601">
        <f t="shared" si="95"/>
        <v>22.5</v>
      </c>
      <c r="Q637" s="600">
        <f t="shared" si="96"/>
        <v>1318407.9750000001</v>
      </c>
    </row>
    <row r="638" spans="1:17" s="598" customFormat="1" ht="15" outlineLevel="1">
      <c r="A638" s="597">
        <v>3830</v>
      </c>
      <c r="B638" s="598" t="s">
        <v>535</v>
      </c>
      <c r="C638" s="598">
        <v>2001</v>
      </c>
      <c r="D638" s="599">
        <v>735568.07999999973</v>
      </c>
      <c r="E638" s="601">
        <f>Input!$C$14-C638+0.5</f>
        <v>21.5</v>
      </c>
      <c r="F638" s="600">
        <f t="shared" si="93"/>
        <v>15814713.719999993</v>
      </c>
      <c r="G638" s="600"/>
      <c r="H638" s="317"/>
      <c r="I638" s="600"/>
      <c r="J638" s="600"/>
      <c r="K638" s="600"/>
      <c r="L638" s="600"/>
      <c r="M638" s="600"/>
      <c r="N638" s="600"/>
      <c r="O638" s="600">
        <f t="shared" si="94"/>
        <v>735568.07999999973</v>
      </c>
      <c r="P638" s="601">
        <f t="shared" si="95"/>
        <v>21.5</v>
      </c>
      <c r="Q638" s="600">
        <f t="shared" si="96"/>
        <v>15814713.719999993</v>
      </c>
    </row>
    <row r="639" spans="1:17" s="598" customFormat="1" ht="15" outlineLevel="1">
      <c r="A639" s="597">
        <v>3830</v>
      </c>
      <c r="B639" s="598" t="s">
        <v>535</v>
      </c>
      <c r="C639" s="598">
        <v>2002</v>
      </c>
      <c r="D639" s="599">
        <f>114133.88+225</f>
        <v>114358.88</v>
      </c>
      <c r="E639" s="601">
        <f>Input!$C$14-C639+0.5</f>
        <v>20.5</v>
      </c>
      <c r="F639" s="600">
        <f t="shared" si="93"/>
        <v>2344357.04</v>
      </c>
      <c r="G639" s="600"/>
      <c r="H639" s="317"/>
      <c r="I639" s="600"/>
      <c r="J639" s="600"/>
      <c r="K639" s="600"/>
      <c r="L639" s="600"/>
      <c r="M639" s="600"/>
      <c r="N639" s="600"/>
      <c r="O639" s="600">
        <f t="shared" si="94"/>
        <v>114358.88</v>
      </c>
      <c r="P639" s="601">
        <f t="shared" si="95"/>
        <v>20.5</v>
      </c>
      <c r="Q639" s="600">
        <f t="shared" si="96"/>
        <v>2344357.04</v>
      </c>
    </row>
    <row r="640" spans="1:17" s="598" customFormat="1" ht="15" outlineLevel="1">
      <c r="A640" s="597">
        <v>3830</v>
      </c>
      <c r="B640" s="598" t="s">
        <v>535</v>
      </c>
      <c r="C640" s="598">
        <v>2003</v>
      </c>
      <c r="D640" s="599">
        <f>86357.99+667</f>
        <v>87024.990000000005</v>
      </c>
      <c r="E640" s="601">
        <f>Input!$C$14-C640+0.5</f>
        <v>19.5</v>
      </c>
      <c r="F640" s="600">
        <f t="shared" si="93"/>
        <v>1696987.3050000002</v>
      </c>
      <c r="G640" s="600"/>
      <c r="H640" s="317"/>
      <c r="I640" s="600"/>
      <c r="J640" s="600"/>
      <c r="K640" s="600"/>
      <c r="L640" s="600"/>
      <c r="M640" s="600"/>
      <c r="N640" s="600"/>
      <c r="O640" s="600">
        <f t="shared" si="94"/>
        <v>87024.990000000005</v>
      </c>
      <c r="P640" s="601">
        <f t="shared" si="95"/>
        <v>19.5</v>
      </c>
      <c r="Q640" s="600">
        <f t="shared" si="96"/>
        <v>1696987.3050000002</v>
      </c>
    </row>
    <row r="641" spans="1:17" s="598" customFormat="1" ht="15" outlineLevel="1">
      <c r="A641" s="597">
        <v>3830</v>
      </c>
      <c r="B641" s="598" t="s">
        <v>535</v>
      </c>
      <c r="C641" s="598">
        <v>2004</v>
      </c>
      <c r="D641" s="599">
        <f>132373.45+2784</f>
        <v>135157.45000000001</v>
      </c>
      <c r="E641" s="601">
        <f>Input!$C$14-C641+0.5</f>
        <v>18.5</v>
      </c>
      <c r="F641" s="600">
        <f t="shared" si="93"/>
        <v>2500412.8250000002</v>
      </c>
      <c r="G641" s="600"/>
      <c r="H641" s="317"/>
      <c r="I641" s="600"/>
      <c r="J641" s="600"/>
      <c r="K641" s="600"/>
      <c r="L641" s="600"/>
      <c r="M641" s="600"/>
      <c r="N641" s="600"/>
      <c r="O641" s="600">
        <f t="shared" si="94"/>
        <v>135157.45000000001</v>
      </c>
      <c r="P641" s="601">
        <f t="shared" si="95"/>
        <v>18.5</v>
      </c>
      <c r="Q641" s="600">
        <f t="shared" si="96"/>
        <v>2500412.8250000002</v>
      </c>
    </row>
    <row r="642" spans="1:17" s="598" customFormat="1" ht="15" outlineLevel="1">
      <c r="A642" s="597">
        <v>3830</v>
      </c>
      <c r="B642" s="598" t="s">
        <v>535</v>
      </c>
      <c r="C642" s="598">
        <v>2005</v>
      </c>
      <c r="D642" s="599">
        <f>227583.6+3991</f>
        <v>231574.60000000001</v>
      </c>
      <c r="E642" s="601">
        <f>Input!$C$14-C642+0.5</f>
        <v>17.5</v>
      </c>
      <c r="F642" s="600">
        <f t="shared" si="93"/>
        <v>4052555.5</v>
      </c>
      <c r="G642" s="600"/>
      <c r="H642" s="317"/>
      <c r="I642" s="600"/>
      <c r="J642" s="600"/>
      <c r="K642" s="600"/>
      <c r="L642" s="600"/>
      <c r="M642" s="600"/>
      <c r="N642" s="600"/>
      <c r="O642" s="600">
        <f t="shared" si="94"/>
        <v>231574.60000000001</v>
      </c>
      <c r="P642" s="601">
        <f t="shared" si="95"/>
        <v>17.5</v>
      </c>
      <c r="Q642" s="600">
        <f t="shared" si="96"/>
        <v>4052555.5</v>
      </c>
    </row>
    <row r="643" spans="1:17" s="598" customFormat="1" ht="15" outlineLevel="1">
      <c r="A643" s="597">
        <v>3830</v>
      </c>
      <c r="B643" s="598" t="s">
        <v>535</v>
      </c>
      <c r="C643" s="598">
        <v>2006</v>
      </c>
      <c r="D643" s="599">
        <f>287651.85+375</f>
        <v>288026.84999999998</v>
      </c>
      <c r="E643" s="601">
        <f>Input!$C$14-C643+0.5</f>
        <v>16.5</v>
      </c>
      <c r="F643" s="600">
        <f t="shared" si="93"/>
        <v>4752443.0249999994</v>
      </c>
      <c r="G643" s="600"/>
      <c r="H643" s="317"/>
      <c r="I643" s="600"/>
      <c r="J643" s="600"/>
      <c r="K643" s="600"/>
      <c r="L643" s="600"/>
      <c r="M643" s="600"/>
      <c r="N643" s="600"/>
      <c r="O643" s="600">
        <f t="shared" si="94"/>
        <v>288026.84999999998</v>
      </c>
      <c r="P643" s="601">
        <f t="shared" si="95"/>
        <v>16.5</v>
      </c>
      <c r="Q643" s="600">
        <f t="shared" si="96"/>
        <v>4752443.0249999994</v>
      </c>
    </row>
    <row r="644" spans="1:17" s="598" customFormat="1" ht="15" outlineLevel="1">
      <c r="A644" s="597">
        <v>3830</v>
      </c>
      <c r="B644" s="598" t="s">
        <v>535</v>
      </c>
      <c r="C644" s="598">
        <v>2007</v>
      </c>
      <c r="D644" s="599">
        <v>298083.34000000003</v>
      </c>
      <c r="E644" s="601">
        <f>Input!$C$14-C644+0.5</f>
        <v>15.5</v>
      </c>
      <c r="F644" s="600">
        <f t="shared" si="93"/>
        <v>4620291.7700000005</v>
      </c>
      <c r="G644" s="600"/>
      <c r="H644" s="317"/>
      <c r="I644" s="600"/>
      <c r="J644" s="600"/>
      <c r="K644" s="600"/>
      <c r="L644" s="600"/>
      <c r="M644" s="600"/>
      <c r="N644" s="600"/>
      <c r="O644" s="600">
        <f t="shared" si="94"/>
        <v>298083.34000000003</v>
      </c>
      <c r="P644" s="601">
        <f t="shared" si="95"/>
        <v>15.5</v>
      </c>
      <c r="Q644" s="600">
        <f t="shared" si="96"/>
        <v>4620291.7700000005</v>
      </c>
    </row>
    <row r="645" spans="1:17" s="598" customFormat="1" ht="15" outlineLevel="1">
      <c r="A645" s="597">
        <v>3830</v>
      </c>
      <c r="B645" s="598" t="s">
        <v>535</v>
      </c>
      <c r="C645" s="598">
        <v>2008</v>
      </c>
      <c r="D645" s="599">
        <f>325580.51+563</f>
        <v>326143.51000000001</v>
      </c>
      <c r="E645" s="601">
        <f>Input!$C$14-C645+0.5</f>
        <v>14.5</v>
      </c>
      <c r="F645" s="600">
        <f t="shared" si="93"/>
        <v>4729080.8950000005</v>
      </c>
      <c r="G645" s="600"/>
      <c r="H645" s="317"/>
      <c r="I645" s="600"/>
      <c r="J645" s="600"/>
      <c r="K645" s="600"/>
      <c r="L645" s="600"/>
      <c r="M645" s="600"/>
      <c r="N645" s="600"/>
      <c r="O645" s="600">
        <f t="shared" si="94"/>
        <v>326143.51000000001</v>
      </c>
      <c r="P645" s="601">
        <f t="shared" si="95"/>
        <v>14.5</v>
      </c>
      <c r="Q645" s="600">
        <f t="shared" si="96"/>
        <v>4729080.8950000005</v>
      </c>
    </row>
    <row r="646" spans="1:17" s="598" customFormat="1" ht="15" outlineLevel="1">
      <c r="A646" s="597">
        <v>3830</v>
      </c>
      <c r="B646" s="598" t="s">
        <v>535</v>
      </c>
      <c r="C646" s="598">
        <v>2009</v>
      </c>
      <c r="D646" s="599">
        <f>90943.85+592</f>
        <v>91535.850000000006</v>
      </c>
      <c r="E646" s="601">
        <f>Input!$C$14-C646+0.5</f>
        <v>13.5</v>
      </c>
      <c r="F646" s="600">
        <f t="shared" si="93"/>
        <v>1235733.9750000001</v>
      </c>
      <c r="G646" s="600"/>
      <c r="H646" s="317"/>
      <c r="I646" s="600"/>
      <c r="J646" s="600"/>
      <c r="K646" s="600"/>
      <c r="L646" s="600"/>
      <c r="M646" s="600"/>
      <c r="N646" s="600"/>
      <c r="O646" s="600">
        <f t="shared" si="94"/>
        <v>91535.850000000006</v>
      </c>
      <c r="P646" s="601">
        <f t="shared" si="95"/>
        <v>13.5</v>
      </c>
      <c r="Q646" s="600">
        <f t="shared" si="96"/>
        <v>1235733.9750000001</v>
      </c>
    </row>
    <row r="647" spans="1:17" s="598" customFormat="1" ht="15" outlineLevel="1">
      <c r="A647" s="597">
        <v>3830</v>
      </c>
      <c r="B647" s="598" t="s">
        <v>535</v>
      </c>
      <c r="C647" s="598">
        <v>2010</v>
      </c>
      <c r="D647" s="599">
        <f>136224.98+-20315.86+56</f>
        <v>115965.12000000001</v>
      </c>
      <c r="E647" s="601">
        <f>Input!$C$14-C647+0.5</f>
        <v>12.5</v>
      </c>
      <c r="F647" s="600">
        <f t="shared" si="93"/>
        <v>1449564.0000000002</v>
      </c>
      <c r="G647" s="600"/>
      <c r="H647" s="317"/>
      <c r="I647" s="600"/>
      <c r="J647" s="600"/>
      <c r="K647" s="600"/>
      <c r="L647" s="600"/>
      <c r="M647" s="600"/>
      <c r="N647" s="600"/>
      <c r="O647" s="600">
        <f t="shared" si="94"/>
        <v>115965.12000000001</v>
      </c>
      <c r="P647" s="601">
        <f t="shared" si="95"/>
        <v>12.5</v>
      </c>
      <c r="Q647" s="600">
        <f t="shared" si="96"/>
        <v>1449564.0000000002</v>
      </c>
    </row>
    <row r="648" spans="1:17" s="598" customFormat="1" ht="15" outlineLevel="1">
      <c r="A648" s="597">
        <v>3830</v>
      </c>
      <c r="B648" s="598" t="s">
        <v>535</v>
      </c>
      <c r="C648" s="598">
        <v>2011</v>
      </c>
      <c r="D648" s="599">
        <v>179094.72</v>
      </c>
      <c r="E648" s="601">
        <f>Input!$C$14-C648+0.5</f>
        <v>11.5</v>
      </c>
      <c r="F648" s="600">
        <f t="shared" si="93"/>
        <v>2059589.28</v>
      </c>
      <c r="G648" s="600"/>
      <c r="H648" s="317"/>
      <c r="I648" s="600"/>
      <c r="J648" s="600"/>
      <c r="K648" s="600"/>
      <c r="L648" s="600"/>
      <c r="M648" s="600"/>
      <c r="N648" s="600"/>
      <c r="O648" s="600">
        <f t="shared" si="94"/>
        <v>179094.72</v>
      </c>
      <c r="P648" s="601">
        <f t="shared" si="95"/>
        <v>11.5</v>
      </c>
      <c r="Q648" s="600">
        <f t="shared" si="96"/>
        <v>2059589.28</v>
      </c>
    </row>
    <row r="649" spans="1:17" s="598" customFormat="1" ht="15" outlineLevel="1">
      <c r="A649" s="597">
        <v>3830</v>
      </c>
      <c r="B649" s="598" t="s">
        <v>535</v>
      </c>
      <c r="C649" s="598">
        <v>2012</v>
      </c>
      <c r="D649" s="599">
        <v>125892.45</v>
      </c>
      <c r="E649" s="601">
        <f>Input!$C$14-C649+0.5</f>
        <v>10.5</v>
      </c>
      <c r="F649" s="600">
        <f t="shared" si="93"/>
        <v>1321870.7249999999</v>
      </c>
      <c r="G649" s="600"/>
      <c r="H649" s="317"/>
      <c r="I649" s="600"/>
      <c r="J649" s="600"/>
      <c r="K649" s="600"/>
      <c r="L649" s="600"/>
      <c r="M649" s="600"/>
      <c r="N649" s="600"/>
      <c r="O649" s="600">
        <f t="shared" si="94"/>
        <v>125892.45</v>
      </c>
      <c r="P649" s="601">
        <f t="shared" si="95"/>
        <v>10.5</v>
      </c>
      <c r="Q649" s="600">
        <f t="shared" si="96"/>
        <v>1321870.7249999999</v>
      </c>
    </row>
    <row r="650" spans="1:17" s="598" customFormat="1" ht="15" outlineLevel="1">
      <c r="A650" s="597">
        <v>3830</v>
      </c>
      <c r="B650" s="598" t="s">
        <v>535</v>
      </c>
      <c r="C650" s="598">
        <v>2013</v>
      </c>
      <c r="D650" s="599">
        <v>218106.73999999999</v>
      </c>
      <c r="E650" s="601">
        <f>Input!$C$14-C650+0.5</f>
        <v>9.5</v>
      </c>
      <c r="F650" s="600">
        <f t="shared" si="93"/>
        <v>2072014.0299999998</v>
      </c>
      <c r="G650" s="600"/>
      <c r="H650" s="317"/>
      <c r="I650" s="600"/>
      <c r="J650" s="600"/>
      <c r="K650" s="600"/>
      <c r="L650" s="600"/>
      <c r="M650" s="600"/>
      <c r="N650" s="600"/>
      <c r="O650" s="600">
        <f t="shared" si="94"/>
        <v>218106.73999999999</v>
      </c>
      <c r="P650" s="601">
        <f t="shared" si="95"/>
        <v>9.5</v>
      </c>
      <c r="Q650" s="600">
        <f t="shared" si="96"/>
        <v>2072014.0299999998</v>
      </c>
    </row>
    <row r="651" spans="1:17" s="598" customFormat="1" ht="15" outlineLevel="1">
      <c r="A651" s="597">
        <v>3830</v>
      </c>
      <c r="B651" s="598" t="s">
        <v>535</v>
      </c>
      <c r="C651" s="598">
        <v>2014</v>
      </c>
      <c r="D651" s="599">
        <v>349505.42000000004</v>
      </c>
      <c r="E651" s="601">
        <f>Input!$C$14-C651+0.5</f>
        <v>8.5</v>
      </c>
      <c r="F651" s="600">
        <f t="shared" si="93"/>
        <v>2970796.0700000003</v>
      </c>
      <c r="G651" s="600"/>
      <c r="H651" s="317"/>
      <c r="I651" s="600"/>
      <c r="J651" s="600"/>
      <c r="K651" s="600"/>
      <c r="L651" s="600"/>
      <c r="M651" s="600"/>
      <c r="N651" s="600"/>
      <c r="O651" s="600">
        <f t="shared" si="94"/>
        <v>349505.42000000004</v>
      </c>
      <c r="P651" s="601">
        <f t="shared" si="95"/>
        <v>8.5</v>
      </c>
      <c r="Q651" s="600">
        <f t="shared" si="96"/>
        <v>2970796.0700000003</v>
      </c>
    </row>
    <row r="652" spans="1:17" s="598" customFormat="1" ht="15" outlineLevel="1">
      <c r="A652" s="597">
        <v>3830</v>
      </c>
      <c r="B652" s="598" t="s">
        <v>535</v>
      </c>
      <c r="C652" s="598">
        <v>2015</v>
      </c>
      <c r="D652" s="599">
        <v>259567.38</v>
      </c>
      <c r="E652" s="601">
        <f>Input!$C$14-C652+0.5</f>
        <v>7.5</v>
      </c>
      <c r="F652" s="600">
        <f t="shared" si="93"/>
        <v>1946755.3500000001</v>
      </c>
      <c r="G652" s="600"/>
      <c r="H652" s="317"/>
      <c r="I652" s="600"/>
      <c r="J652" s="600"/>
      <c r="K652" s="600"/>
      <c r="L652" s="600"/>
      <c r="M652" s="600"/>
      <c r="N652" s="600"/>
      <c r="O652" s="600">
        <f t="shared" si="94"/>
        <v>259567.38</v>
      </c>
      <c r="P652" s="601">
        <f t="shared" si="95"/>
        <v>7.5</v>
      </c>
      <c r="Q652" s="600">
        <f t="shared" si="96"/>
        <v>1946755.3500000001</v>
      </c>
    </row>
    <row r="653" spans="1:17" s="598" customFormat="1" ht="15" outlineLevel="1">
      <c r="A653" s="597">
        <v>3830</v>
      </c>
      <c r="B653" s="598" t="s">
        <v>535</v>
      </c>
      <c r="C653" s="598">
        <v>2016</v>
      </c>
      <c r="D653" s="599">
        <v>258437.32000000001</v>
      </c>
      <c r="E653" s="601">
        <f>Input!$C$14-C653+0.5</f>
        <v>6.5</v>
      </c>
      <c r="F653" s="600">
        <f t="shared" si="93"/>
        <v>1679842.5800000001</v>
      </c>
      <c r="G653" s="600"/>
      <c r="H653" s="317"/>
      <c r="I653" s="600"/>
      <c r="J653" s="600"/>
      <c r="K653" s="600"/>
      <c r="L653" s="600"/>
      <c r="M653" s="600"/>
      <c r="N653" s="600"/>
      <c r="O653" s="600">
        <f t="shared" si="94"/>
        <v>258437.32000000001</v>
      </c>
      <c r="P653" s="601">
        <f t="shared" si="95"/>
        <v>6.5</v>
      </c>
      <c r="Q653" s="600">
        <f t="shared" si="96"/>
        <v>1679842.5800000001</v>
      </c>
    </row>
    <row r="654" spans="1:17" s="598" customFormat="1" ht="15" outlineLevel="1">
      <c r="A654" s="597">
        <v>3830</v>
      </c>
      <c r="B654" s="598" t="s">
        <v>535</v>
      </c>
      <c r="C654" s="598">
        <v>2017</v>
      </c>
      <c r="D654" s="599">
        <v>184452.77999999997</v>
      </c>
      <c r="E654" s="601">
        <f>Input!$C$14-C654+0.5</f>
        <v>5.5</v>
      </c>
      <c r="F654" s="600">
        <f t="shared" si="93"/>
        <v>1014490.2899999998</v>
      </c>
      <c r="G654" s="600"/>
      <c r="H654" s="317"/>
      <c r="I654" s="600"/>
      <c r="J654" s="600"/>
      <c r="K654" s="600"/>
      <c r="L654" s="600"/>
      <c r="M654" s="600"/>
      <c r="N654" s="600"/>
      <c r="O654" s="600">
        <f t="shared" si="94"/>
        <v>184452.77999999997</v>
      </c>
      <c r="P654" s="601">
        <f t="shared" si="95"/>
        <v>5.5</v>
      </c>
      <c r="Q654" s="600">
        <f t="shared" si="96"/>
        <v>1014490.2899999998</v>
      </c>
    </row>
    <row r="655" spans="1:17" s="598" customFormat="1" ht="15" outlineLevel="1">
      <c r="A655" s="597">
        <v>3830</v>
      </c>
      <c r="B655" s="598" t="s">
        <v>535</v>
      </c>
      <c r="C655" s="598">
        <v>2018</v>
      </c>
      <c r="D655" s="599">
        <v>313295.92999999999</v>
      </c>
      <c r="E655" s="601">
        <f>Input!$C$14-C655+0.5</f>
        <v>4.5</v>
      </c>
      <c r="F655" s="600">
        <f t="shared" si="93"/>
        <v>1409831.6850000001</v>
      </c>
      <c r="G655" s="600"/>
      <c r="H655" s="317"/>
      <c r="I655" s="600"/>
      <c r="J655" s="600"/>
      <c r="K655" s="600"/>
      <c r="L655" s="600"/>
      <c r="M655" s="600"/>
      <c r="N655" s="600"/>
      <c r="O655" s="600">
        <f t="shared" si="94"/>
        <v>313295.92999999999</v>
      </c>
      <c r="P655" s="601">
        <f t="shared" si="95"/>
        <v>4.5</v>
      </c>
      <c r="Q655" s="600">
        <f t="shared" si="96"/>
        <v>1409831.6850000001</v>
      </c>
    </row>
    <row r="656" spans="1:17" s="598" customFormat="1" ht="15" outlineLevel="1">
      <c r="A656" s="597">
        <v>3830</v>
      </c>
      <c r="B656" s="598" t="s">
        <v>535</v>
      </c>
      <c r="C656" s="598">
        <v>2019</v>
      </c>
      <c r="D656" s="599">
        <v>445272.92000000004</v>
      </c>
      <c r="E656" s="601">
        <f>Input!$C$14-C656+0.5</f>
        <v>3.5</v>
      </c>
      <c r="F656" s="600">
        <f t="shared" si="93"/>
        <v>1558455.2200000002</v>
      </c>
      <c r="G656" s="600"/>
      <c r="H656" s="317"/>
      <c r="I656" s="600"/>
      <c r="J656" s="600"/>
      <c r="K656" s="600"/>
      <c r="L656" s="600"/>
      <c r="M656" s="600"/>
      <c r="N656" s="600"/>
      <c r="O656" s="600">
        <f t="shared" si="94"/>
        <v>445272.92000000004</v>
      </c>
      <c r="P656" s="601">
        <f t="shared" si="95"/>
        <v>3.5</v>
      </c>
      <c r="Q656" s="600">
        <f t="shared" si="96"/>
        <v>1558455.2200000002</v>
      </c>
    </row>
    <row r="657" spans="1:17" s="598" customFormat="1" ht="15" outlineLevel="1">
      <c r="A657" s="597">
        <v>3830</v>
      </c>
      <c r="B657" s="598" t="s">
        <v>535</v>
      </c>
      <c r="C657" s="598">
        <v>2020</v>
      </c>
      <c r="D657" s="599">
        <v>494103.41000000003</v>
      </c>
      <c r="E657" s="601">
        <f>Input!$C$14-C657+0.5</f>
        <v>2.5</v>
      </c>
      <c r="F657" s="600">
        <f t="shared" si="93"/>
        <v>1235258.5250000001</v>
      </c>
      <c r="G657" s="600"/>
      <c r="H657" s="317"/>
      <c r="I657" s="600"/>
      <c r="J657" s="600"/>
      <c r="K657" s="600"/>
      <c r="L657" s="600"/>
      <c r="M657" s="600"/>
      <c r="N657" s="600"/>
      <c r="O657" s="600">
        <f t="shared" si="94"/>
        <v>494103.41000000003</v>
      </c>
      <c r="P657" s="601">
        <f t="shared" si="95"/>
        <v>2.5</v>
      </c>
      <c r="Q657" s="600">
        <f t="shared" si="96"/>
        <v>1235258.5250000001</v>
      </c>
    </row>
    <row r="658" spans="1:17" s="598" customFormat="1" ht="15" outlineLevel="1">
      <c r="A658" s="597">
        <v>3830</v>
      </c>
      <c r="B658" s="598" t="s">
        <v>535</v>
      </c>
      <c r="C658" s="598">
        <v>2021</v>
      </c>
      <c r="D658" s="599">
        <v>542383.01000000001</v>
      </c>
      <c r="E658" s="601">
        <f>Input!$C$14-C658+0.5</f>
        <v>1.5</v>
      </c>
      <c r="F658" s="600">
        <f t="shared" si="93"/>
        <v>813574.51500000001</v>
      </c>
      <c r="G658" s="600"/>
      <c r="H658" s="317"/>
      <c r="I658" s="600"/>
      <c r="J658" s="600"/>
      <c r="K658" s="600"/>
      <c r="L658" s="600"/>
      <c r="M658" s="600"/>
      <c r="N658" s="600"/>
      <c r="O658" s="600">
        <f t="shared" si="94"/>
        <v>542383.01000000001</v>
      </c>
      <c r="P658" s="601">
        <f t="shared" si="95"/>
        <v>1.5</v>
      </c>
      <c r="Q658" s="600">
        <f t="shared" si="96"/>
        <v>813574.51500000001</v>
      </c>
    </row>
    <row r="659" spans="1:20" s="598" customFormat="1" ht="13.5" thickBot="1">
      <c r="A659" s="563">
        <f>A658</f>
        <v>3830</v>
      </c>
      <c r="B659" s="564" t="s">
        <v>496</v>
      </c>
      <c r="D659" s="357">
        <f>SUM(D610:D658)</f>
        <v>6695727.6000000006</v>
      </c>
      <c r="E659" s="565">
        <f>ROUND(F659/D659,1)</f>
        <v>13.4</v>
      </c>
      <c r="F659" s="357">
        <f>SUM(F610:F658)</f>
        <v>89947714.36999999</v>
      </c>
      <c r="G659" s="358"/>
      <c r="H659" s="318"/>
      <c r="I659" s="357">
        <f>SUM(I610:I658)</f>
        <v>0</v>
      </c>
      <c r="J659" s="357">
        <f>SUM(J610:J658)</f>
        <v>0</v>
      </c>
      <c r="K659" s="357">
        <f t="shared" si="97" ref="K659:N659">SUM(K610:K658)</f>
        <v>0</v>
      </c>
      <c r="L659" s="357">
        <f t="shared" si="97"/>
        <v>0</v>
      </c>
      <c r="M659" s="357">
        <f t="shared" si="97"/>
        <v>0</v>
      </c>
      <c r="N659" s="357">
        <f t="shared" si="97"/>
        <v>0</v>
      </c>
      <c r="O659" s="357">
        <f>SUM(O610:O658)</f>
        <v>6695727.6000000006</v>
      </c>
      <c r="P659" s="565">
        <f>ROUND(Q659/O659,1)</f>
        <v>13.4</v>
      </c>
      <c r="Q659" s="357">
        <f>SUM(Q610:Q658)</f>
        <v>89947714.36999999</v>
      </c>
      <c r="S659" s="604">
        <f>'Sch. G 2021'!H27</f>
        <v>6695727</v>
      </c>
      <c r="T659" s="679">
        <f>D659-S659</f>
        <v>0.60000000055879354</v>
      </c>
    </row>
    <row r="660" spans="1:20" s="598" customFormat="1" ht="15.75" thickTop="1">
      <c r="A660" s="566">
        <f>A658</f>
        <v>3830</v>
      </c>
      <c r="B660" s="490" t="str">
        <f>B658&amp;" - Additions"</f>
        <v>House Reg - Additions</v>
      </c>
      <c r="C660" s="490">
        <v>2022</v>
      </c>
      <c r="D660" s="567">
        <f>'Sch. H'!N27</f>
        <v>167911.91807323514</v>
      </c>
      <c r="E660" s="601">
        <f>Input!$C$14-C660+0.5</f>
        <v>0.5</v>
      </c>
      <c r="F660" s="600">
        <f>D660*E660</f>
        <v>83955.959036617569</v>
      </c>
      <c r="G660" s="600"/>
      <c r="H660" s="317"/>
      <c r="I660" s="600"/>
      <c r="J660" s="600"/>
      <c r="K660" s="600"/>
      <c r="L660" s="600"/>
      <c r="M660" s="600"/>
      <c r="N660" s="600"/>
      <c r="O660" s="600">
        <f t="shared" si="98" ref="O660:O661">SUM(D660,I660:N660)</f>
        <v>167911.91807323514</v>
      </c>
      <c r="P660" s="601">
        <f t="shared" si="95"/>
        <v>0.5</v>
      </c>
      <c r="Q660" s="600">
        <f t="shared" si="96"/>
        <v>83955.959036617569</v>
      </c>
      <c r="T660" s="679"/>
    </row>
    <row r="661" spans="1:20" s="598" customFormat="1" ht="15">
      <c r="A661" s="566">
        <f>A660</f>
        <v>3830</v>
      </c>
      <c r="B661" s="490" t="str">
        <f>B658&amp;" - Retirements"</f>
        <v>House Reg - Retirements</v>
      </c>
      <c r="C661" s="490">
        <v>2022</v>
      </c>
      <c r="D661" s="567">
        <f>-'Sch. F 2022'!AE90</f>
        <v>-4531</v>
      </c>
      <c r="E661" s="601">
        <f>'Sch. F 2022'!AE92</f>
        <v>38.100000000000001</v>
      </c>
      <c r="F661" s="600">
        <f>D661*E661</f>
        <v>-172631.10000000001</v>
      </c>
      <c r="G661" s="600"/>
      <c r="H661" s="317"/>
      <c r="I661" s="600"/>
      <c r="J661" s="600"/>
      <c r="K661" s="600"/>
      <c r="L661" s="600"/>
      <c r="M661" s="600"/>
      <c r="N661" s="600"/>
      <c r="O661" s="600">
        <f t="shared" si="98"/>
        <v>-4531</v>
      </c>
      <c r="P661" s="601">
        <f t="shared" si="95"/>
        <v>38.100000000000001</v>
      </c>
      <c r="Q661" s="600">
        <f t="shared" si="96"/>
        <v>-172631.10000000001</v>
      </c>
      <c r="T661" s="679"/>
    </row>
    <row r="662" spans="1:20" s="598" customFormat="1" ht="13.5" thickBot="1">
      <c r="A662" s="566"/>
      <c r="B662" s="564" t="s">
        <v>557</v>
      </c>
      <c r="C662" s="490"/>
      <c r="D662" s="568">
        <f>SUM(D659:D661)</f>
        <v>6859108.5180732356</v>
      </c>
      <c r="E662" s="565">
        <f>ROUND(F662/D662,1)</f>
        <v>13.1</v>
      </c>
      <c r="F662" s="569">
        <f>SUM(F659:F661)</f>
        <v>89859039.229036614</v>
      </c>
      <c r="G662" s="570"/>
      <c r="H662" s="372"/>
      <c r="I662" s="568">
        <f>SUM(I659:I661)</f>
        <v>0</v>
      </c>
      <c r="J662" s="568">
        <f>SUM(J659:J661)</f>
        <v>0</v>
      </c>
      <c r="K662" s="568">
        <f t="shared" si="99" ref="K662:N662">SUM(K659:K661)</f>
        <v>0</v>
      </c>
      <c r="L662" s="568">
        <f t="shared" si="99"/>
        <v>0</v>
      </c>
      <c r="M662" s="568">
        <f t="shared" si="99"/>
        <v>0</v>
      </c>
      <c r="N662" s="568">
        <f t="shared" si="99"/>
        <v>0</v>
      </c>
      <c r="O662" s="568">
        <f>SUM(O659:O661)</f>
        <v>6859108.5180732356</v>
      </c>
      <c r="P662" s="565">
        <f>ROUND(Q662/O662,1)</f>
        <v>13.1</v>
      </c>
      <c r="Q662" s="569">
        <f>SUM(Q659:Q661)</f>
        <v>89859039.229036614</v>
      </c>
      <c r="S662" s="604">
        <f>'Sch. G 2022'!H27</f>
        <v>6859108</v>
      </c>
      <c r="T662" s="679">
        <f>O662-S662</f>
        <v>0.51807323563843966</v>
      </c>
    </row>
    <row r="663" spans="1:20" s="598" customFormat="1" ht="15" thickTop="1">
      <c r="A663" s="563"/>
      <c r="B663" s="571"/>
      <c r="D663" s="358"/>
      <c r="E663" s="572"/>
      <c r="F663" s="358"/>
      <c r="G663" s="358"/>
      <c r="H663" s="318"/>
      <c r="I663" s="358"/>
      <c r="J663" s="358"/>
      <c r="K663" s="358"/>
      <c r="L663" s="358"/>
      <c r="M663" s="358"/>
      <c r="N663" s="358"/>
      <c r="O663" s="600"/>
      <c r="P663" s="601"/>
      <c r="Q663" s="600"/>
      <c r="T663" s="679"/>
    </row>
    <row r="664" spans="1:17" s="598" customFormat="1" ht="15" outlineLevel="1">
      <c r="A664" s="597">
        <v>3840</v>
      </c>
      <c r="B664" s="598" t="s">
        <v>536</v>
      </c>
      <c r="C664" s="598">
        <v>1960</v>
      </c>
      <c r="D664" s="599">
        <f>776.89-493.43+163.63</f>
        <v>447.08999999999997</v>
      </c>
      <c r="E664" s="601">
        <f>Input!$C$14-C664+0.5</f>
        <v>62.5</v>
      </c>
      <c r="F664" s="600">
        <f t="shared" si="100" ref="F664:F719">D664*E664</f>
        <v>27943.125</v>
      </c>
      <c r="G664" s="600"/>
      <c r="H664" s="317"/>
      <c r="I664" s="600"/>
      <c r="J664" s="600"/>
      <c r="K664" s="600"/>
      <c r="L664" s="600"/>
      <c r="M664" s="600"/>
      <c r="N664" s="600"/>
      <c r="O664" s="600">
        <f t="shared" si="101" ref="O664:O719">SUM(D664,I664:N664)</f>
        <v>447.08999999999997</v>
      </c>
      <c r="P664" s="601">
        <f t="shared" si="95"/>
        <v>62.5</v>
      </c>
      <c r="Q664" s="600">
        <f t="shared" si="96"/>
        <v>27943.125</v>
      </c>
    </row>
    <row r="665" spans="1:17" s="598" customFormat="1" ht="15" outlineLevel="1">
      <c r="A665" s="597">
        <v>3840</v>
      </c>
      <c r="B665" s="598" t="s">
        <v>536</v>
      </c>
      <c r="C665" s="598">
        <v>1961</v>
      </c>
      <c r="D665" s="599">
        <v>2080.9900000000002</v>
      </c>
      <c r="E665" s="601">
        <f>Input!$C$14-C665+0.5</f>
        <v>61.5</v>
      </c>
      <c r="F665" s="600">
        <f t="shared" si="100"/>
        <v>127980.88500000001</v>
      </c>
      <c r="G665" s="600"/>
      <c r="H665" s="317"/>
      <c r="I665" s="600"/>
      <c r="J665" s="600"/>
      <c r="K665" s="600"/>
      <c r="L665" s="600"/>
      <c r="M665" s="600"/>
      <c r="N665" s="600"/>
      <c r="O665" s="600">
        <f t="shared" si="101"/>
        <v>2080.9900000000002</v>
      </c>
      <c r="P665" s="601">
        <f t="shared" si="95"/>
        <v>61.5</v>
      </c>
      <c r="Q665" s="600">
        <f t="shared" si="96"/>
        <v>127980.88500000001</v>
      </c>
    </row>
    <row r="666" spans="1:17" s="598" customFormat="1" ht="15" outlineLevel="1">
      <c r="A666" s="597">
        <v>3840</v>
      </c>
      <c r="B666" s="598" t="s">
        <v>536</v>
      </c>
      <c r="C666" s="598">
        <v>1962</v>
      </c>
      <c r="D666" s="599">
        <v>1714.9400000000001</v>
      </c>
      <c r="E666" s="601">
        <f>Input!$C$14-C666+0.5</f>
        <v>60.5</v>
      </c>
      <c r="F666" s="600">
        <f t="shared" si="100"/>
        <v>103753.87000000001</v>
      </c>
      <c r="G666" s="600"/>
      <c r="H666" s="317"/>
      <c r="I666" s="600"/>
      <c r="J666" s="600"/>
      <c r="K666" s="600"/>
      <c r="L666" s="600"/>
      <c r="M666" s="600"/>
      <c r="N666" s="600"/>
      <c r="O666" s="600">
        <f t="shared" si="101"/>
        <v>1714.9400000000001</v>
      </c>
      <c r="P666" s="601">
        <f t="shared" si="95"/>
        <v>60.5</v>
      </c>
      <c r="Q666" s="600">
        <f t="shared" si="96"/>
        <v>103753.87000000001</v>
      </c>
    </row>
    <row r="667" spans="1:17" s="598" customFormat="1" ht="15" outlineLevel="1">
      <c r="A667" s="597">
        <v>3840</v>
      </c>
      <c r="B667" s="598" t="s">
        <v>536</v>
      </c>
      <c r="C667" s="598">
        <v>1963</v>
      </c>
      <c r="D667" s="599">
        <v>1053.5999999999999</v>
      </c>
      <c r="E667" s="601">
        <f>Input!$C$14-C667+0.5</f>
        <v>59.5</v>
      </c>
      <c r="F667" s="600">
        <f t="shared" si="100"/>
        <v>62689.199999999997</v>
      </c>
      <c r="G667" s="600"/>
      <c r="H667" s="317"/>
      <c r="I667" s="600"/>
      <c r="J667" s="600"/>
      <c r="K667" s="600"/>
      <c r="L667" s="600"/>
      <c r="M667" s="600"/>
      <c r="N667" s="600"/>
      <c r="O667" s="600">
        <f t="shared" si="101"/>
        <v>1053.5999999999999</v>
      </c>
      <c r="P667" s="601">
        <f t="shared" si="95"/>
        <v>59.5</v>
      </c>
      <c r="Q667" s="600">
        <f t="shared" si="96"/>
        <v>62689.199999999997</v>
      </c>
    </row>
    <row r="668" spans="1:17" s="598" customFormat="1" ht="15" outlineLevel="1">
      <c r="A668" s="597">
        <v>3840</v>
      </c>
      <c r="B668" s="598" t="s">
        <v>536</v>
      </c>
      <c r="C668" s="598">
        <v>1964</v>
      </c>
      <c r="D668" s="599">
        <v>1347.47</v>
      </c>
      <c r="E668" s="601">
        <f>Input!$C$14-C668+0.5</f>
        <v>58.5</v>
      </c>
      <c r="F668" s="600">
        <f t="shared" si="100"/>
        <v>78826.994999999995</v>
      </c>
      <c r="G668" s="600"/>
      <c r="H668" s="317"/>
      <c r="I668" s="600"/>
      <c r="J668" s="600"/>
      <c r="K668" s="600"/>
      <c r="L668" s="600"/>
      <c r="M668" s="600"/>
      <c r="N668" s="600"/>
      <c r="O668" s="600">
        <f t="shared" si="101"/>
        <v>1347.47</v>
      </c>
      <c r="P668" s="601">
        <f t="shared" si="95"/>
        <v>58.5</v>
      </c>
      <c r="Q668" s="600">
        <f t="shared" si="96"/>
        <v>78826.994999999995</v>
      </c>
    </row>
    <row r="669" spans="1:17" s="598" customFormat="1" ht="15" outlineLevel="1">
      <c r="A669" s="597">
        <v>3840</v>
      </c>
      <c r="B669" s="598" t="s">
        <v>536</v>
      </c>
      <c r="C669" s="598">
        <v>1965</v>
      </c>
      <c r="D669" s="599">
        <v>1601.3700000000001</v>
      </c>
      <c r="E669" s="601">
        <f>Input!$C$14-C669+0.5</f>
        <v>57.5</v>
      </c>
      <c r="F669" s="600">
        <f t="shared" si="100"/>
        <v>92078.775000000009</v>
      </c>
      <c r="G669" s="600"/>
      <c r="H669" s="317"/>
      <c r="I669" s="600"/>
      <c r="J669" s="600"/>
      <c r="K669" s="600"/>
      <c r="L669" s="600"/>
      <c r="M669" s="600"/>
      <c r="N669" s="600"/>
      <c r="O669" s="600">
        <f t="shared" si="101"/>
        <v>1601.3700000000001</v>
      </c>
      <c r="P669" s="601">
        <f t="shared" si="95"/>
        <v>57.5</v>
      </c>
      <c r="Q669" s="600">
        <f t="shared" si="96"/>
        <v>92078.775000000009</v>
      </c>
    </row>
    <row r="670" spans="1:17" s="598" customFormat="1" ht="15" outlineLevel="1">
      <c r="A670" s="597">
        <v>3840</v>
      </c>
      <c r="B670" s="598" t="s">
        <v>536</v>
      </c>
      <c r="C670" s="598">
        <v>1966</v>
      </c>
      <c r="D670" s="599">
        <v>957.63</v>
      </c>
      <c r="E670" s="601">
        <f>Input!$C$14-C670+0.5</f>
        <v>56.5</v>
      </c>
      <c r="F670" s="600">
        <f t="shared" si="100"/>
        <v>54106.095000000001</v>
      </c>
      <c r="G670" s="600"/>
      <c r="H670" s="317"/>
      <c r="I670" s="600"/>
      <c r="J670" s="600"/>
      <c r="K670" s="600"/>
      <c r="L670" s="600"/>
      <c r="M670" s="600"/>
      <c r="N670" s="600"/>
      <c r="O670" s="600">
        <f t="shared" si="101"/>
        <v>957.63</v>
      </c>
      <c r="P670" s="601">
        <f t="shared" si="95"/>
        <v>56.5</v>
      </c>
      <c r="Q670" s="600">
        <f t="shared" si="96"/>
        <v>54106.095000000001</v>
      </c>
    </row>
    <row r="671" spans="1:17" s="598" customFormat="1" ht="15" outlineLevel="1">
      <c r="A671" s="597">
        <v>3840</v>
      </c>
      <c r="B671" s="598" t="s">
        <v>536</v>
      </c>
      <c r="C671" s="598">
        <v>1967</v>
      </c>
      <c r="D671" s="599">
        <v>3116.0100000000002</v>
      </c>
      <c r="E671" s="601">
        <f>Input!$C$14-C671+0.5</f>
        <v>55.5</v>
      </c>
      <c r="F671" s="600">
        <f t="shared" si="100"/>
        <v>172938.55500000002</v>
      </c>
      <c r="G671" s="600"/>
      <c r="H671" s="317"/>
      <c r="I671" s="600"/>
      <c r="J671" s="600"/>
      <c r="K671" s="600"/>
      <c r="L671" s="600"/>
      <c r="M671" s="600"/>
      <c r="N671" s="600"/>
      <c r="O671" s="600">
        <f t="shared" si="101"/>
        <v>3116.0100000000002</v>
      </c>
      <c r="P671" s="601">
        <f t="shared" si="95"/>
        <v>55.5</v>
      </c>
      <c r="Q671" s="600">
        <f t="shared" si="96"/>
        <v>172938.55500000002</v>
      </c>
    </row>
    <row r="672" spans="1:17" s="598" customFormat="1" ht="15" outlineLevel="1">
      <c r="A672" s="597">
        <v>3840</v>
      </c>
      <c r="B672" s="598" t="s">
        <v>536</v>
      </c>
      <c r="C672" s="598">
        <v>1968</v>
      </c>
      <c r="D672" s="599">
        <v>261.81999999999999</v>
      </c>
      <c r="E672" s="601">
        <f>Input!$C$14-C672+0.5</f>
        <v>54.5</v>
      </c>
      <c r="F672" s="600">
        <f t="shared" si="100"/>
        <v>14269.190000000001</v>
      </c>
      <c r="G672" s="600"/>
      <c r="H672" s="317"/>
      <c r="I672" s="600"/>
      <c r="J672" s="600"/>
      <c r="K672" s="600"/>
      <c r="L672" s="600"/>
      <c r="M672" s="600"/>
      <c r="N672" s="600"/>
      <c r="O672" s="600">
        <f t="shared" si="101"/>
        <v>261.81999999999999</v>
      </c>
      <c r="P672" s="601">
        <f t="shared" si="95"/>
        <v>54.5</v>
      </c>
      <c r="Q672" s="600">
        <f t="shared" si="96"/>
        <v>14269.190000000001</v>
      </c>
    </row>
    <row r="673" spans="1:17" s="598" customFormat="1" ht="15" outlineLevel="1">
      <c r="A673" s="597">
        <v>3840</v>
      </c>
      <c r="B673" s="598" t="s">
        <v>536</v>
      </c>
      <c r="C673" s="598">
        <v>1969</v>
      </c>
      <c r="D673" s="599">
        <v>132.34</v>
      </c>
      <c r="E673" s="601">
        <f>Input!$C$14-C673+0.5</f>
        <v>53.5</v>
      </c>
      <c r="F673" s="600">
        <f t="shared" si="100"/>
        <v>7080.1900000000005</v>
      </c>
      <c r="G673" s="600"/>
      <c r="H673" s="317"/>
      <c r="I673" s="600"/>
      <c r="J673" s="600"/>
      <c r="K673" s="600"/>
      <c r="L673" s="600"/>
      <c r="M673" s="600"/>
      <c r="N673" s="600"/>
      <c r="O673" s="600">
        <f t="shared" si="101"/>
        <v>132.34</v>
      </c>
      <c r="P673" s="601">
        <f t="shared" si="95"/>
        <v>53.5</v>
      </c>
      <c r="Q673" s="600">
        <f t="shared" si="96"/>
        <v>7080.1900000000005</v>
      </c>
    </row>
    <row r="674" spans="1:17" s="598" customFormat="1" ht="15" outlineLevel="1">
      <c r="A674" s="597">
        <v>3840</v>
      </c>
      <c r="B674" s="598" t="s">
        <v>536</v>
      </c>
      <c r="C674" s="598">
        <v>1970</v>
      </c>
      <c r="D674" s="599">
        <v>210.81999999999999</v>
      </c>
      <c r="E674" s="601">
        <f>Input!$C$14-C674+0.5</f>
        <v>52.5</v>
      </c>
      <c r="F674" s="600">
        <f t="shared" si="100"/>
        <v>11068.049999999999</v>
      </c>
      <c r="G674" s="600"/>
      <c r="H674" s="317"/>
      <c r="I674" s="600"/>
      <c r="J674" s="600"/>
      <c r="K674" s="600"/>
      <c r="L674" s="600"/>
      <c r="M674" s="600"/>
      <c r="N674" s="600"/>
      <c r="O674" s="600">
        <f t="shared" si="101"/>
        <v>210.81999999999999</v>
      </c>
      <c r="P674" s="601">
        <f t="shared" si="95"/>
        <v>52.5</v>
      </c>
      <c r="Q674" s="600">
        <f t="shared" si="96"/>
        <v>11068.049999999999</v>
      </c>
    </row>
    <row r="675" spans="1:17" s="598" customFormat="1" ht="15" outlineLevel="1">
      <c r="A675" s="597">
        <v>3840</v>
      </c>
      <c r="B675" s="598" t="s">
        <v>536</v>
      </c>
      <c r="C675" s="598">
        <v>1971</v>
      </c>
      <c r="D675" s="599">
        <v>132.09</v>
      </c>
      <c r="E675" s="601">
        <f>Input!$C$14-C675+0.5</f>
        <v>51.5</v>
      </c>
      <c r="F675" s="600">
        <f t="shared" si="100"/>
        <v>6802.6350000000002</v>
      </c>
      <c r="G675" s="600"/>
      <c r="H675" s="317"/>
      <c r="I675" s="600"/>
      <c r="J675" s="600"/>
      <c r="K675" s="600"/>
      <c r="L675" s="600"/>
      <c r="M675" s="600"/>
      <c r="N675" s="600"/>
      <c r="O675" s="600">
        <f t="shared" si="101"/>
        <v>132.09</v>
      </c>
      <c r="P675" s="601">
        <f t="shared" si="95"/>
        <v>51.5</v>
      </c>
      <c r="Q675" s="600">
        <f t="shared" si="96"/>
        <v>6802.6350000000002</v>
      </c>
    </row>
    <row r="676" spans="1:17" s="598" customFormat="1" ht="15" outlineLevel="1">
      <c r="A676" s="597">
        <v>3840</v>
      </c>
      <c r="B676" s="598" t="s">
        <v>536</v>
      </c>
      <c r="C676" s="598">
        <v>1972</v>
      </c>
      <c r="D676" s="599">
        <v>951.12</v>
      </c>
      <c r="E676" s="601">
        <f>Input!$C$14-C676+0.5</f>
        <v>50.5</v>
      </c>
      <c r="F676" s="600">
        <f t="shared" si="100"/>
        <v>48031.559999999998</v>
      </c>
      <c r="G676" s="600"/>
      <c r="H676" s="317"/>
      <c r="I676" s="600"/>
      <c r="J676" s="600"/>
      <c r="K676" s="600"/>
      <c r="L676" s="600"/>
      <c r="M676" s="600"/>
      <c r="N676" s="600"/>
      <c r="O676" s="600">
        <f t="shared" si="101"/>
        <v>951.12</v>
      </c>
      <c r="P676" s="601">
        <f t="shared" si="95"/>
        <v>50.5</v>
      </c>
      <c r="Q676" s="600">
        <f t="shared" si="96"/>
        <v>48031.559999999998</v>
      </c>
    </row>
    <row r="677" spans="1:17" s="598" customFormat="1" ht="15" outlineLevel="1">
      <c r="A677" s="597">
        <v>3840</v>
      </c>
      <c r="B677" s="598" t="s">
        <v>536</v>
      </c>
      <c r="C677" s="598">
        <v>1973</v>
      </c>
      <c r="D677" s="599">
        <v>1199.04</v>
      </c>
      <c r="E677" s="601">
        <f>Input!$C$14-C677+0.5</f>
        <v>49.5</v>
      </c>
      <c r="F677" s="600">
        <f t="shared" si="100"/>
        <v>59352.479999999996</v>
      </c>
      <c r="G677" s="600"/>
      <c r="H677" s="317"/>
      <c r="I677" s="600"/>
      <c r="J677" s="600"/>
      <c r="K677" s="600"/>
      <c r="L677" s="600"/>
      <c r="M677" s="600"/>
      <c r="N677" s="600"/>
      <c r="O677" s="600">
        <f t="shared" si="101"/>
        <v>1199.04</v>
      </c>
      <c r="P677" s="601">
        <f t="shared" si="95"/>
        <v>49.5</v>
      </c>
      <c r="Q677" s="600">
        <f t="shared" si="96"/>
        <v>59352.479999999996</v>
      </c>
    </row>
    <row r="678" spans="1:17" s="598" customFormat="1" ht="15" outlineLevel="1">
      <c r="A678" s="597">
        <v>3840</v>
      </c>
      <c r="B678" s="598" t="s">
        <v>536</v>
      </c>
      <c r="C678" s="598">
        <v>1974</v>
      </c>
      <c r="D678" s="599">
        <v>56.539999999999999</v>
      </c>
      <c r="E678" s="601">
        <f>Input!$C$14-C678+0.5</f>
        <v>48.5</v>
      </c>
      <c r="F678" s="600">
        <f t="shared" si="100"/>
        <v>2742.1900000000001</v>
      </c>
      <c r="G678" s="600"/>
      <c r="H678" s="317"/>
      <c r="I678" s="600"/>
      <c r="J678" s="600"/>
      <c r="K678" s="600"/>
      <c r="L678" s="600"/>
      <c r="M678" s="600"/>
      <c r="N678" s="600"/>
      <c r="O678" s="600">
        <f t="shared" si="101"/>
        <v>56.539999999999999</v>
      </c>
      <c r="P678" s="601">
        <f t="shared" si="95"/>
        <v>48.5</v>
      </c>
      <c r="Q678" s="600">
        <f t="shared" si="96"/>
        <v>2742.1900000000001</v>
      </c>
    </row>
    <row r="679" spans="1:17" s="598" customFormat="1" ht="15" outlineLevel="1">
      <c r="A679" s="597">
        <v>3840</v>
      </c>
      <c r="B679" s="598" t="s">
        <v>536</v>
      </c>
      <c r="C679" s="598">
        <v>1975</v>
      </c>
      <c r="D679" s="599">
        <v>991.08000000000004</v>
      </c>
      <c r="E679" s="601">
        <f>Input!$C$14-C679+0.5</f>
        <v>47.5</v>
      </c>
      <c r="F679" s="600">
        <f t="shared" si="100"/>
        <v>47076.300000000003</v>
      </c>
      <c r="G679" s="600"/>
      <c r="H679" s="317"/>
      <c r="I679" s="600"/>
      <c r="J679" s="600"/>
      <c r="K679" s="600"/>
      <c r="L679" s="600"/>
      <c r="M679" s="600"/>
      <c r="N679" s="600"/>
      <c r="O679" s="600">
        <f t="shared" si="101"/>
        <v>991.08000000000004</v>
      </c>
      <c r="P679" s="601">
        <f t="shared" si="95"/>
        <v>47.5</v>
      </c>
      <c r="Q679" s="600">
        <f t="shared" si="96"/>
        <v>47076.300000000003</v>
      </c>
    </row>
    <row r="680" spans="1:17" s="598" customFormat="1" ht="15" outlineLevel="1">
      <c r="A680" s="597">
        <v>3840</v>
      </c>
      <c r="B680" s="598" t="s">
        <v>536</v>
      </c>
      <c r="C680" s="598">
        <v>1976</v>
      </c>
      <c r="D680" s="599">
        <v>1197.8499999999999</v>
      </c>
      <c r="E680" s="601">
        <f>Input!$C$14-C680+0.5</f>
        <v>46.5</v>
      </c>
      <c r="F680" s="600">
        <f t="shared" si="100"/>
        <v>55700.024999999994</v>
      </c>
      <c r="G680" s="600"/>
      <c r="H680" s="317"/>
      <c r="I680" s="600"/>
      <c r="J680" s="600"/>
      <c r="K680" s="600"/>
      <c r="L680" s="600"/>
      <c r="M680" s="600"/>
      <c r="N680" s="600"/>
      <c r="O680" s="600">
        <f t="shared" si="101"/>
        <v>1197.8499999999999</v>
      </c>
      <c r="P680" s="601">
        <f t="shared" si="95"/>
        <v>46.5</v>
      </c>
      <c r="Q680" s="600">
        <f t="shared" si="96"/>
        <v>55700.024999999994</v>
      </c>
    </row>
    <row r="681" spans="1:17" s="598" customFormat="1" ht="15" outlineLevel="1">
      <c r="A681" s="597">
        <v>3840</v>
      </c>
      <c r="B681" s="598" t="s">
        <v>536</v>
      </c>
      <c r="C681" s="598">
        <v>1977</v>
      </c>
      <c r="D681" s="599">
        <v>3189.3200000000002</v>
      </c>
      <c r="E681" s="601">
        <f>Input!$C$14-C681+0.5</f>
        <v>45.5</v>
      </c>
      <c r="F681" s="600">
        <f t="shared" si="100"/>
        <v>145114.06</v>
      </c>
      <c r="G681" s="600"/>
      <c r="H681" s="317"/>
      <c r="I681" s="600"/>
      <c r="J681" s="600"/>
      <c r="K681" s="600"/>
      <c r="L681" s="600"/>
      <c r="M681" s="600"/>
      <c r="N681" s="600"/>
      <c r="O681" s="600">
        <f t="shared" si="101"/>
        <v>3189.3200000000002</v>
      </c>
      <c r="P681" s="601">
        <f t="shared" si="95"/>
        <v>45.5</v>
      </c>
      <c r="Q681" s="600">
        <f t="shared" si="96"/>
        <v>145114.06</v>
      </c>
    </row>
    <row r="682" spans="1:17" s="598" customFormat="1" ht="15" outlineLevel="1">
      <c r="A682" s="597">
        <v>3840</v>
      </c>
      <c r="B682" s="598" t="s">
        <v>536</v>
      </c>
      <c r="C682" s="598">
        <v>1978</v>
      </c>
      <c r="D682" s="599">
        <v>2132.04</v>
      </c>
      <c r="E682" s="601">
        <f>Input!$C$14-C682+0.5</f>
        <v>44.5</v>
      </c>
      <c r="F682" s="600">
        <f t="shared" si="100"/>
        <v>94875.779999999999</v>
      </c>
      <c r="G682" s="600"/>
      <c r="H682" s="317"/>
      <c r="I682" s="600"/>
      <c r="J682" s="600"/>
      <c r="K682" s="600"/>
      <c r="L682" s="600"/>
      <c r="M682" s="600"/>
      <c r="N682" s="600"/>
      <c r="O682" s="600">
        <f t="shared" si="101"/>
        <v>2132.04</v>
      </c>
      <c r="P682" s="601">
        <f t="shared" si="95"/>
        <v>44.5</v>
      </c>
      <c r="Q682" s="600">
        <f t="shared" si="96"/>
        <v>94875.779999999999</v>
      </c>
    </row>
    <row r="683" spans="1:17" s="598" customFormat="1" ht="15" outlineLevel="1">
      <c r="A683" s="597">
        <v>3840</v>
      </c>
      <c r="B683" s="598" t="s">
        <v>536</v>
      </c>
      <c r="C683" s="598">
        <v>1979</v>
      </c>
      <c r="D683" s="599">
        <v>4381.6300000000001</v>
      </c>
      <c r="E683" s="601">
        <f>Input!$C$14-C683+0.5</f>
        <v>43.5</v>
      </c>
      <c r="F683" s="600">
        <f t="shared" si="100"/>
        <v>190600.905</v>
      </c>
      <c r="G683" s="600"/>
      <c r="H683" s="317"/>
      <c r="I683" s="600"/>
      <c r="J683" s="600"/>
      <c r="K683" s="600"/>
      <c r="L683" s="600"/>
      <c r="M683" s="600"/>
      <c r="N683" s="600"/>
      <c r="O683" s="600">
        <f t="shared" si="101"/>
        <v>4381.6300000000001</v>
      </c>
      <c r="P683" s="601">
        <f t="shared" si="95"/>
        <v>43.5</v>
      </c>
      <c r="Q683" s="600">
        <f t="shared" si="96"/>
        <v>190600.905</v>
      </c>
    </row>
    <row r="684" spans="1:17" s="598" customFormat="1" ht="15" outlineLevel="1">
      <c r="A684" s="597">
        <v>3840</v>
      </c>
      <c r="B684" s="598" t="s">
        <v>536</v>
      </c>
      <c r="C684" s="598">
        <v>1980</v>
      </c>
      <c r="D684" s="599">
        <v>8898.4099999999999</v>
      </c>
      <c r="E684" s="601">
        <f>Input!$C$14-C684+0.5</f>
        <v>42.5</v>
      </c>
      <c r="F684" s="600">
        <f t="shared" si="100"/>
        <v>378182.42499999999</v>
      </c>
      <c r="G684" s="600"/>
      <c r="H684" s="317"/>
      <c r="I684" s="600"/>
      <c r="J684" s="600"/>
      <c r="K684" s="600"/>
      <c r="L684" s="600"/>
      <c r="M684" s="600"/>
      <c r="N684" s="600"/>
      <c r="O684" s="600">
        <f t="shared" si="101"/>
        <v>8898.4099999999999</v>
      </c>
      <c r="P684" s="601">
        <f t="shared" si="95"/>
        <v>42.5</v>
      </c>
      <c r="Q684" s="600">
        <f t="shared" si="96"/>
        <v>378182.42499999999</v>
      </c>
    </row>
    <row r="685" spans="1:17" s="598" customFormat="1" ht="15" outlineLevel="1">
      <c r="A685" s="597">
        <v>3840</v>
      </c>
      <c r="B685" s="598" t="s">
        <v>536</v>
      </c>
      <c r="C685" s="598">
        <v>1981</v>
      </c>
      <c r="D685" s="599">
        <v>18114.259999999998</v>
      </c>
      <c r="E685" s="601">
        <f>Input!$C$14-C685+0.5</f>
        <v>41.5</v>
      </c>
      <c r="F685" s="600">
        <f t="shared" si="100"/>
        <v>751741.78999999992</v>
      </c>
      <c r="G685" s="600"/>
      <c r="H685" s="317"/>
      <c r="I685" s="600"/>
      <c r="J685" s="600"/>
      <c r="K685" s="600"/>
      <c r="L685" s="600"/>
      <c r="M685" s="600"/>
      <c r="N685" s="600"/>
      <c r="O685" s="600">
        <f t="shared" si="101"/>
        <v>18114.259999999998</v>
      </c>
      <c r="P685" s="601">
        <f t="shared" si="95"/>
        <v>41.5</v>
      </c>
      <c r="Q685" s="600">
        <f t="shared" si="96"/>
        <v>751741.78999999992</v>
      </c>
    </row>
    <row r="686" spans="1:17" s="598" customFormat="1" ht="15" outlineLevel="1">
      <c r="A686" s="597">
        <v>3840</v>
      </c>
      <c r="B686" s="598" t="s">
        <v>536</v>
      </c>
      <c r="C686" s="598">
        <v>1982</v>
      </c>
      <c r="D686" s="599">
        <v>10841.76</v>
      </c>
      <c r="E686" s="601">
        <f>Input!$C$14-C686+0.5</f>
        <v>40.5</v>
      </c>
      <c r="F686" s="600">
        <f t="shared" si="100"/>
        <v>439091.28000000003</v>
      </c>
      <c r="G686" s="600"/>
      <c r="H686" s="317"/>
      <c r="I686" s="600"/>
      <c r="J686" s="600"/>
      <c r="K686" s="600"/>
      <c r="L686" s="600"/>
      <c r="M686" s="600"/>
      <c r="N686" s="600"/>
      <c r="O686" s="600">
        <f t="shared" si="101"/>
        <v>10841.76</v>
      </c>
      <c r="P686" s="601">
        <f t="shared" si="95"/>
        <v>40.5</v>
      </c>
      <c r="Q686" s="600">
        <f t="shared" si="96"/>
        <v>439091.28000000003</v>
      </c>
    </row>
    <row r="687" spans="1:17" s="598" customFormat="1" ht="15" outlineLevel="1">
      <c r="A687" s="597">
        <v>3840</v>
      </c>
      <c r="B687" s="598" t="s">
        <v>536</v>
      </c>
      <c r="C687" s="598">
        <v>1983</v>
      </c>
      <c r="D687" s="599">
        <v>13015.060000000001</v>
      </c>
      <c r="E687" s="601">
        <f>Input!$C$14-C687+0.5</f>
        <v>39.5</v>
      </c>
      <c r="F687" s="600">
        <f t="shared" si="100"/>
        <v>514094.87000000005</v>
      </c>
      <c r="G687" s="600"/>
      <c r="H687" s="317"/>
      <c r="I687" s="600"/>
      <c r="J687" s="600"/>
      <c r="K687" s="600"/>
      <c r="L687" s="600"/>
      <c r="M687" s="600"/>
      <c r="N687" s="600"/>
      <c r="O687" s="600">
        <f t="shared" si="101"/>
        <v>13015.060000000001</v>
      </c>
      <c r="P687" s="601">
        <f t="shared" si="95"/>
        <v>39.5</v>
      </c>
      <c r="Q687" s="600">
        <f t="shared" si="96"/>
        <v>514094.87000000005</v>
      </c>
    </row>
    <row r="688" spans="1:17" s="598" customFormat="1" ht="15" outlineLevel="1">
      <c r="A688" s="597">
        <v>3840</v>
      </c>
      <c r="B688" s="598" t="s">
        <v>536</v>
      </c>
      <c r="C688" s="598">
        <v>1984</v>
      </c>
      <c r="D688" s="599">
        <v>18001.91</v>
      </c>
      <c r="E688" s="601">
        <f>Input!$C$14-C688+0.5</f>
        <v>38.5</v>
      </c>
      <c r="F688" s="600">
        <f t="shared" si="100"/>
        <v>693073.53500000003</v>
      </c>
      <c r="G688" s="600"/>
      <c r="H688" s="317"/>
      <c r="I688" s="600"/>
      <c r="J688" s="600"/>
      <c r="K688" s="600"/>
      <c r="L688" s="600"/>
      <c r="M688" s="600"/>
      <c r="N688" s="600"/>
      <c r="O688" s="600">
        <f t="shared" si="101"/>
        <v>18001.91</v>
      </c>
      <c r="P688" s="601">
        <f t="shared" si="95"/>
        <v>38.5</v>
      </c>
      <c r="Q688" s="600">
        <f t="shared" si="96"/>
        <v>693073.53500000003</v>
      </c>
    </row>
    <row r="689" spans="1:17" s="598" customFormat="1" ht="15" outlineLevel="1">
      <c r="A689" s="597">
        <v>3840</v>
      </c>
      <c r="B689" s="598" t="s">
        <v>536</v>
      </c>
      <c r="C689" s="598">
        <v>1985</v>
      </c>
      <c r="D689" s="599">
        <v>11907.799999999999</v>
      </c>
      <c r="E689" s="601">
        <f>Input!$C$14-C689+0.5</f>
        <v>37.5</v>
      </c>
      <c r="F689" s="600">
        <f t="shared" si="100"/>
        <v>446542.5</v>
      </c>
      <c r="G689" s="600"/>
      <c r="H689" s="317"/>
      <c r="I689" s="600"/>
      <c r="J689" s="600"/>
      <c r="K689" s="600"/>
      <c r="L689" s="600"/>
      <c r="M689" s="600"/>
      <c r="N689" s="600"/>
      <c r="O689" s="600">
        <f t="shared" si="101"/>
        <v>11907.799999999999</v>
      </c>
      <c r="P689" s="601">
        <f t="shared" si="95"/>
        <v>37.5</v>
      </c>
      <c r="Q689" s="600">
        <f t="shared" si="96"/>
        <v>446542.5</v>
      </c>
    </row>
    <row r="690" spans="1:17" s="598" customFormat="1" ht="15" outlineLevel="1">
      <c r="A690" s="597">
        <v>3840</v>
      </c>
      <c r="B690" s="598" t="s">
        <v>536</v>
      </c>
      <c r="C690" s="598">
        <v>1986</v>
      </c>
      <c r="D690" s="599">
        <v>15859.349999999999</v>
      </c>
      <c r="E690" s="601">
        <f>Input!$C$14-C690+0.5</f>
        <v>36.5</v>
      </c>
      <c r="F690" s="600">
        <f t="shared" si="100"/>
        <v>578866.27499999991</v>
      </c>
      <c r="G690" s="600"/>
      <c r="H690" s="317"/>
      <c r="I690" s="600"/>
      <c r="J690" s="600"/>
      <c r="K690" s="600"/>
      <c r="L690" s="600"/>
      <c r="M690" s="600"/>
      <c r="N690" s="600"/>
      <c r="O690" s="600">
        <f t="shared" si="101"/>
        <v>15859.349999999999</v>
      </c>
      <c r="P690" s="601">
        <f t="shared" si="95"/>
        <v>36.5</v>
      </c>
      <c r="Q690" s="600">
        <f t="shared" si="96"/>
        <v>578866.27499999991</v>
      </c>
    </row>
    <row r="691" spans="1:17" s="598" customFormat="1" ht="15" outlineLevel="1">
      <c r="A691" s="597">
        <v>3840</v>
      </c>
      <c r="B691" s="598" t="s">
        <v>536</v>
      </c>
      <c r="C691" s="598">
        <v>1987</v>
      </c>
      <c r="D691" s="599">
        <v>25257.91</v>
      </c>
      <c r="E691" s="601">
        <f>Input!$C$14-C691+0.5</f>
        <v>35.5</v>
      </c>
      <c r="F691" s="600">
        <f t="shared" si="100"/>
        <v>896655.80500000005</v>
      </c>
      <c r="G691" s="600"/>
      <c r="H691" s="317"/>
      <c r="I691" s="600"/>
      <c r="J691" s="600"/>
      <c r="K691" s="600"/>
      <c r="L691" s="600"/>
      <c r="M691" s="600"/>
      <c r="N691" s="600"/>
      <c r="O691" s="600">
        <f t="shared" si="101"/>
        <v>25257.91</v>
      </c>
      <c r="P691" s="601">
        <f t="shared" si="95"/>
        <v>35.5</v>
      </c>
      <c r="Q691" s="600">
        <f t="shared" si="96"/>
        <v>896655.80500000005</v>
      </c>
    </row>
    <row r="692" spans="1:17" s="598" customFormat="1" ht="15" outlineLevel="1">
      <c r="A692" s="597">
        <v>3840</v>
      </c>
      <c r="B692" s="598" t="s">
        <v>536</v>
      </c>
      <c r="C692" s="598">
        <v>1988</v>
      </c>
      <c r="D692" s="599">
        <v>15863.280000000001</v>
      </c>
      <c r="E692" s="601">
        <f>Input!$C$14-C692+0.5</f>
        <v>34.5</v>
      </c>
      <c r="F692" s="600">
        <f t="shared" si="100"/>
        <v>547283.16000000003</v>
      </c>
      <c r="G692" s="600"/>
      <c r="H692" s="317"/>
      <c r="I692" s="600"/>
      <c r="J692" s="600"/>
      <c r="K692" s="600"/>
      <c r="L692" s="600"/>
      <c r="M692" s="600"/>
      <c r="N692" s="600"/>
      <c r="O692" s="600">
        <f t="shared" si="101"/>
        <v>15863.280000000001</v>
      </c>
      <c r="P692" s="601">
        <f t="shared" si="95"/>
        <v>34.5</v>
      </c>
      <c r="Q692" s="600">
        <f t="shared" si="96"/>
        <v>547283.16000000003</v>
      </c>
    </row>
    <row r="693" spans="1:17" s="598" customFormat="1" ht="15" outlineLevel="1">
      <c r="A693" s="597">
        <v>3840</v>
      </c>
      <c r="B693" s="598" t="s">
        <v>536</v>
      </c>
      <c r="C693" s="598">
        <v>1989</v>
      </c>
      <c r="D693" s="599">
        <v>26220.07</v>
      </c>
      <c r="E693" s="601">
        <f>Input!$C$14-C693+0.5</f>
        <v>33.5</v>
      </c>
      <c r="F693" s="600">
        <f t="shared" si="100"/>
        <v>878372.34499999997</v>
      </c>
      <c r="G693" s="600"/>
      <c r="H693" s="317"/>
      <c r="I693" s="600"/>
      <c r="J693" s="600"/>
      <c r="K693" s="600"/>
      <c r="L693" s="600"/>
      <c r="M693" s="600"/>
      <c r="N693" s="600"/>
      <c r="O693" s="600">
        <f t="shared" si="101"/>
        <v>26220.07</v>
      </c>
      <c r="P693" s="601">
        <f t="shared" si="95"/>
        <v>33.5</v>
      </c>
      <c r="Q693" s="600">
        <f t="shared" si="96"/>
        <v>878372.34499999997</v>
      </c>
    </row>
    <row r="694" spans="1:17" s="598" customFormat="1" ht="15" outlineLevel="1">
      <c r="A694" s="597">
        <v>3840</v>
      </c>
      <c r="B694" s="598" t="s">
        <v>536</v>
      </c>
      <c r="C694" s="598">
        <v>1990</v>
      </c>
      <c r="D694" s="599">
        <v>12146.9</v>
      </c>
      <c r="E694" s="601">
        <f>Input!$C$14-C694+0.5</f>
        <v>32.5</v>
      </c>
      <c r="F694" s="600">
        <f t="shared" si="100"/>
        <v>394774.25</v>
      </c>
      <c r="G694" s="600"/>
      <c r="H694" s="317"/>
      <c r="I694" s="600"/>
      <c r="J694" s="600"/>
      <c r="K694" s="600"/>
      <c r="L694" s="600"/>
      <c r="M694" s="600"/>
      <c r="N694" s="600"/>
      <c r="O694" s="600">
        <f t="shared" si="101"/>
        <v>12146.9</v>
      </c>
      <c r="P694" s="601">
        <f t="shared" si="95"/>
        <v>32.5</v>
      </c>
      <c r="Q694" s="600">
        <f t="shared" si="96"/>
        <v>394774.25</v>
      </c>
    </row>
    <row r="695" spans="1:17" s="598" customFormat="1" ht="15" outlineLevel="1">
      <c r="A695" s="597">
        <v>3840</v>
      </c>
      <c r="B695" s="598" t="s">
        <v>536</v>
      </c>
      <c r="C695" s="598">
        <v>1991</v>
      </c>
      <c r="D695" s="599">
        <v>14085.459999999999</v>
      </c>
      <c r="E695" s="601">
        <f>Input!$C$14-C695+0.5</f>
        <v>31.5</v>
      </c>
      <c r="F695" s="600">
        <f t="shared" si="100"/>
        <v>443691.98999999999</v>
      </c>
      <c r="G695" s="600"/>
      <c r="H695" s="317"/>
      <c r="I695" s="600"/>
      <c r="J695" s="600"/>
      <c r="K695" s="600"/>
      <c r="L695" s="600"/>
      <c r="M695" s="600"/>
      <c r="N695" s="600"/>
      <c r="O695" s="600">
        <f t="shared" si="101"/>
        <v>14085.459999999999</v>
      </c>
      <c r="P695" s="601">
        <f t="shared" si="95"/>
        <v>31.5</v>
      </c>
      <c r="Q695" s="600">
        <f t="shared" si="96"/>
        <v>443691.98999999999</v>
      </c>
    </row>
    <row r="696" spans="1:17" s="598" customFormat="1" ht="15" outlineLevel="1">
      <c r="A696" s="597">
        <v>3840</v>
      </c>
      <c r="B696" s="598" t="s">
        <v>536</v>
      </c>
      <c r="C696" s="598">
        <v>1992</v>
      </c>
      <c r="D696" s="599">
        <v>50131.090000000004</v>
      </c>
      <c r="E696" s="601">
        <f>Input!$C$14-C696+0.5</f>
        <v>30.5</v>
      </c>
      <c r="F696" s="600">
        <f t="shared" si="100"/>
        <v>1528998.2450000001</v>
      </c>
      <c r="G696" s="600"/>
      <c r="H696" s="317"/>
      <c r="I696" s="600"/>
      <c r="J696" s="600"/>
      <c r="K696" s="600"/>
      <c r="L696" s="600"/>
      <c r="M696" s="600"/>
      <c r="N696" s="600"/>
      <c r="O696" s="600">
        <f t="shared" si="101"/>
        <v>50131.090000000004</v>
      </c>
      <c r="P696" s="601">
        <f t="shared" si="95"/>
        <v>30.5</v>
      </c>
      <c r="Q696" s="600">
        <f t="shared" si="96"/>
        <v>1528998.2450000001</v>
      </c>
    </row>
    <row r="697" spans="1:17" s="598" customFormat="1" ht="15" outlineLevel="1">
      <c r="A697" s="597">
        <v>3840</v>
      </c>
      <c r="B697" s="598" t="s">
        <v>536</v>
      </c>
      <c r="C697" s="598">
        <v>1993</v>
      </c>
      <c r="D697" s="599">
        <v>18204.549999999999</v>
      </c>
      <c r="E697" s="601">
        <f>Input!$C$14-C697+0.5</f>
        <v>29.5</v>
      </c>
      <c r="F697" s="600">
        <f t="shared" si="100"/>
        <v>537034.22499999998</v>
      </c>
      <c r="G697" s="600"/>
      <c r="H697" s="317"/>
      <c r="I697" s="600"/>
      <c r="J697" s="600"/>
      <c r="K697" s="600"/>
      <c r="L697" s="600"/>
      <c r="M697" s="600"/>
      <c r="N697" s="600"/>
      <c r="O697" s="600">
        <f t="shared" si="101"/>
        <v>18204.549999999999</v>
      </c>
      <c r="P697" s="601">
        <f t="shared" si="102" ref="P697:P760">E697</f>
        <v>29.5</v>
      </c>
      <c r="Q697" s="600">
        <f t="shared" si="103" ref="Q697:Q760">O697*P697</f>
        <v>537034.22499999998</v>
      </c>
    </row>
    <row r="698" spans="1:17" s="598" customFormat="1" ht="15" outlineLevel="1">
      <c r="A698" s="597">
        <v>3840</v>
      </c>
      <c r="B698" s="598" t="s">
        <v>536</v>
      </c>
      <c r="C698" s="598">
        <v>1994</v>
      </c>
      <c r="D698" s="599">
        <v>22368.18</v>
      </c>
      <c r="E698" s="601">
        <f>Input!$C$14-C698+0.5</f>
        <v>28.5</v>
      </c>
      <c r="F698" s="600">
        <f t="shared" si="100"/>
        <v>637493.13</v>
      </c>
      <c r="G698" s="600"/>
      <c r="H698" s="317"/>
      <c r="I698" s="600"/>
      <c r="J698" s="600"/>
      <c r="K698" s="600"/>
      <c r="L698" s="600"/>
      <c r="M698" s="600"/>
      <c r="N698" s="600"/>
      <c r="O698" s="600">
        <f t="shared" si="101"/>
        <v>22368.18</v>
      </c>
      <c r="P698" s="601">
        <f t="shared" si="102"/>
        <v>28.5</v>
      </c>
      <c r="Q698" s="600">
        <f t="shared" si="103"/>
        <v>637493.13</v>
      </c>
    </row>
    <row r="699" spans="1:17" s="598" customFormat="1" ht="15" outlineLevel="1">
      <c r="A699" s="597">
        <v>3840</v>
      </c>
      <c r="B699" s="598" t="s">
        <v>536</v>
      </c>
      <c r="C699" s="598">
        <v>1995</v>
      </c>
      <c r="D699" s="599">
        <v>22046.18</v>
      </c>
      <c r="E699" s="601">
        <f>Input!$C$14-C699+0.5</f>
        <v>27.5</v>
      </c>
      <c r="F699" s="600">
        <f t="shared" si="100"/>
        <v>606269.94999999995</v>
      </c>
      <c r="G699" s="600"/>
      <c r="H699" s="317"/>
      <c r="I699" s="600"/>
      <c r="J699" s="600"/>
      <c r="K699" s="600"/>
      <c r="L699" s="600"/>
      <c r="M699" s="600"/>
      <c r="N699" s="600"/>
      <c r="O699" s="600">
        <f t="shared" si="101"/>
        <v>22046.18</v>
      </c>
      <c r="P699" s="601">
        <f t="shared" si="102"/>
        <v>27.5</v>
      </c>
      <c r="Q699" s="600">
        <f t="shared" si="103"/>
        <v>606269.94999999995</v>
      </c>
    </row>
    <row r="700" spans="1:17" s="598" customFormat="1" ht="15" outlineLevel="1">
      <c r="A700" s="597">
        <v>3840</v>
      </c>
      <c r="B700" s="598" t="s">
        <v>536</v>
      </c>
      <c r="C700" s="598">
        <v>1996</v>
      </c>
      <c r="D700" s="599">
        <v>22799.790000000001</v>
      </c>
      <c r="E700" s="601">
        <f>Input!$C$14-C700+0.5</f>
        <v>26.5</v>
      </c>
      <c r="F700" s="600">
        <f t="shared" si="100"/>
        <v>604194.43500000006</v>
      </c>
      <c r="G700" s="600"/>
      <c r="H700" s="317"/>
      <c r="I700" s="600"/>
      <c r="J700" s="600"/>
      <c r="K700" s="600"/>
      <c r="L700" s="600"/>
      <c r="M700" s="600"/>
      <c r="N700" s="600"/>
      <c r="O700" s="600">
        <f t="shared" si="101"/>
        <v>22799.790000000001</v>
      </c>
      <c r="P700" s="601">
        <f t="shared" si="102"/>
        <v>26.5</v>
      </c>
      <c r="Q700" s="600">
        <f t="shared" si="103"/>
        <v>604194.43500000006</v>
      </c>
    </row>
    <row r="701" spans="1:17" s="598" customFormat="1" ht="15" outlineLevel="1">
      <c r="A701" s="597">
        <v>3840</v>
      </c>
      <c r="B701" s="598" t="s">
        <v>536</v>
      </c>
      <c r="C701" s="598">
        <v>1997</v>
      </c>
      <c r="D701" s="599">
        <v>18281.34</v>
      </c>
      <c r="E701" s="601">
        <f>Input!$C$14-C701+0.5</f>
        <v>25.5</v>
      </c>
      <c r="F701" s="600">
        <f t="shared" si="100"/>
        <v>466174.16999999998</v>
      </c>
      <c r="G701" s="600"/>
      <c r="H701" s="317"/>
      <c r="I701" s="600"/>
      <c r="J701" s="600"/>
      <c r="K701" s="600"/>
      <c r="L701" s="600"/>
      <c r="M701" s="600"/>
      <c r="N701" s="600"/>
      <c r="O701" s="600">
        <f t="shared" si="101"/>
        <v>18281.34</v>
      </c>
      <c r="P701" s="601">
        <f t="shared" si="102"/>
        <v>25.5</v>
      </c>
      <c r="Q701" s="600">
        <f t="shared" si="103"/>
        <v>466174.16999999998</v>
      </c>
    </row>
    <row r="702" spans="1:17" s="598" customFormat="1" ht="15" outlineLevel="1">
      <c r="A702" s="597">
        <v>3840</v>
      </c>
      <c r="B702" s="598" t="s">
        <v>536</v>
      </c>
      <c r="C702" s="598">
        <v>1998</v>
      </c>
      <c r="D702" s="599">
        <v>19611.259999999998</v>
      </c>
      <c r="E702" s="601">
        <f>Input!$C$14-C702+0.5</f>
        <v>24.5</v>
      </c>
      <c r="F702" s="600">
        <f t="shared" si="100"/>
        <v>480475.86999999994</v>
      </c>
      <c r="G702" s="600"/>
      <c r="H702" s="317"/>
      <c r="I702" s="600"/>
      <c r="J702" s="600"/>
      <c r="K702" s="600"/>
      <c r="L702" s="600"/>
      <c r="M702" s="600"/>
      <c r="N702" s="600"/>
      <c r="O702" s="600">
        <f t="shared" si="101"/>
        <v>19611.259999999998</v>
      </c>
      <c r="P702" s="601">
        <f t="shared" si="102"/>
        <v>24.5</v>
      </c>
      <c r="Q702" s="600">
        <f t="shared" si="103"/>
        <v>480475.86999999994</v>
      </c>
    </row>
    <row r="703" spans="1:17" s="598" customFormat="1" ht="15" outlineLevel="1">
      <c r="A703" s="597">
        <v>3840</v>
      </c>
      <c r="B703" s="598" t="s">
        <v>536</v>
      </c>
      <c r="C703" s="598">
        <v>1999</v>
      </c>
      <c r="D703" s="599">
        <v>42773.709999999999</v>
      </c>
      <c r="E703" s="601">
        <f>Input!$C$14-C703+0.5</f>
        <v>23.5</v>
      </c>
      <c r="F703" s="600">
        <f t="shared" si="100"/>
        <v>1005182.1849999999</v>
      </c>
      <c r="G703" s="600"/>
      <c r="H703" s="317"/>
      <c r="I703" s="600"/>
      <c r="J703" s="600"/>
      <c r="K703" s="600"/>
      <c r="L703" s="600"/>
      <c r="M703" s="600"/>
      <c r="N703" s="600"/>
      <c r="O703" s="600">
        <f t="shared" si="101"/>
        <v>42773.709999999999</v>
      </c>
      <c r="P703" s="601">
        <f t="shared" si="102"/>
        <v>23.5</v>
      </c>
      <c r="Q703" s="600">
        <f t="shared" si="103"/>
        <v>1005182.1849999999</v>
      </c>
    </row>
    <row r="704" spans="1:17" s="598" customFormat="1" ht="15" outlineLevel="1">
      <c r="A704" s="597">
        <v>3840</v>
      </c>
      <c r="B704" s="598" t="s">
        <v>536</v>
      </c>
      <c r="C704" s="598">
        <v>2000</v>
      </c>
      <c r="D704" s="599">
        <v>48863.5</v>
      </c>
      <c r="E704" s="601">
        <f>Input!$C$14-C704+0.5</f>
        <v>22.5</v>
      </c>
      <c r="F704" s="600">
        <f t="shared" si="100"/>
        <v>1099428.75</v>
      </c>
      <c r="G704" s="600"/>
      <c r="H704" s="317"/>
      <c r="I704" s="600"/>
      <c r="J704" s="600"/>
      <c r="K704" s="600"/>
      <c r="L704" s="600"/>
      <c r="M704" s="600"/>
      <c r="N704" s="600"/>
      <c r="O704" s="600">
        <f t="shared" si="101"/>
        <v>48863.5</v>
      </c>
      <c r="P704" s="601">
        <f t="shared" si="102"/>
        <v>22.5</v>
      </c>
      <c r="Q704" s="600">
        <f t="shared" si="103"/>
        <v>1099428.75</v>
      </c>
    </row>
    <row r="705" spans="1:17" s="598" customFormat="1" ht="15" outlineLevel="1">
      <c r="A705" s="597">
        <v>3840</v>
      </c>
      <c r="B705" s="598" t="s">
        <v>536</v>
      </c>
      <c r="C705" s="598">
        <v>2001</v>
      </c>
      <c r="D705" s="599">
        <v>86411.239999999991</v>
      </c>
      <c r="E705" s="601">
        <f>Input!$C$14-C705+0.5</f>
        <v>21.5</v>
      </c>
      <c r="F705" s="600">
        <f t="shared" si="100"/>
        <v>1857841.6599999997</v>
      </c>
      <c r="G705" s="600"/>
      <c r="H705" s="317"/>
      <c r="I705" s="600"/>
      <c r="J705" s="600"/>
      <c r="K705" s="600"/>
      <c r="L705" s="600"/>
      <c r="M705" s="600"/>
      <c r="N705" s="600"/>
      <c r="O705" s="600">
        <f t="shared" si="101"/>
        <v>86411.239999999991</v>
      </c>
      <c r="P705" s="601">
        <f t="shared" si="102"/>
        <v>21.5</v>
      </c>
      <c r="Q705" s="600">
        <f t="shared" si="103"/>
        <v>1857841.6599999997</v>
      </c>
    </row>
    <row r="706" spans="1:17" s="598" customFormat="1" ht="15" outlineLevel="1">
      <c r="A706" s="597">
        <v>3840</v>
      </c>
      <c r="B706" s="598" t="s">
        <v>536</v>
      </c>
      <c r="C706" s="598">
        <v>2002</v>
      </c>
      <c r="D706" s="599">
        <v>41694.100000000006</v>
      </c>
      <c r="E706" s="601">
        <f>Input!$C$14-C706+0.5</f>
        <v>20.5</v>
      </c>
      <c r="F706" s="600">
        <f t="shared" si="100"/>
        <v>854729.05000000016</v>
      </c>
      <c r="G706" s="600"/>
      <c r="H706" s="317"/>
      <c r="I706" s="600"/>
      <c r="J706" s="600"/>
      <c r="K706" s="600"/>
      <c r="L706" s="600"/>
      <c r="M706" s="600"/>
      <c r="N706" s="600"/>
      <c r="O706" s="600">
        <f t="shared" si="101"/>
        <v>41694.100000000006</v>
      </c>
      <c r="P706" s="601">
        <f t="shared" si="102"/>
        <v>20.5</v>
      </c>
      <c r="Q706" s="600">
        <f t="shared" si="103"/>
        <v>854729.05000000016</v>
      </c>
    </row>
    <row r="707" spans="1:17" s="598" customFormat="1" ht="15" outlineLevel="1">
      <c r="A707" s="597">
        <v>3840</v>
      </c>
      <c r="B707" s="598" t="s">
        <v>536</v>
      </c>
      <c r="C707" s="598">
        <v>2003</v>
      </c>
      <c r="D707" s="599">
        <v>51483.179999999993</v>
      </c>
      <c r="E707" s="601">
        <f>Input!$C$14-C707+0.5</f>
        <v>19.5</v>
      </c>
      <c r="F707" s="600">
        <f t="shared" si="100"/>
        <v>1003922.0099999999</v>
      </c>
      <c r="G707" s="600"/>
      <c r="H707" s="317"/>
      <c r="I707" s="600"/>
      <c r="J707" s="600"/>
      <c r="K707" s="600"/>
      <c r="L707" s="600"/>
      <c r="M707" s="600"/>
      <c r="N707" s="600"/>
      <c r="O707" s="600">
        <f t="shared" si="101"/>
        <v>51483.179999999993</v>
      </c>
      <c r="P707" s="601">
        <f t="shared" si="102"/>
        <v>19.5</v>
      </c>
      <c r="Q707" s="600">
        <f t="shared" si="103"/>
        <v>1003922.0099999999</v>
      </c>
    </row>
    <row r="708" spans="1:17" s="598" customFormat="1" ht="15" outlineLevel="1">
      <c r="A708" s="597">
        <v>3840</v>
      </c>
      <c r="B708" s="598" t="s">
        <v>536</v>
      </c>
      <c r="C708" s="598">
        <v>2004</v>
      </c>
      <c r="D708" s="599">
        <v>51232.699999999997</v>
      </c>
      <c r="E708" s="601">
        <f>Input!$C$14-C708+0.5</f>
        <v>18.5</v>
      </c>
      <c r="F708" s="600">
        <f t="shared" si="100"/>
        <v>947804.94999999995</v>
      </c>
      <c r="G708" s="600"/>
      <c r="H708" s="317"/>
      <c r="I708" s="600"/>
      <c r="J708" s="600"/>
      <c r="K708" s="600"/>
      <c r="L708" s="600"/>
      <c r="M708" s="600"/>
      <c r="N708" s="600"/>
      <c r="O708" s="600">
        <f t="shared" si="101"/>
        <v>51232.699999999997</v>
      </c>
      <c r="P708" s="601">
        <f t="shared" si="102"/>
        <v>18.5</v>
      </c>
      <c r="Q708" s="600">
        <f t="shared" si="103"/>
        <v>947804.94999999995</v>
      </c>
    </row>
    <row r="709" spans="1:17" s="598" customFormat="1" ht="15" outlineLevel="1">
      <c r="A709" s="597">
        <v>3840</v>
      </c>
      <c r="B709" s="598" t="s">
        <v>536</v>
      </c>
      <c r="C709" s="598">
        <v>2005</v>
      </c>
      <c r="D709" s="599">
        <v>45513.849999999999</v>
      </c>
      <c r="E709" s="601">
        <f>Input!$C$14-C709+0.5</f>
        <v>17.5</v>
      </c>
      <c r="F709" s="600">
        <f t="shared" si="100"/>
        <v>796492.375</v>
      </c>
      <c r="G709" s="600"/>
      <c r="H709" s="317"/>
      <c r="I709" s="600"/>
      <c r="J709" s="600"/>
      <c r="K709" s="600"/>
      <c r="L709" s="600"/>
      <c r="M709" s="600"/>
      <c r="N709" s="600"/>
      <c r="O709" s="600">
        <f t="shared" si="101"/>
        <v>45513.849999999999</v>
      </c>
      <c r="P709" s="601">
        <f t="shared" si="102"/>
        <v>17.5</v>
      </c>
      <c r="Q709" s="600">
        <f t="shared" si="103"/>
        <v>796492.375</v>
      </c>
    </row>
    <row r="710" spans="1:17" s="598" customFormat="1" ht="15" outlineLevel="1">
      <c r="A710" s="597">
        <v>3840</v>
      </c>
      <c r="B710" s="598" t="s">
        <v>536</v>
      </c>
      <c r="C710" s="598">
        <v>2006</v>
      </c>
      <c r="D710" s="599">
        <v>78454.360000000001</v>
      </c>
      <c r="E710" s="601">
        <f>Input!$C$14-C710+0.5</f>
        <v>16.5</v>
      </c>
      <c r="F710" s="600">
        <f t="shared" si="100"/>
        <v>1294496.9399999999</v>
      </c>
      <c r="G710" s="600"/>
      <c r="H710" s="317"/>
      <c r="I710" s="600"/>
      <c r="J710" s="600"/>
      <c r="K710" s="600"/>
      <c r="L710" s="600"/>
      <c r="M710" s="600"/>
      <c r="N710" s="600"/>
      <c r="O710" s="600">
        <f t="shared" si="101"/>
        <v>78454.360000000001</v>
      </c>
      <c r="P710" s="601">
        <f t="shared" si="102"/>
        <v>16.5</v>
      </c>
      <c r="Q710" s="600">
        <f t="shared" si="103"/>
        <v>1294496.9399999999</v>
      </c>
    </row>
    <row r="711" spans="1:17" s="598" customFormat="1" ht="15" outlineLevel="1">
      <c r="A711" s="597">
        <v>3840</v>
      </c>
      <c r="B711" s="598" t="s">
        <v>536</v>
      </c>
      <c r="C711" s="598">
        <v>2007</v>
      </c>
      <c r="D711" s="599">
        <v>51045.339999999997</v>
      </c>
      <c r="E711" s="601">
        <f>Input!$C$14-C711+0.5</f>
        <v>15.5</v>
      </c>
      <c r="F711" s="600">
        <f t="shared" si="100"/>
        <v>791202.7699999999</v>
      </c>
      <c r="G711" s="600"/>
      <c r="H711" s="317"/>
      <c r="I711" s="600"/>
      <c r="J711" s="600"/>
      <c r="K711" s="600"/>
      <c r="L711" s="600"/>
      <c r="M711" s="600"/>
      <c r="N711" s="600"/>
      <c r="O711" s="600">
        <f t="shared" si="101"/>
        <v>51045.339999999997</v>
      </c>
      <c r="P711" s="601">
        <f t="shared" si="102"/>
        <v>15.5</v>
      </c>
      <c r="Q711" s="600">
        <f t="shared" si="103"/>
        <v>791202.7699999999</v>
      </c>
    </row>
    <row r="712" spans="1:17" s="598" customFormat="1" ht="15" outlineLevel="1">
      <c r="A712" s="597">
        <v>3840</v>
      </c>
      <c r="B712" s="598" t="s">
        <v>536</v>
      </c>
      <c r="C712" s="598">
        <v>2008</v>
      </c>
      <c r="D712" s="599">
        <v>46745.18</v>
      </c>
      <c r="E712" s="601">
        <f>Input!$C$14-C712+0.5</f>
        <v>14.5</v>
      </c>
      <c r="F712" s="600">
        <f t="shared" si="100"/>
        <v>677805.10999999999</v>
      </c>
      <c r="G712" s="600"/>
      <c r="H712" s="317"/>
      <c r="I712" s="600"/>
      <c r="J712" s="600"/>
      <c r="K712" s="600"/>
      <c r="L712" s="600"/>
      <c r="M712" s="600"/>
      <c r="N712" s="600"/>
      <c r="O712" s="600">
        <f t="shared" si="101"/>
        <v>46745.18</v>
      </c>
      <c r="P712" s="601">
        <f t="shared" si="102"/>
        <v>14.5</v>
      </c>
      <c r="Q712" s="600">
        <f t="shared" si="103"/>
        <v>677805.10999999999</v>
      </c>
    </row>
    <row r="713" spans="1:17" s="598" customFormat="1" ht="15" outlineLevel="1">
      <c r="A713" s="597">
        <v>3840</v>
      </c>
      <c r="B713" s="598" t="s">
        <v>536</v>
      </c>
      <c r="C713" s="598">
        <v>2009</v>
      </c>
      <c r="D713" s="599">
        <v>29695.990000000002</v>
      </c>
      <c r="E713" s="601">
        <f>Input!$C$14-C713+0.5</f>
        <v>13.5</v>
      </c>
      <c r="F713" s="600">
        <f t="shared" si="100"/>
        <v>400895.86500000005</v>
      </c>
      <c r="G713" s="600"/>
      <c r="H713" s="317"/>
      <c r="I713" s="600"/>
      <c r="J713" s="600"/>
      <c r="K713" s="600"/>
      <c r="L713" s="600"/>
      <c r="M713" s="600"/>
      <c r="N713" s="600"/>
      <c r="O713" s="600">
        <f t="shared" si="101"/>
        <v>29695.990000000002</v>
      </c>
      <c r="P713" s="601">
        <f t="shared" si="102"/>
        <v>13.5</v>
      </c>
      <c r="Q713" s="600">
        <f t="shared" si="103"/>
        <v>400895.86500000005</v>
      </c>
    </row>
    <row r="714" spans="1:17" s="598" customFormat="1" ht="15" outlineLevel="1">
      <c r="A714" s="597">
        <v>3840</v>
      </c>
      <c r="B714" s="598" t="s">
        <v>536</v>
      </c>
      <c r="C714" s="598">
        <v>2010</v>
      </c>
      <c r="D714" s="599">
        <v>28814.869999999995</v>
      </c>
      <c r="E714" s="601">
        <f>Input!$C$14-C714+0.5</f>
        <v>12.5</v>
      </c>
      <c r="F714" s="600">
        <f t="shared" si="100"/>
        <v>360185.87499999994</v>
      </c>
      <c r="G714" s="600"/>
      <c r="H714" s="317"/>
      <c r="I714" s="600"/>
      <c r="J714" s="600"/>
      <c r="K714" s="600"/>
      <c r="L714" s="600"/>
      <c r="M714" s="600"/>
      <c r="N714" s="600"/>
      <c r="O714" s="600">
        <f t="shared" si="101"/>
        <v>28814.869999999995</v>
      </c>
      <c r="P714" s="601">
        <f t="shared" si="102"/>
        <v>12.5</v>
      </c>
      <c r="Q714" s="600">
        <f t="shared" si="103"/>
        <v>360185.87499999994</v>
      </c>
    </row>
    <row r="715" spans="1:17" s="598" customFormat="1" ht="15" outlineLevel="1">
      <c r="A715" s="597">
        <v>3840</v>
      </c>
      <c r="B715" s="598" t="s">
        <v>536</v>
      </c>
      <c r="C715" s="598">
        <v>2011</v>
      </c>
      <c r="D715" s="599">
        <v>24043.589999999997</v>
      </c>
      <c r="E715" s="601">
        <f>Input!$C$14-C715+0.5</f>
        <v>11.5</v>
      </c>
      <c r="F715" s="600">
        <f t="shared" si="100"/>
        <v>276501.28499999997</v>
      </c>
      <c r="G715" s="600"/>
      <c r="H715" s="317"/>
      <c r="I715" s="600"/>
      <c r="J715" s="600"/>
      <c r="K715" s="600"/>
      <c r="L715" s="600"/>
      <c r="M715" s="600"/>
      <c r="N715" s="600"/>
      <c r="O715" s="600">
        <f t="shared" si="101"/>
        <v>24043.589999999997</v>
      </c>
      <c r="P715" s="601">
        <f t="shared" si="102"/>
        <v>11.5</v>
      </c>
      <c r="Q715" s="600">
        <f t="shared" si="103"/>
        <v>276501.28499999997</v>
      </c>
    </row>
    <row r="716" spans="1:17" s="598" customFormat="1" ht="15" outlineLevel="1">
      <c r="A716" s="597">
        <v>3840</v>
      </c>
      <c r="B716" s="598" t="s">
        <v>536</v>
      </c>
      <c r="C716" s="598">
        <v>2012</v>
      </c>
      <c r="D716" s="599">
        <v>25620.890000000003</v>
      </c>
      <c r="E716" s="601">
        <f>Input!$C$14-C716+0.5</f>
        <v>10.5</v>
      </c>
      <c r="F716" s="600">
        <f t="shared" si="100"/>
        <v>269019.34500000003</v>
      </c>
      <c r="G716" s="600"/>
      <c r="H716" s="317"/>
      <c r="I716" s="600"/>
      <c r="J716" s="600"/>
      <c r="K716" s="600"/>
      <c r="L716" s="600"/>
      <c r="M716" s="600"/>
      <c r="N716" s="600"/>
      <c r="O716" s="600">
        <f t="shared" si="101"/>
        <v>25620.890000000003</v>
      </c>
      <c r="P716" s="601">
        <f t="shared" si="102"/>
        <v>10.5</v>
      </c>
      <c r="Q716" s="600">
        <f t="shared" si="103"/>
        <v>269019.34500000003</v>
      </c>
    </row>
    <row r="717" spans="1:17" s="598" customFormat="1" ht="15" outlineLevel="1">
      <c r="A717" s="597">
        <v>3840</v>
      </c>
      <c r="B717" s="598" t="s">
        <v>536</v>
      </c>
      <c r="C717" s="598">
        <v>2018</v>
      </c>
      <c r="D717" s="599">
        <v>206.45000000000002</v>
      </c>
      <c r="E717" s="601">
        <f>Input!$C$14-C717+0.5</f>
        <v>4.5</v>
      </c>
      <c r="F717" s="600">
        <f t="shared" si="100"/>
        <v>929.02500000000009</v>
      </c>
      <c r="G717" s="600"/>
      <c r="H717" s="317"/>
      <c r="I717" s="600"/>
      <c r="J717" s="600"/>
      <c r="K717" s="600"/>
      <c r="L717" s="600"/>
      <c r="M717" s="600"/>
      <c r="N717" s="600"/>
      <c r="O717" s="600">
        <f t="shared" si="101"/>
        <v>206.45000000000002</v>
      </c>
      <c r="P717" s="601">
        <f t="shared" si="102"/>
        <v>4.5</v>
      </c>
      <c r="Q717" s="600">
        <f t="shared" si="103"/>
        <v>929.02500000000009</v>
      </c>
    </row>
    <row r="718" spans="1:17" s="598" customFormat="1" ht="15" outlineLevel="1">
      <c r="A718" s="597">
        <v>3840</v>
      </c>
      <c r="B718" s="598" t="s">
        <v>536</v>
      </c>
      <c r="C718" s="598">
        <v>2019</v>
      </c>
      <c r="D718" s="599">
        <v>343.04999999999995</v>
      </c>
      <c r="E718" s="601">
        <f>Input!$C$14-C718+0.5</f>
        <v>3.5</v>
      </c>
      <c r="F718" s="600">
        <f t="shared" si="100"/>
        <v>1200.6749999999997</v>
      </c>
      <c r="G718" s="600"/>
      <c r="H718" s="317"/>
      <c r="I718" s="600"/>
      <c r="J718" s="600"/>
      <c r="K718" s="600"/>
      <c r="L718" s="600"/>
      <c r="M718" s="600"/>
      <c r="N718" s="600"/>
      <c r="O718" s="600">
        <f t="shared" si="101"/>
        <v>343.04999999999995</v>
      </c>
      <c r="P718" s="601">
        <f t="shared" si="102"/>
        <v>3.5</v>
      </c>
      <c r="Q718" s="600">
        <f t="shared" si="103"/>
        <v>1200.6749999999997</v>
      </c>
    </row>
    <row r="719" spans="1:17" s="598" customFormat="1" ht="15" outlineLevel="1">
      <c r="A719" s="597">
        <v>3840</v>
      </c>
      <c r="B719" s="598" t="s">
        <v>536</v>
      </c>
      <c r="C719" s="598">
        <v>2021</v>
      </c>
      <c r="D719" s="599">
        <v>10001.719999999999</v>
      </c>
      <c r="E719" s="601">
        <f>Input!$C$14-C719+0.5</f>
        <v>1.5</v>
      </c>
      <c r="F719" s="600">
        <f t="shared" si="100"/>
        <v>15002.579999999998</v>
      </c>
      <c r="G719" s="600"/>
      <c r="H719" s="317"/>
      <c r="I719" s="600"/>
      <c r="J719" s="600"/>
      <c r="K719" s="600"/>
      <c r="L719" s="600"/>
      <c r="M719" s="600"/>
      <c r="N719" s="600"/>
      <c r="O719" s="600">
        <f t="shared" si="101"/>
        <v>10001.719999999999</v>
      </c>
      <c r="P719" s="601">
        <f t="shared" si="102"/>
        <v>1.5</v>
      </c>
      <c r="Q719" s="600">
        <f t="shared" si="103"/>
        <v>15002.579999999998</v>
      </c>
    </row>
    <row r="720" spans="1:20" s="598" customFormat="1" ht="13.5" thickBot="1">
      <c r="A720" s="563">
        <f>A719</f>
        <v>3840</v>
      </c>
      <c r="B720" s="564" t="s">
        <v>496</v>
      </c>
      <c r="D720" s="357">
        <f>SUM(D664:D719)</f>
        <v>1053753.0700000001</v>
      </c>
      <c r="E720" s="565">
        <f>ROUND(F720/D720,1)</f>
        <v>23.600000000000001</v>
      </c>
      <c r="F720" s="357">
        <f>SUM(F664:F719)</f>
        <v>24878681.564999998</v>
      </c>
      <c r="G720" s="358"/>
      <c r="H720" s="318"/>
      <c r="I720" s="357">
        <f>SUM(I664:I719)</f>
        <v>0</v>
      </c>
      <c r="J720" s="357">
        <f>SUM(J664:J719)</f>
        <v>0</v>
      </c>
      <c r="K720" s="357">
        <f t="shared" si="104" ref="K720:N720">SUM(K664:K719)</f>
        <v>0</v>
      </c>
      <c r="L720" s="357">
        <f t="shared" si="104"/>
        <v>0</v>
      </c>
      <c r="M720" s="357">
        <f t="shared" si="104"/>
        <v>0</v>
      </c>
      <c r="N720" s="357">
        <f t="shared" si="104"/>
        <v>0</v>
      </c>
      <c r="O720" s="357">
        <f>SUM(O664:O719)</f>
        <v>1053753.0700000001</v>
      </c>
      <c r="P720" s="565">
        <f>ROUND(Q720/O720,1)</f>
        <v>23.600000000000001</v>
      </c>
      <c r="Q720" s="357">
        <f>SUM(Q664:Q719)</f>
        <v>24878681.564999998</v>
      </c>
      <c r="S720" s="604">
        <f>'Sch. G 2021'!H28</f>
        <v>1053753</v>
      </c>
      <c r="T720" s="679">
        <f>D720-S720</f>
        <v>0.07000000006519258</v>
      </c>
    </row>
    <row r="721" spans="1:20" s="598" customFormat="1" ht="15.75" thickTop="1">
      <c r="A721" s="566">
        <f>A719</f>
        <v>3840</v>
      </c>
      <c r="B721" s="490" t="str">
        <f>B719&amp;" - Additions"</f>
        <v>House Reg Installs - Additions</v>
      </c>
      <c r="C721" s="490">
        <v>2022</v>
      </c>
      <c r="D721" s="567">
        <f>'Sch. H'!N28</f>
        <v>27645.829721680177</v>
      </c>
      <c r="E721" s="601">
        <f>Input!$C$14-C721+0.5</f>
        <v>0.5</v>
      </c>
      <c r="F721" s="600">
        <f>D721*E721</f>
        <v>13822.914860840088</v>
      </c>
      <c r="G721" s="600"/>
      <c r="H721" s="317"/>
      <c r="I721" s="600"/>
      <c r="J721" s="600"/>
      <c r="K721" s="600"/>
      <c r="L721" s="600"/>
      <c r="M721" s="600"/>
      <c r="N721" s="600"/>
      <c r="O721" s="600">
        <f t="shared" si="105" ref="O721:O722">SUM(D721,I721:N721)</f>
        <v>27645.829721680177</v>
      </c>
      <c r="P721" s="601">
        <f t="shared" si="102"/>
        <v>0.5</v>
      </c>
      <c r="Q721" s="600">
        <f t="shared" si="103"/>
        <v>13822.914860840088</v>
      </c>
      <c r="T721" s="679"/>
    </row>
    <row r="722" spans="1:20" s="598" customFormat="1" ht="15">
      <c r="A722" s="566">
        <f>A721</f>
        <v>3840</v>
      </c>
      <c r="B722" s="490" t="str">
        <f>B719&amp;" - Retirements"</f>
        <v>House Reg Installs - Retirements</v>
      </c>
      <c r="C722" s="490">
        <v>2022</v>
      </c>
      <c r="D722" s="567">
        <f>-'Sch. F 2022'!AG90</f>
        <v>0</v>
      </c>
      <c r="E722" s="601">
        <f>'Sch. F 2022'!AG92</f>
        <v>0</v>
      </c>
      <c r="F722" s="600">
        <f>D722*E722</f>
        <v>0</v>
      </c>
      <c r="G722" s="600"/>
      <c r="H722" s="317"/>
      <c r="I722" s="600"/>
      <c r="J722" s="600"/>
      <c r="K722" s="600"/>
      <c r="L722" s="600"/>
      <c r="M722" s="600"/>
      <c r="N722" s="600"/>
      <c r="O722" s="600">
        <f t="shared" si="105"/>
        <v>0</v>
      </c>
      <c r="P722" s="601">
        <f t="shared" si="102"/>
        <v>0</v>
      </c>
      <c r="Q722" s="600">
        <f t="shared" si="103"/>
        <v>0</v>
      </c>
      <c r="T722" s="679"/>
    </row>
    <row r="723" spans="1:20" s="598" customFormat="1" ht="13.5" thickBot="1">
      <c r="A723" s="566"/>
      <c r="B723" s="564" t="s">
        <v>557</v>
      </c>
      <c r="C723" s="490"/>
      <c r="D723" s="568">
        <f>SUM(D720:D722)</f>
        <v>1081398.8997216802</v>
      </c>
      <c r="E723" s="565">
        <f>ROUND(F723/D723,1)</f>
        <v>23</v>
      </c>
      <c r="F723" s="569">
        <f>SUM(F720:F722)</f>
        <v>24892504.479860839</v>
      </c>
      <c r="G723" s="570"/>
      <c r="H723" s="372"/>
      <c r="I723" s="568">
        <f>SUM(I720:I722)</f>
        <v>0</v>
      </c>
      <c r="J723" s="568">
        <f>SUM(J720:J722)</f>
        <v>0</v>
      </c>
      <c r="K723" s="568">
        <f t="shared" si="106" ref="K723:N723">SUM(K720:K722)</f>
        <v>0</v>
      </c>
      <c r="L723" s="568">
        <f t="shared" si="106"/>
        <v>0</v>
      </c>
      <c r="M723" s="568">
        <f t="shared" si="106"/>
        <v>0</v>
      </c>
      <c r="N723" s="568">
        <f t="shared" si="106"/>
        <v>0</v>
      </c>
      <c r="O723" s="568">
        <f>SUM(O720:O722)</f>
        <v>1081398.8997216802</v>
      </c>
      <c r="P723" s="565">
        <f>ROUND(Q723/O723,1)</f>
        <v>23</v>
      </c>
      <c r="Q723" s="569">
        <f>SUM(Q720:Q722)</f>
        <v>24892504.479860839</v>
      </c>
      <c r="S723" s="604">
        <f>'Sch. G 2022'!H28</f>
        <v>1081399</v>
      </c>
      <c r="T723" s="679">
        <f>O723-S723</f>
        <v>-0.10027831979095936</v>
      </c>
    </row>
    <row r="724" spans="1:20" s="598" customFormat="1" ht="15" thickTop="1">
      <c r="A724" s="563"/>
      <c r="B724" s="571"/>
      <c r="D724" s="358"/>
      <c r="E724" s="572"/>
      <c r="F724" s="358"/>
      <c r="G724" s="358"/>
      <c r="H724" s="318"/>
      <c r="I724" s="358"/>
      <c r="J724" s="358"/>
      <c r="K724" s="358"/>
      <c r="L724" s="358"/>
      <c r="M724" s="358"/>
      <c r="N724" s="358"/>
      <c r="O724" s="600"/>
      <c r="P724" s="601"/>
      <c r="Q724" s="600"/>
      <c r="T724" s="679"/>
    </row>
    <row r="725" spans="1:17" s="598" customFormat="1" ht="15" outlineLevel="1">
      <c r="A725" s="597">
        <v>3850</v>
      </c>
      <c r="B725" s="598" t="s">
        <v>537</v>
      </c>
      <c r="C725" s="598">
        <v>1966</v>
      </c>
      <c r="D725" s="599">
        <v>60</v>
      </c>
      <c r="E725" s="601">
        <f>Input!$C$14-C725+0.5</f>
        <v>56.5</v>
      </c>
      <c r="F725" s="600">
        <f t="shared" si="107" ref="F725:F758">D725*E725</f>
        <v>3390</v>
      </c>
      <c r="G725" s="600"/>
      <c r="H725" s="317"/>
      <c r="I725" s="600"/>
      <c r="J725" s="600"/>
      <c r="K725" s="600"/>
      <c r="L725" s="600"/>
      <c r="M725" s="600"/>
      <c r="N725" s="600"/>
      <c r="O725" s="600">
        <f t="shared" si="108" ref="O725:O758">SUM(D725,I725:N725)</f>
        <v>60</v>
      </c>
      <c r="P725" s="601">
        <f t="shared" si="102"/>
        <v>56.5</v>
      </c>
      <c r="Q725" s="600">
        <f t="shared" si="103"/>
        <v>3390</v>
      </c>
    </row>
    <row r="726" spans="1:17" s="598" customFormat="1" ht="15" outlineLevel="1">
      <c r="A726" s="597">
        <v>3850</v>
      </c>
      <c r="B726" s="598" t="s">
        <v>537</v>
      </c>
      <c r="C726" s="598">
        <v>1971</v>
      </c>
      <c r="D726" s="599">
        <v>28480</v>
      </c>
      <c r="E726" s="601">
        <f>Input!$C$14-C726+0.5</f>
        <v>51.5</v>
      </c>
      <c r="F726" s="600">
        <f>D726*E726</f>
        <v>1466720</v>
      </c>
      <c r="G726" s="600"/>
      <c r="H726" s="317"/>
      <c r="I726" s="600"/>
      <c r="J726" s="600"/>
      <c r="K726" s="600"/>
      <c r="L726" s="600"/>
      <c r="M726" s="600"/>
      <c r="N726" s="600"/>
      <c r="O726" s="600">
        <f t="shared" si="108"/>
        <v>28480</v>
      </c>
      <c r="P726" s="601">
        <f>E726</f>
        <v>51.5</v>
      </c>
      <c r="Q726" s="600">
        <f>O726*P726</f>
        <v>1466720</v>
      </c>
    </row>
    <row r="727" spans="1:17" s="598" customFormat="1" ht="15" outlineLevel="1">
      <c r="A727" s="597">
        <v>3850</v>
      </c>
      <c r="B727" s="598" t="s">
        <v>537</v>
      </c>
      <c r="C727" s="598">
        <v>1981</v>
      </c>
      <c r="D727" s="599">
        <v>4745</v>
      </c>
      <c r="E727" s="601">
        <f>Input!$C$14-C727+0.5</f>
        <v>41.5</v>
      </c>
      <c r="F727" s="600">
        <f>D727*E727</f>
        <v>196917.5</v>
      </c>
      <c r="G727" s="600"/>
      <c r="H727" s="317"/>
      <c r="I727" s="600"/>
      <c r="J727" s="600"/>
      <c r="K727" s="600"/>
      <c r="L727" s="600"/>
      <c r="M727" s="600"/>
      <c r="N727" s="600"/>
      <c r="O727" s="600">
        <f t="shared" si="108"/>
        <v>4745</v>
      </c>
      <c r="P727" s="601">
        <f>E727</f>
        <v>41.5</v>
      </c>
      <c r="Q727" s="600">
        <f>O727*P727</f>
        <v>196917.5</v>
      </c>
    </row>
    <row r="728" spans="1:17" s="598" customFormat="1" ht="15" outlineLevel="1">
      <c r="A728" s="597">
        <v>3850</v>
      </c>
      <c r="B728" s="598" t="s">
        <v>537</v>
      </c>
      <c r="C728" s="598">
        <v>1986</v>
      </c>
      <c r="D728" s="599">
        <v>1672.5699999999999</v>
      </c>
      <c r="E728" s="601">
        <f>Input!$C$14-C728+0.5</f>
        <v>36.5</v>
      </c>
      <c r="F728" s="600">
        <f t="shared" si="107"/>
        <v>61048.805</v>
      </c>
      <c r="G728" s="600"/>
      <c r="H728" s="317"/>
      <c r="I728" s="600"/>
      <c r="J728" s="600"/>
      <c r="K728" s="600"/>
      <c r="L728" s="600"/>
      <c r="M728" s="600"/>
      <c r="N728" s="600"/>
      <c r="O728" s="600">
        <f t="shared" si="108"/>
        <v>1672.5699999999999</v>
      </c>
      <c r="P728" s="601">
        <f t="shared" si="102"/>
        <v>36.5</v>
      </c>
      <c r="Q728" s="600">
        <f t="shared" si="103"/>
        <v>61048.805</v>
      </c>
    </row>
    <row r="729" spans="1:17" s="598" customFormat="1" ht="15" outlineLevel="1">
      <c r="A729" s="597">
        <v>3850</v>
      </c>
      <c r="B729" s="598" t="s">
        <v>537</v>
      </c>
      <c r="C729" s="598">
        <v>1988</v>
      </c>
      <c r="D729" s="599">
        <v>2678.9899999999998</v>
      </c>
      <c r="E729" s="601">
        <f>Input!$C$14-C729+0.5</f>
        <v>34.5</v>
      </c>
      <c r="F729" s="600">
        <f t="shared" si="107"/>
        <v>92425.154999999999</v>
      </c>
      <c r="G729" s="600"/>
      <c r="H729" s="317"/>
      <c r="I729" s="600"/>
      <c r="J729" s="600"/>
      <c r="K729" s="600"/>
      <c r="L729" s="600"/>
      <c r="M729" s="600"/>
      <c r="N729" s="600"/>
      <c r="O729" s="600">
        <f t="shared" si="108"/>
        <v>2678.9899999999998</v>
      </c>
      <c r="P729" s="601">
        <f t="shared" si="102"/>
        <v>34.5</v>
      </c>
      <c r="Q729" s="600">
        <f t="shared" si="103"/>
        <v>92425.154999999999</v>
      </c>
    </row>
    <row r="730" spans="1:17" s="598" customFormat="1" ht="15" outlineLevel="1">
      <c r="A730" s="597">
        <v>3850</v>
      </c>
      <c r="B730" s="598" t="s">
        <v>537</v>
      </c>
      <c r="C730" s="598">
        <v>1989</v>
      </c>
      <c r="D730" s="599">
        <v>98674.490000000005</v>
      </c>
      <c r="E730" s="601">
        <f>Input!$C$14-C730+0.5</f>
        <v>33.5</v>
      </c>
      <c r="F730" s="600">
        <f t="shared" si="107"/>
        <v>3305595.415</v>
      </c>
      <c r="G730" s="600"/>
      <c r="H730" s="317"/>
      <c r="I730" s="600"/>
      <c r="J730" s="600"/>
      <c r="K730" s="600"/>
      <c r="L730" s="600"/>
      <c r="M730" s="600"/>
      <c r="N730" s="600"/>
      <c r="O730" s="600">
        <f t="shared" si="108"/>
        <v>98674.490000000005</v>
      </c>
      <c r="P730" s="601">
        <f t="shared" si="102"/>
        <v>33.5</v>
      </c>
      <c r="Q730" s="600">
        <f t="shared" si="103"/>
        <v>3305595.415</v>
      </c>
    </row>
    <row r="731" spans="1:17" s="598" customFormat="1" ht="15" outlineLevel="1">
      <c r="A731" s="597">
        <v>3850</v>
      </c>
      <c r="B731" s="598" t="s">
        <v>537</v>
      </c>
      <c r="C731" s="598">
        <v>1990</v>
      </c>
      <c r="D731" s="599">
        <v>57958.809999999998</v>
      </c>
      <c r="E731" s="601">
        <f>Input!$C$14-C731+0.5</f>
        <v>32.5</v>
      </c>
      <c r="F731" s="600">
        <f t="shared" si="107"/>
        <v>1883661.325</v>
      </c>
      <c r="G731" s="600"/>
      <c r="H731" s="317"/>
      <c r="I731" s="600"/>
      <c r="J731" s="600"/>
      <c r="K731" s="600"/>
      <c r="L731" s="600"/>
      <c r="M731" s="600"/>
      <c r="N731" s="600"/>
      <c r="O731" s="600">
        <f t="shared" si="108"/>
        <v>57958.809999999998</v>
      </c>
      <c r="P731" s="601">
        <f t="shared" si="102"/>
        <v>32.5</v>
      </c>
      <c r="Q731" s="600">
        <f t="shared" si="103"/>
        <v>1883661.325</v>
      </c>
    </row>
    <row r="732" spans="1:17" s="598" customFormat="1" ht="15" outlineLevel="1">
      <c r="A732" s="597">
        <v>3850</v>
      </c>
      <c r="B732" s="598" t="s">
        <v>537</v>
      </c>
      <c r="C732" s="598">
        <v>1991</v>
      </c>
      <c r="D732" s="599">
        <v>162784.64999999997</v>
      </c>
      <c r="E732" s="601">
        <f>Input!$C$14-C732+0.5</f>
        <v>31.5</v>
      </c>
      <c r="F732" s="600">
        <f t="shared" si="107"/>
        <v>5127716.4749999987</v>
      </c>
      <c r="G732" s="600"/>
      <c r="H732" s="317"/>
      <c r="I732" s="600"/>
      <c r="J732" s="600"/>
      <c r="K732" s="600"/>
      <c r="L732" s="600"/>
      <c r="M732" s="600"/>
      <c r="N732" s="600"/>
      <c r="O732" s="600">
        <f t="shared" si="108"/>
        <v>162784.64999999997</v>
      </c>
      <c r="P732" s="601">
        <f t="shared" si="102"/>
        <v>31.5</v>
      </c>
      <c r="Q732" s="600">
        <f t="shared" si="103"/>
        <v>5127716.4749999987</v>
      </c>
    </row>
    <row r="733" spans="1:17" s="598" customFormat="1" ht="15" outlineLevel="1">
      <c r="A733" s="597">
        <v>3850</v>
      </c>
      <c r="B733" s="598" t="s">
        <v>537</v>
      </c>
      <c r="C733" s="598">
        <v>1992</v>
      </c>
      <c r="D733" s="599">
        <v>19052.16</v>
      </c>
      <c r="E733" s="601">
        <f>Input!$C$14-C733+0.5</f>
        <v>30.5</v>
      </c>
      <c r="F733" s="600">
        <f t="shared" si="107"/>
        <v>581090.88</v>
      </c>
      <c r="G733" s="600"/>
      <c r="H733" s="317"/>
      <c r="I733" s="600"/>
      <c r="J733" s="600"/>
      <c r="K733" s="600"/>
      <c r="L733" s="600"/>
      <c r="M733" s="600"/>
      <c r="N733" s="600"/>
      <c r="O733" s="600">
        <f t="shared" si="108"/>
        <v>19052.16</v>
      </c>
      <c r="P733" s="601">
        <f t="shared" si="102"/>
        <v>30.5</v>
      </c>
      <c r="Q733" s="600">
        <f t="shared" si="103"/>
        <v>581090.88</v>
      </c>
    </row>
    <row r="734" spans="1:17" s="598" customFormat="1" ht="15" outlineLevel="1">
      <c r="A734" s="597">
        <v>3850</v>
      </c>
      <c r="B734" s="598" t="s">
        <v>537</v>
      </c>
      <c r="C734" s="598">
        <v>1993</v>
      </c>
      <c r="D734" s="599">
        <f>21727.16+1200</f>
        <v>22927.16</v>
      </c>
      <c r="E734" s="601">
        <f>Input!$C$14-C734+0.5</f>
        <v>29.5</v>
      </c>
      <c r="F734" s="600">
        <f t="shared" si="107"/>
        <v>676351.21999999997</v>
      </c>
      <c r="G734" s="600"/>
      <c r="H734" s="317"/>
      <c r="I734" s="600"/>
      <c r="J734" s="600"/>
      <c r="K734" s="600"/>
      <c r="L734" s="600"/>
      <c r="M734" s="600"/>
      <c r="N734" s="600"/>
      <c r="O734" s="600">
        <f t="shared" si="108"/>
        <v>22927.16</v>
      </c>
      <c r="P734" s="601">
        <f t="shared" si="102"/>
        <v>29.5</v>
      </c>
      <c r="Q734" s="600">
        <f t="shared" si="103"/>
        <v>676351.21999999997</v>
      </c>
    </row>
    <row r="735" spans="1:17" s="598" customFormat="1" ht="15" outlineLevel="1">
      <c r="A735" s="597">
        <v>3850</v>
      </c>
      <c r="B735" s="598" t="s">
        <v>537</v>
      </c>
      <c r="C735" s="598">
        <v>1994</v>
      </c>
      <c r="D735" s="599">
        <f>133515.61+63140</f>
        <v>196655.60999999999</v>
      </c>
      <c r="E735" s="601">
        <f>Input!$C$14-C735+0.5</f>
        <v>28.5</v>
      </c>
      <c r="F735" s="600">
        <f t="shared" si="107"/>
        <v>5604684.8849999998</v>
      </c>
      <c r="G735" s="600"/>
      <c r="H735" s="317"/>
      <c r="I735" s="600"/>
      <c r="J735" s="600"/>
      <c r="K735" s="600"/>
      <c r="L735" s="600"/>
      <c r="M735" s="600"/>
      <c r="N735" s="600"/>
      <c r="O735" s="600">
        <f t="shared" si="108"/>
        <v>196655.60999999999</v>
      </c>
      <c r="P735" s="601">
        <f t="shared" si="102"/>
        <v>28.5</v>
      </c>
      <c r="Q735" s="600">
        <f t="shared" si="103"/>
        <v>5604684.8849999998</v>
      </c>
    </row>
    <row r="736" spans="1:17" s="598" customFormat="1" ht="15" outlineLevel="1">
      <c r="A736" s="597">
        <v>3850</v>
      </c>
      <c r="B736" s="598" t="s">
        <v>537</v>
      </c>
      <c r="C736" s="598">
        <v>1995</v>
      </c>
      <c r="D736" s="599">
        <f>87189.1+263</f>
        <v>87452.100000000006</v>
      </c>
      <c r="E736" s="601">
        <f>Input!$C$14-C736+0.5</f>
        <v>27.5</v>
      </c>
      <c r="F736" s="600">
        <f t="shared" si="107"/>
        <v>2404932.75</v>
      </c>
      <c r="G736" s="600"/>
      <c r="H736" s="317"/>
      <c r="I736" s="600"/>
      <c r="J736" s="600"/>
      <c r="K736" s="600"/>
      <c r="L736" s="600"/>
      <c r="M736" s="600"/>
      <c r="N736" s="600"/>
      <c r="O736" s="600">
        <f t="shared" si="108"/>
        <v>87452.100000000006</v>
      </c>
      <c r="P736" s="601">
        <f t="shared" si="102"/>
        <v>27.5</v>
      </c>
      <c r="Q736" s="600">
        <f t="shared" si="103"/>
        <v>2404932.75</v>
      </c>
    </row>
    <row r="737" spans="1:17" s="598" customFormat="1" ht="15" outlineLevel="1">
      <c r="A737" s="597">
        <v>3850</v>
      </c>
      <c r="B737" s="598" t="s">
        <v>537</v>
      </c>
      <c r="C737" s="598">
        <v>1996</v>
      </c>
      <c r="D737" s="599">
        <v>45940.920000000006</v>
      </c>
      <c r="E737" s="601">
        <f>Input!$C$14-C737+0.5</f>
        <v>26.5</v>
      </c>
      <c r="F737" s="600">
        <f t="shared" si="107"/>
        <v>1217434.3800000001</v>
      </c>
      <c r="G737" s="600"/>
      <c r="H737" s="317"/>
      <c r="I737" s="600"/>
      <c r="J737" s="600"/>
      <c r="K737" s="600"/>
      <c r="L737" s="600"/>
      <c r="M737" s="600"/>
      <c r="N737" s="600"/>
      <c r="O737" s="600">
        <f t="shared" si="108"/>
        <v>45940.920000000006</v>
      </c>
      <c r="P737" s="601">
        <f t="shared" si="102"/>
        <v>26.5</v>
      </c>
      <c r="Q737" s="600">
        <f t="shared" si="103"/>
        <v>1217434.3800000001</v>
      </c>
    </row>
    <row r="738" spans="1:17" s="598" customFormat="1" ht="15" outlineLevel="1">
      <c r="A738" s="597">
        <v>3850</v>
      </c>
      <c r="B738" s="598" t="s">
        <v>537</v>
      </c>
      <c r="C738" s="598">
        <v>1997</v>
      </c>
      <c r="D738" s="599">
        <v>131172.85000000001</v>
      </c>
      <c r="E738" s="601">
        <f>Input!$C$14-C738+0.5</f>
        <v>25.5</v>
      </c>
      <c r="F738" s="600">
        <f t="shared" si="107"/>
        <v>3344907.6750000003</v>
      </c>
      <c r="G738" s="600"/>
      <c r="H738" s="317"/>
      <c r="I738" s="600"/>
      <c r="J738" s="600"/>
      <c r="K738" s="600"/>
      <c r="L738" s="600"/>
      <c r="M738" s="600"/>
      <c r="N738" s="600"/>
      <c r="O738" s="600">
        <f t="shared" si="108"/>
        <v>131172.85000000001</v>
      </c>
      <c r="P738" s="601">
        <f t="shared" si="102"/>
        <v>25.5</v>
      </c>
      <c r="Q738" s="600">
        <f t="shared" si="103"/>
        <v>3344907.6750000003</v>
      </c>
    </row>
    <row r="739" spans="1:17" s="598" customFormat="1" ht="15" outlineLevel="1">
      <c r="A739" s="597">
        <v>3850</v>
      </c>
      <c r="B739" s="598" t="s">
        <v>537</v>
      </c>
      <c r="C739" s="598">
        <v>1998</v>
      </c>
      <c r="D739" s="599">
        <v>86031.569999999992</v>
      </c>
      <c r="E739" s="601">
        <f>Input!$C$14-C739+0.5</f>
        <v>24.5</v>
      </c>
      <c r="F739" s="600">
        <f t="shared" si="107"/>
        <v>2107773.4649999999</v>
      </c>
      <c r="G739" s="600"/>
      <c r="H739" s="317"/>
      <c r="I739" s="600"/>
      <c r="J739" s="600"/>
      <c r="K739" s="600"/>
      <c r="L739" s="600"/>
      <c r="M739" s="600"/>
      <c r="N739" s="600"/>
      <c r="O739" s="600">
        <f t="shared" si="108"/>
        <v>86031.569999999992</v>
      </c>
      <c r="P739" s="601">
        <f t="shared" si="102"/>
        <v>24.5</v>
      </c>
      <c r="Q739" s="600">
        <f t="shared" si="103"/>
        <v>2107773.4649999999</v>
      </c>
    </row>
    <row r="740" spans="1:17" s="598" customFormat="1" ht="15" outlineLevel="1">
      <c r="A740" s="597">
        <v>3850</v>
      </c>
      <c r="B740" s="598" t="s">
        <v>537</v>
      </c>
      <c r="C740" s="598">
        <v>1999</v>
      </c>
      <c r="D740" s="599">
        <v>14540.77</v>
      </c>
      <c r="E740" s="601">
        <f>Input!$C$14-C740+0.5</f>
        <v>23.5</v>
      </c>
      <c r="F740" s="600">
        <f t="shared" si="107"/>
        <v>341708.09500000003</v>
      </c>
      <c r="G740" s="600"/>
      <c r="H740" s="317"/>
      <c r="I740" s="600"/>
      <c r="J740" s="600"/>
      <c r="K740" s="600"/>
      <c r="L740" s="600"/>
      <c r="M740" s="600"/>
      <c r="N740" s="600"/>
      <c r="O740" s="600">
        <f t="shared" si="108"/>
        <v>14540.77</v>
      </c>
      <c r="P740" s="601">
        <f t="shared" si="102"/>
        <v>23.5</v>
      </c>
      <c r="Q740" s="600">
        <f t="shared" si="103"/>
        <v>341708.09500000003</v>
      </c>
    </row>
    <row r="741" spans="1:17" s="598" customFormat="1" ht="15" outlineLevel="1">
      <c r="A741" s="597">
        <v>3850</v>
      </c>
      <c r="B741" s="598" t="s">
        <v>537</v>
      </c>
      <c r="C741" s="598">
        <v>2000</v>
      </c>
      <c r="D741" s="599">
        <v>59297.580000000002</v>
      </c>
      <c r="E741" s="601">
        <f>Input!$C$14-C741+0.5</f>
        <v>22.5</v>
      </c>
      <c r="F741" s="600">
        <f t="shared" si="107"/>
        <v>1334195.55</v>
      </c>
      <c r="G741" s="600"/>
      <c r="H741" s="317"/>
      <c r="I741" s="600"/>
      <c r="J741" s="600"/>
      <c r="K741" s="600"/>
      <c r="L741" s="600"/>
      <c r="M741" s="600"/>
      <c r="N741" s="600"/>
      <c r="O741" s="600">
        <f t="shared" si="108"/>
        <v>59297.580000000002</v>
      </c>
      <c r="P741" s="601">
        <f t="shared" si="102"/>
        <v>22.5</v>
      </c>
      <c r="Q741" s="600">
        <f t="shared" si="103"/>
        <v>1334195.55</v>
      </c>
    </row>
    <row r="742" spans="1:17" s="598" customFormat="1" ht="15" outlineLevel="1">
      <c r="A742" s="597">
        <v>3850</v>
      </c>
      <c r="B742" s="598" t="s">
        <v>537</v>
      </c>
      <c r="C742" s="598">
        <v>2001</v>
      </c>
      <c r="D742" s="599">
        <v>131619.91</v>
      </c>
      <c r="E742" s="601">
        <f>Input!$C$14-C742+0.5</f>
        <v>21.5</v>
      </c>
      <c r="F742" s="600">
        <f t="shared" si="107"/>
        <v>2829828.0649999999</v>
      </c>
      <c r="G742" s="600"/>
      <c r="H742" s="317"/>
      <c r="I742" s="600"/>
      <c r="J742" s="600"/>
      <c r="K742" s="600"/>
      <c r="L742" s="600"/>
      <c r="M742" s="600"/>
      <c r="N742" s="600"/>
      <c r="O742" s="600">
        <f t="shared" si="108"/>
        <v>131619.91</v>
      </c>
      <c r="P742" s="601">
        <f t="shared" si="102"/>
        <v>21.5</v>
      </c>
      <c r="Q742" s="600">
        <f t="shared" si="103"/>
        <v>2829828.0649999999</v>
      </c>
    </row>
    <row r="743" spans="1:17" s="598" customFormat="1" ht="15" outlineLevel="1">
      <c r="A743" s="597">
        <v>3850</v>
      </c>
      <c r="B743" s="598" t="s">
        <v>537</v>
      </c>
      <c r="C743" s="598">
        <v>2002</v>
      </c>
      <c r="D743" s="599">
        <f>63489.81+549</f>
        <v>64038.809999999998</v>
      </c>
      <c r="E743" s="601">
        <f>Input!$C$14-C743+0.5</f>
        <v>20.5</v>
      </c>
      <c r="F743" s="600">
        <f t="shared" si="107"/>
        <v>1312795.605</v>
      </c>
      <c r="G743" s="600"/>
      <c r="H743" s="317"/>
      <c r="I743" s="600"/>
      <c r="J743" s="600"/>
      <c r="K743" s="600"/>
      <c r="L743" s="600"/>
      <c r="M743" s="600"/>
      <c r="N743" s="600"/>
      <c r="O743" s="600">
        <f t="shared" si="108"/>
        <v>64038.809999999998</v>
      </c>
      <c r="P743" s="601">
        <f t="shared" si="102"/>
        <v>20.5</v>
      </c>
      <c r="Q743" s="600">
        <f t="shared" si="103"/>
        <v>1312795.605</v>
      </c>
    </row>
    <row r="744" spans="1:17" s="598" customFormat="1" ht="15" outlineLevel="1">
      <c r="A744" s="597">
        <v>3850</v>
      </c>
      <c r="B744" s="598" t="s">
        <v>537</v>
      </c>
      <c r="C744" s="598">
        <v>2003</v>
      </c>
      <c r="D744" s="599">
        <v>56472.090000000004</v>
      </c>
      <c r="E744" s="601">
        <f>Input!$C$14-C744+0.5</f>
        <v>19.5</v>
      </c>
      <c r="F744" s="600">
        <f t="shared" si="107"/>
        <v>1101205.7550000001</v>
      </c>
      <c r="G744" s="600"/>
      <c r="H744" s="317"/>
      <c r="I744" s="600"/>
      <c r="J744" s="600"/>
      <c r="K744" s="600"/>
      <c r="L744" s="600"/>
      <c r="M744" s="600"/>
      <c r="N744" s="600"/>
      <c r="O744" s="600">
        <f t="shared" si="108"/>
        <v>56472.090000000004</v>
      </c>
      <c r="P744" s="601">
        <f t="shared" si="102"/>
        <v>19.5</v>
      </c>
      <c r="Q744" s="600">
        <f t="shared" si="103"/>
        <v>1101205.7550000001</v>
      </c>
    </row>
    <row r="745" spans="1:17" s="598" customFormat="1" ht="15" outlineLevel="1">
      <c r="A745" s="597">
        <v>3850</v>
      </c>
      <c r="B745" s="598" t="s">
        <v>537</v>
      </c>
      <c r="C745" s="598">
        <v>2004</v>
      </c>
      <c r="D745" s="599">
        <v>9343.6399999999921</v>
      </c>
      <c r="E745" s="601">
        <f>Input!$C$14-C745+0.5</f>
        <v>18.5</v>
      </c>
      <c r="F745" s="600">
        <f t="shared" si="107"/>
        <v>172857.33999999985</v>
      </c>
      <c r="G745" s="600"/>
      <c r="H745" s="317"/>
      <c r="I745" s="600"/>
      <c r="J745" s="600"/>
      <c r="K745" s="600"/>
      <c r="L745" s="600"/>
      <c r="M745" s="600"/>
      <c r="N745" s="600"/>
      <c r="O745" s="600">
        <f t="shared" si="108"/>
        <v>9343.6399999999921</v>
      </c>
      <c r="P745" s="601">
        <f t="shared" si="102"/>
        <v>18.5</v>
      </c>
      <c r="Q745" s="600">
        <f t="shared" si="103"/>
        <v>172857.33999999985</v>
      </c>
    </row>
    <row r="746" spans="1:17" s="598" customFormat="1" ht="15" outlineLevel="1">
      <c r="A746" s="597">
        <v>3850</v>
      </c>
      <c r="B746" s="598" t="s">
        <v>537</v>
      </c>
      <c r="C746" s="598">
        <v>2005</v>
      </c>
      <c r="D746" s="599">
        <v>48555.070000000007</v>
      </c>
      <c r="E746" s="601">
        <f>Input!$C$14-C746+0.5</f>
        <v>17.5</v>
      </c>
      <c r="F746" s="600">
        <f t="shared" si="107"/>
        <v>849713.72500000009</v>
      </c>
      <c r="G746" s="600"/>
      <c r="H746" s="317"/>
      <c r="I746" s="600"/>
      <c r="J746" s="600"/>
      <c r="K746" s="600"/>
      <c r="L746" s="600"/>
      <c r="M746" s="600"/>
      <c r="N746" s="600"/>
      <c r="O746" s="600">
        <f t="shared" si="108"/>
        <v>48555.070000000007</v>
      </c>
      <c r="P746" s="601">
        <f t="shared" si="102"/>
        <v>17.5</v>
      </c>
      <c r="Q746" s="600">
        <f t="shared" si="103"/>
        <v>849713.72500000009</v>
      </c>
    </row>
    <row r="747" spans="1:17" s="598" customFormat="1" ht="15" outlineLevel="1">
      <c r="A747" s="597">
        <v>3850</v>
      </c>
      <c r="B747" s="598" t="s">
        <v>537</v>
      </c>
      <c r="C747" s="598">
        <v>2006</v>
      </c>
      <c r="D747" s="599">
        <v>233140.35000000001</v>
      </c>
      <c r="E747" s="601">
        <f>Input!$C$14-C747+0.5</f>
        <v>16.5</v>
      </c>
      <c r="F747" s="600">
        <f t="shared" si="107"/>
        <v>3846815.7749999999</v>
      </c>
      <c r="G747" s="600"/>
      <c r="H747" s="317"/>
      <c r="I747" s="600"/>
      <c r="J747" s="600"/>
      <c r="K747" s="600"/>
      <c r="L747" s="600"/>
      <c r="M747" s="600"/>
      <c r="N747" s="600"/>
      <c r="O747" s="600">
        <f t="shared" si="108"/>
        <v>233140.35000000001</v>
      </c>
      <c r="P747" s="601">
        <f t="shared" si="102"/>
        <v>16.5</v>
      </c>
      <c r="Q747" s="600">
        <f t="shared" si="103"/>
        <v>3846815.7749999999</v>
      </c>
    </row>
    <row r="748" spans="1:17" s="598" customFormat="1" ht="15" outlineLevel="1">
      <c r="A748" s="597">
        <v>3850</v>
      </c>
      <c r="B748" s="598" t="s">
        <v>537</v>
      </c>
      <c r="C748" s="598">
        <v>2007</v>
      </c>
      <c r="D748" s="599">
        <v>58276.640000000014</v>
      </c>
      <c r="E748" s="601">
        <f>Input!$C$14-C748+0.5</f>
        <v>15.5</v>
      </c>
      <c r="F748" s="600">
        <f t="shared" si="107"/>
        <v>903287.92000000016</v>
      </c>
      <c r="G748" s="600"/>
      <c r="H748" s="317"/>
      <c r="I748" s="600"/>
      <c r="J748" s="600"/>
      <c r="K748" s="600"/>
      <c r="L748" s="600"/>
      <c r="M748" s="600"/>
      <c r="N748" s="600"/>
      <c r="O748" s="600">
        <f t="shared" si="108"/>
        <v>58276.640000000014</v>
      </c>
      <c r="P748" s="601">
        <f t="shared" si="102"/>
        <v>15.5</v>
      </c>
      <c r="Q748" s="600">
        <f t="shared" si="103"/>
        <v>903287.92000000016</v>
      </c>
    </row>
    <row r="749" spans="1:17" s="598" customFormat="1" ht="15" outlineLevel="1">
      <c r="A749" s="597">
        <v>3850</v>
      </c>
      <c r="B749" s="598" t="s">
        <v>537</v>
      </c>
      <c r="C749" s="598">
        <v>2008</v>
      </c>
      <c r="D749" s="599">
        <f>44427.75+1193</f>
        <v>45620.75</v>
      </c>
      <c r="E749" s="601">
        <f>Input!$C$14-C749+0.5</f>
        <v>14.5</v>
      </c>
      <c r="F749" s="600">
        <f t="shared" si="107"/>
        <v>661500.875</v>
      </c>
      <c r="G749" s="600"/>
      <c r="H749" s="317"/>
      <c r="I749" s="600"/>
      <c r="J749" s="600"/>
      <c r="K749" s="600"/>
      <c r="L749" s="600"/>
      <c r="M749" s="600"/>
      <c r="N749" s="600"/>
      <c r="O749" s="600">
        <f t="shared" si="108"/>
        <v>45620.75</v>
      </c>
      <c r="P749" s="601">
        <f t="shared" si="102"/>
        <v>14.5</v>
      </c>
      <c r="Q749" s="600">
        <f t="shared" si="103"/>
        <v>661500.875</v>
      </c>
    </row>
    <row r="750" spans="1:17" s="598" customFormat="1" ht="15" outlineLevel="1">
      <c r="A750" s="597">
        <v>3850</v>
      </c>
      <c r="B750" s="598" t="s">
        <v>537</v>
      </c>
      <c r="C750" s="598">
        <v>2009</v>
      </c>
      <c r="D750" s="599">
        <v>25687.540000000001</v>
      </c>
      <c r="E750" s="601">
        <f>Input!$C$14-C750+0.5</f>
        <v>13.5</v>
      </c>
      <c r="F750" s="600">
        <f t="shared" si="107"/>
        <v>346781.79000000004</v>
      </c>
      <c r="G750" s="600"/>
      <c r="H750" s="317"/>
      <c r="I750" s="600"/>
      <c r="J750" s="600"/>
      <c r="K750" s="600"/>
      <c r="L750" s="600"/>
      <c r="M750" s="600"/>
      <c r="N750" s="600"/>
      <c r="O750" s="600">
        <f t="shared" si="108"/>
        <v>25687.540000000001</v>
      </c>
      <c r="P750" s="601">
        <f t="shared" si="102"/>
        <v>13.5</v>
      </c>
      <c r="Q750" s="600">
        <f t="shared" si="103"/>
        <v>346781.79000000004</v>
      </c>
    </row>
    <row r="751" spans="1:17" s="598" customFormat="1" ht="15" outlineLevel="1">
      <c r="A751" s="597">
        <v>3850</v>
      </c>
      <c r="B751" s="598" t="s">
        <v>537</v>
      </c>
      <c r="C751" s="598">
        <v>2010</v>
      </c>
      <c r="D751" s="599">
        <f>110897.96-99570.17</f>
        <v>11327.790000000008</v>
      </c>
      <c r="E751" s="601">
        <f>Input!$C$14-C751+0.5</f>
        <v>12.5</v>
      </c>
      <c r="F751" s="600">
        <f t="shared" si="107"/>
        <v>141597.37500000012</v>
      </c>
      <c r="G751" s="600"/>
      <c r="H751" s="317"/>
      <c r="I751" s="600"/>
      <c r="J751" s="600"/>
      <c r="K751" s="600"/>
      <c r="L751" s="600"/>
      <c r="M751" s="600"/>
      <c r="N751" s="600"/>
      <c r="O751" s="600">
        <f t="shared" si="108"/>
        <v>11327.790000000008</v>
      </c>
      <c r="P751" s="601">
        <f t="shared" si="102"/>
        <v>12.5</v>
      </c>
      <c r="Q751" s="600">
        <f t="shared" si="103"/>
        <v>141597.37500000012</v>
      </c>
    </row>
    <row r="752" spans="1:17" s="598" customFormat="1" ht="15" outlineLevel="1">
      <c r="A752" s="597">
        <v>3850</v>
      </c>
      <c r="B752" s="598" t="s">
        <v>537</v>
      </c>
      <c r="C752" s="598">
        <v>2011</v>
      </c>
      <c r="D752" s="599">
        <v>24047.779999999999</v>
      </c>
      <c r="E752" s="601">
        <f>Input!$C$14-C752+0.5</f>
        <v>11.5</v>
      </c>
      <c r="F752" s="600">
        <f t="shared" si="107"/>
        <v>276549.46999999997</v>
      </c>
      <c r="G752" s="600"/>
      <c r="H752" s="317"/>
      <c r="I752" s="600"/>
      <c r="J752" s="600"/>
      <c r="K752" s="600"/>
      <c r="L752" s="600"/>
      <c r="M752" s="600"/>
      <c r="N752" s="600"/>
      <c r="O752" s="600">
        <f t="shared" si="108"/>
        <v>24047.779999999999</v>
      </c>
      <c r="P752" s="601">
        <f t="shared" si="102"/>
        <v>11.5</v>
      </c>
      <c r="Q752" s="600">
        <f t="shared" si="103"/>
        <v>276549.46999999997</v>
      </c>
    </row>
    <row r="753" spans="1:17" s="598" customFormat="1" ht="15" outlineLevel="1">
      <c r="A753" s="597">
        <v>3850</v>
      </c>
      <c r="B753" s="598" t="s">
        <v>537</v>
      </c>
      <c r="C753" s="598">
        <v>2012</v>
      </c>
      <c r="D753" s="599">
        <v>23617.07</v>
      </c>
      <c r="E753" s="601">
        <f>Input!$C$14-C753+0.5</f>
        <v>10.5</v>
      </c>
      <c r="F753" s="600">
        <f t="shared" si="107"/>
        <v>247979.23499999999</v>
      </c>
      <c r="G753" s="600"/>
      <c r="H753" s="317"/>
      <c r="I753" s="600"/>
      <c r="J753" s="600"/>
      <c r="K753" s="600"/>
      <c r="L753" s="600"/>
      <c r="M753" s="600"/>
      <c r="N753" s="600"/>
      <c r="O753" s="600">
        <f t="shared" si="108"/>
        <v>23617.07</v>
      </c>
      <c r="P753" s="601">
        <f t="shared" si="102"/>
        <v>10.5</v>
      </c>
      <c r="Q753" s="600">
        <f t="shared" si="103"/>
        <v>247979.23499999999</v>
      </c>
    </row>
    <row r="754" spans="1:17" s="598" customFormat="1" ht="15" outlineLevel="1">
      <c r="A754" s="597">
        <v>3850</v>
      </c>
      <c r="B754" s="598" t="s">
        <v>537</v>
      </c>
      <c r="C754" s="598">
        <v>2014</v>
      </c>
      <c r="D754" s="599">
        <v>88162.009999999995</v>
      </c>
      <c r="E754" s="601">
        <f>Input!$C$14-C754+0.5</f>
        <v>8.5</v>
      </c>
      <c r="F754" s="600">
        <f t="shared" si="107"/>
        <v>749377.08499999996</v>
      </c>
      <c r="G754" s="600"/>
      <c r="H754" s="317"/>
      <c r="I754" s="600"/>
      <c r="J754" s="600"/>
      <c r="K754" s="600"/>
      <c r="L754" s="600"/>
      <c r="M754" s="600"/>
      <c r="N754" s="600"/>
      <c r="O754" s="600">
        <f t="shared" si="108"/>
        <v>88162.009999999995</v>
      </c>
      <c r="P754" s="601">
        <f t="shared" si="102"/>
        <v>8.5</v>
      </c>
      <c r="Q754" s="600">
        <f t="shared" si="103"/>
        <v>749377.08499999996</v>
      </c>
    </row>
    <row r="755" spans="1:17" s="598" customFormat="1" ht="15" outlineLevel="1">
      <c r="A755" s="597">
        <v>3850</v>
      </c>
      <c r="B755" s="598" t="s">
        <v>537</v>
      </c>
      <c r="C755" s="598">
        <v>2016</v>
      </c>
      <c r="D755" s="599">
        <v>6913.2399999999998</v>
      </c>
      <c r="E755" s="601">
        <f>Input!$C$14-C755+0.5</f>
        <v>6.5</v>
      </c>
      <c r="F755" s="600">
        <f t="shared" si="107"/>
        <v>44936.059999999998</v>
      </c>
      <c r="G755" s="600"/>
      <c r="H755" s="317"/>
      <c r="I755" s="600"/>
      <c r="J755" s="600"/>
      <c r="K755" s="600"/>
      <c r="L755" s="600"/>
      <c r="M755" s="600"/>
      <c r="N755" s="600"/>
      <c r="O755" s="600">
        <f t="shared" si="108"/>
        <v>6913.2399999999998</v>
      </c>
      <c r="P755" s="601">
        <f t="shared" si="102"/>
        <v>6.5</v>
      </c>
      <c r="Q755" s="600">
        <f t="shared" si="103"/>
        <v>44936.059999999998</v>
      </c>
    </row>
    <row r="756" spans="1:17" s="598" customFormat="1" ht="15" outlineLevel="1">
      <c r="A756" s="597">
        <v>3850</v>
      </c>
      <c r="B756" s="598" t="s">
        <v>537</v>
      </c>
      <c r="C756" s="598">
        <v>2017</v>
      </c>
      <c r="D756" s="599">
        <v>1774.45</v>
      </c>
      <c r="E756" s="601">
        <f>Input!$C$14-C756+0.5</f>
        <v>5.5</v>
      </c>
      <c r="F756" s="600">
        <f t="shared" si="107"/>
        <v>9759.4750000000004</v>
      </c>
      <c r="G756" s="600"/>
      <c r="H756" s="317"/>
      <c r="I756" s="600"/>
      <c r="J756" s="600"/>
      <c r="K756" s="600"/>
      <c r="L756" s="600"/>
      <c r="M756" s="600"/>
      <c r="N756" s="600"/>
      <c r="O756" s="600">
        <f t="shared" si="108"/>
        <v>1774.45</v>
      </c>
      <c r="P756" s="601">
        <f t="shared" si="102"/>
        <v>5.5</v>
      </c>
      <c r="Q756" s="600">
        <f t="shared" si="103"/>
        <v>9759.4750000000004</v>
      </c>
    </row>
    <row r="757" spans="1:17" s="598" customFormat="1" ht="15" outlineLevel="1">
      <c r="A757" s="597">
        <v>3850</v>
      </c>
      <c r="B757" s="598" t="s">
        <v>537</v>
      </c>
      <c r="C757" s="598">
        <v>2019</v>
      </c>
      <c r="D757" s="599">
        <v>1100</v>
      </c>
      <c r="E757" s="601">
        <f>Input!$C$14-C757+0.5</f>
        <v>3.5</v>
      </c>
      <c r="F757" s="600">
        <f t="shared" si="107"/>
        <v>3850</v>
      </c>
      <c r="G757" s="600"/>
      <c r="H757" s="317"/>
      <c r="I757" s="600"/>
      <c r="J757" s="600"/>
      <c r="K757" s="600"/>
      <c r="L757" s="600"/>
      <c r="M757" s="600"/>
      <c r="N757" s="600"/>
      <c r="O757" s="600">
        <f t="shared" si="108"/>
        <v>1100</v>
      </c>
      <c r="P757" s="601">
        <f t="shared" si="102"/>
        <v>3.5</v>
      </c>
      <c r="Q757" s="600">
        <f t="shared" si="103"/>
        <v>3850</v>
      </c>
    </row>
    <row r="758" spans="1:17" s="598" customFormat="1" ht="15" outlineLevel="1">
      <c r="A758" s="597">
        <v>3850</v>
      </c>
      <c r="B758" s="598" t="s">
        <v>537</v>
      </c>
      <c r="C758" s="598">
        <v>2020</v>
      </c>
      <c r="D758" s="599">
        <v>40902.590000000004</v>
      </c>
      <c r="E758" s="601">
        <f>Input!$C$14-C758+0.5</f>
        <v>2.5</v>
      </c>
      <c r="F758" s="600">
        <f t="shared" si="107"/>
        <v>102256.47500000001</v>
      </c>
      <c r="G758" s="600"/>
      <c r="H758" s="317"/>
      <c r="I758" s="600"/>
      <c r="J758" s="600"/>
      <c r="K758" s="600"/>
      <c r="L758" s="600"/>
      <c r="M758" s="600"/>
      <c r="N758" s="600"/>
      <c r="O758" s="600">
        <f t="shared" si="108"/>
        <v>40902.590000000004</v>
      </c>
      <c r="P758" s="601">
        <f t="shared" si="102"/>
        <v>2.5</v>
      </c>
      <c r="Q758" s="600">
        <f t="shared" si="103"/>
        <v>102256.47500000001</v>
      </c>
    </row>
    <row r="759" spans="1:20" s="598" customFormat="1" ht="13.5" thickBot="1">
      <c r="A759" s="563">
        <f>A758</f>
        <v>3850</v>
      </c>
      <c r="B759" s="564" t="s">
        <v>496</v>
      </c>
      <c r="D759" s="357">
        <f>SUM(D725:D758)</f>
        <v>1890724.9600000004</v>
      </c>
      <c r="E759" s="565">
        <f>ROUND(F759/D759,1)</f>
        <v>22.899999999999999</v>
      </c>
      <c r="F759" s="357">
        <f>SUM(F725:F758)</f>
        <v>43351645.600000009</v>
      </c>
      <c r="G759" s="358"/>
      <c r="H759" s="318"/>
      <c r="I759" s="357">
        <f>SUM(I725:I758)</f>
        <v>0</v>
      </c>
      <c r="J759" s="357">
        <f>SUM(J725:J758)</f>
        <v>0</v>
      </c>
      <c r="K759" s="357">
        <f t="shared" si="109" ref="K759:N759">SUM(K725:K758)</f>
        <v>0</v>
      </c>
      <c r="L759" s="357">
        <f t="shared" si="109"/>
        <v>0</v>
      </c>
      <c r="M759" s="357">
        <f t="shared" si="109"/>
        <v>0</v>
      </c>
      <c r="N759" s="357">
        <f t="shared" si="109"/>
        <v>0</v>
      </c>
      <c r="O759" s="357">
        <f>SUM(O725:O758)</f>
        <v>1890724.9600000004</v>
      </c>
      <c r="P759" s="565">
        <f>ROUND(Q759/O759,1)</f>
        <v>22.899999999999999</v>
      </c>
      <c r="Q759" s="357">
        <f>SUM(Q725:Q758)</f>
        <v>43351645.600000009</v>
      </c>
      <c r="S759" s="604">
        <f>'Sch. G 2021'!H29</f>
        <v>1890725</v>
      </c>
      <c r="T759" s="679">
        <f>D759-S759</f>
        <v>-0.039999999571591616</v>
      </c>
    </row>
    <row r="760" spans="1:20" s="598" customFormat="1" ht="15.75" thickTop="1">
      <c r="A760" s="566">
        <f>A758</f>
        <v>3850</v>
      </c>
      <c r="B760" s="490" t="str">
        <f>B758&amp;" - Additions"</f>
        <v>M&amp;R Stat Eq-Ind - Additions</v>
      </c>
      <c r="C760" s="490">
        <v>2022</v>
      </c>
      <c r="D760" s="567">
        <f>'Sch. H'!N29</f>
        <v>37850</v>
      </c>
      <c r="E760" s="601">
        <f>Input!$C$14-C760+0.5</f>
        <v>0.5</v>
      </c>
      <c r="F760" s="600">
        <f>D760*E760</f>
        <v>18925</v>
      </c>
      <c r="G760" s="600"/>
      <c r="H760" s="317"/>
      <c r="I760" s="600"/>
      <c r="J760" s="600"/>
      <c r="K760" s="600"/>
      <c r="L760" s="600"/>
      <c r="M760" s="600"/>
      <c r="N760" s="600"/>
      <c r="O760" s="600">
        <f t="shared" si="110" ref="O760:O761">SUM(D760,I760:N760)</f>
        <v>37850</v>
      </c>
      <c r="P760" s="601">
        <f t="shared" si="102"/>
        <v>0.5</v>
      </c>
      <c r="Q760" s="600">
        <f t="shared" si="103"/>
        <v>18925</v>
      </c>
      <c r="T760" s="679"/>
    </row>
    <row r="761" spans="1:20" s="598" customFormat="1" ht="15">
      <c r="A761" s="566">
        <f>A760</f>
        <v>3850</v>
      </c>
      <c r="B761" s="490" t="str">
        <f>B758&amp;" - Retirements"</f>
        <v>M&amp;R Stat Eq-Ind - Retirements</v>
      </c>
      <c r="C761" s="490">
        <v>2022</v>
      </c>
      <c r="D761" s="567">
        <f>-'Sch. F 2022'!AI90</f>
        <v>-45546.999999999993</v>
      </c>
      <c r="E761" s="601">
        <f>'Sch. F 2022'!AI92</f>
        <v>32.060000000000002</v>
      </c>
      <c r="F761" s="600">
        <f>D761*E761</f>
        <v>-1460236.8199999998</v>
      </c>
      <c r="G761" s="600"/>
      <c r="H761" s="317"/>
      <c r="I761" s="600"/>
      <c r="J761" s="600"/>
      <c r="K761" s="600"/>
      <c r="L761" s="600"/>
      <c r="M761" s="600"/>
      <c r="N761" s="600"/>
      <c r="O761" s="600">
        <f t="shared" si="110"/>
        <v>-45546.999999999993</v>
      </c>
      <c r="P761" s="601">
        <f t="shared" si="111" ref="P761:P820">E761</f>
        <v>32.060000000000002</v>
      </c>
      <c r="Q761" s="600">
        <f t="shared" si="112" ref="Q761:Q820">O761*P761</f>
        <v>-1460236.8199999998</v>
      </c>
      <c r="T761" s="679"/>
    </row>
    <row r="762" spans="1:20" s="598" customFormat="1" ht="13.5" thickBot="1">
      <c r="A762" s="566"/>
      <c r="B762" s="564" t="s">
        <v>557</v>
      </c>
      <c r="C762" s="490"/>
      <c r="D762" s="568">
        <f>SUM(D759:D761)</f>
        <v>1883027.9600000004</v>
      </c>
      <c r="E762" s="565">
        <f>ROUND(F762/D762,1)</f>
        <v>22.300000000000001</v>
      </c>
      <c r="F762" s="569">
        <f>SUM(F759:F761)</f>
        <v>41910333.780000009</v>
      </c>
      <c r="G762" s="570"/>
      <c r="H762" s="372"/>
      <c r="I762" s="568">
        <f>SUM(I759:I761)</f>
        <v>0</v>
      </c>
      <c r="J762" s="568">
        <f>SUM(J759:J761)</f>
        <v>0</v>
      </c>
      <c r="K762" s="568">
        <f t="shared" si="113" ref="K762:N762">SUM(K759:K761)</f>
        <v>0</v>
      </c>
      <c r="L762" s="568">
        <f t="shared" si="113"/>
        <v>0</v>
      </c>
      <c r="M762" s="568">
        <f t="shared" si="113"/>
        <v>0</v>
      </c>
      <c r="N762" s="568">
        <f t="shared" si="113"/>
        <v>0</v>
      </c>
      <c r="O762" s="568">
        <f>SUM(O759:O761)</f>
        <v>1883027.9600000004</v>
      </c>
      <c r="P762" s="565">
        <f>ROUND(Q762/O762,1)</f>
        <v>22.300000000000001</v>
      </c>
      <c r="Q762" s="569">
        <f>SUM(Q759:Q761)</f>
        <v>41910333.780000009</v>
      </c>
      <c r="S762" s="604">
        <f>'Sch. G 2022'!H29</f>
        <v>1883028</v>
      </c>
      <c r="T762" s="679">
        <f>O762-S762</f>
        <v>-0.039999999571591616</v>
      </c>
    </row>
    <row r="763" spans="1:20" s="598" customFormat="1" ht="15" thickTop="1">
      <c r="A763" s="563"/>
      <c r="B763" s="571"/>
      <c r="D763" s="358"/>
      <c r="E763" s="572"/>
      <c r="F763" s="358"/>
      <c r="G763" s="358"/>
      <c r="H763" s="318"/>
      <c r="I763" s="358"/>
      <c r="J763" s="358"/>
      <c r="K763" s="358"/>
      <c r="L763" s="358"/>
      <c r="M763" s="358"/>
      <c r="N763" s="358"/>
      <c r="O763" s="600"/>
      <c r="P763" s="601"/>
      <c r="Q763" s="600"/>
      <c r="T763" s="679"/>
    </row>
    <row r="764" spans="1:17" s="598" customFormat="1" ht="15" outlineLevel="1">
      <c r="A764" s="597">
        <v>3870</v>
      </c>
      <c r="B764" s="598" t="s">
        <v>538</v>
      </c>
      <c r="C764" s="598">
        <v>1960</v>
      </c>
      <c r="D764" s="599">
        <v>4800</v>
      </c>
      <c r="E764" s="601">
        <f>Input!$C$14-C764+0.5</f>
        <v>62.5</v>
      </c>
      <c r="F764" s="600">
        <f t="shared" si="114" ref="F764:F809">D764*E764</f>
        <v>300000</v>
      </c>
      <c r="G764" s="600"/>
      <c r="H764" s="317"/>
      <c r="I764" s="600"/>
      <c r="J764" s="600"/>
      <c r="K764" s="600"/>
      <c r="L764" s="600"/>
      <c r="M764" s="600"/>
      <c r="N764" s="600"/>
      <c r="O764" s="600">
        <f t="shared" si="115" ref="O764:O809">SUM(D764,I764:N764)</f>
        <v>4800</v>
      </c>
      <c r="P764" s="601">
        <f t="shared" si="111"/>
        <v>62.5</v>
      </c>
      <c r="Q764" s="600">
        <f t="shared" si="112"/>
        <v>300000</v>
      </c>
    </row>
    <row r="765" spans="1:17" s="598" customFormat="1" ht="15" outlineLevel="1">
      <c r="A765" s="597">
        <v>3870</v>
      </c>
      <c r="B765" s="598" t="s">
        <v>538</v>
      </c>
      <c r="C765" s="598">
        <v>1974</v>
      </c>
      <c r="D765" s="599">
        <v>3202.8600000000001</v>
      </c>
      <c r="E765" s="601">
        <f>Input!$C$14-C765+0.5</f>
        <v>48.5</v>
      </c>
      <c r="F765" s="600">
        <f t="shared" si="114"/>
        <v>155338.70999999999</v>
      </c>
      <c r="G765" s="600"/>
      <c r="H765" s="317"/>
      <c r="I765" s="600"/>
      <c r="J765" s="600"/>
      <c r="K765" s="600"/>
      <c r="L765" s="600"/>
      <c r="M765" s="600"/>
      <c r="N765" s="600"/>
      <c r="O765" s="600">
        <f t="shared" si="115"/>
        <v>3202.8600000000001</v>
      </c>
      <c r="P765" s="601">
        <f t="shared" si="111"/>
        <v>48.5</v>
      </c>
      <c r="Q765" s="600">
        <f t="shared" si="112"/>
        <v>155338.70999999999</v>
      </c>
    </row>
    <row r="766" spans="1:17" s="598" customFormat="1" ht="15" outlineLevel="1">
      <c r="A766" s="597">
        <v>3870</v>
      </c>
      <c r="B766" s="598" t="s">
        <v>538</v>
      </c>
      <c r="C766" s="598">
        <v>1975</v>
      </c>
      <c r="D766" s="599">
        <v>578.96000000000004</v>
      </c>
      <c r="E766" s="601">
        <f>Input!$C$14-C766+0.5</f>
        <v>47.5</v>
      </c>
      <c r="F766" s="600">
        <f t="shared" si="114"/>
        <v>27500.600000000002</v>
      </c>
      <c r="G766" s="600"/>
      <c r="H766" s="317"/>
      <c r="I766" s="600"/>
      <c r="J766" s="600"/>
      <c r="K766" s="600"/>
      <c r="L766" s="600"/>
      <c r="M766" s="600"/>
      <c r="N766" s="600"/>
      <c r="O766" s="600">
        <f t="shared" si="115"/>
        <v>578.96000000000004</v>
      </c>
      <c r="P766" s="601">
        <f t="shared" si="111"/>
        <v>47.5</v>
      </c>
      <c r="Q766" s="600">
        <f t="shared" si="112"/>
        <v>27500.600000000002</v>
      </c>
    </row>
    <row r="767" spans="1:17" s="598" customFormat="1" ht="15" outlineLevel="1">
      <c r="A767" s="597">
        <v>3870</v>
      </c>
      <c r="B767" s="598" t="s">
        <v>538</v>
      </c>
      <c r="C767" s="598">
        <v>1976</v>
      </c>
      <c r="D767" s="599">
        <v>241.75999999999999</v>
      </c>
      <c r="E767" s="601">
        <f>Input!$C$14-C767+0.5</f>
        <v>46.5</v>
      </c>
      <c r="F767" s="600">
        <f t="shared" si="114"/>
        <v>11241.84</v>
      </c>
      <c r="G767" s="600"/>
      <c r="H767" s="317"/>
      <c r="I767" s="600"/>
      <c r="J767" s="600"/>
      <c r="K767" s="600"/>
      <c r="L767" s="600"/>
      <c r="M767" s="600"/>
      <c r="N767" s="600"/>
      <c r="O767" s="600">
        <f t="shared" si="115"/>
        <v>241.75999999999999</v>
      </c>
      <c r="P767" s="601">
        <f t="shared" si="111"/>
        <v>46.5</v>
      </c>
      <c r="Q767" s="600">
        <f t="shared" si="112"/>
        <v>11241.84</v>
      </c>
    </row>
    <row r="768" spans="1:17" s="598" customFormat="1" ht="15" outlineLevel="1">
      <c r="A768" s="597">
        <v>3870</v>
      </c>
      <c r="B768" s="598" t="s">
        <v>538</v>
      </c>
      <c r="C768" s="598">
        <v>1978</v>
      </c>
      <c r="D768" s="599">
        <v>2084.8000000000002</v>
      </c>
      <c r="E768" s="601">
        <f>Input!$C$14-C768+0.5</f>
        <v>44.5</v>
      </c>
      <c r="F768" s="600">
        <f t="shared" si="114"/>
        <v>92773.600000000006</v>
      </c>
      <c r="G768" s="600"/>
      <c r="H768" s="317"/>
      <c r="I768" s="600"/>
      <c r="J768" s="600"/>
      <c r="K768" s="600"/>
      <c r="L768" s="600"/>
      <c r="M768" s="600"/>
      <c r="N768" s="600"/>
      <c r="O768" s="600">
        <f t="shared" si="115"/>
        <v>2084.8000000000002</v>
      </c>
      <c r="P768" s="601">
        <f t="shared" si="111"/>
        <v>44.5</v>
      </c>
      <c r="Q768" s="600">
        <f t="shared" si="112"/>
        <v>92773.600000000006</v>
      </c>
    </row>
    <row r="769" spans="1:17" s="598" customFormat="1" ht="15" outlineLevel="1">
      <c r="A769" s="597">
        <v>3870</v>
      </c>
      <c r="B769" s="598" t="s">
        <v>538</v>
      </c>
      <c r="C769" s="598">
        <v>1981</v>
      </c>
      <c r="D769" s="599">
        <v>698.88</v>
      </c>
      <c r="E769" s="601">
        <f>Input!$C$14-C769+0.5</f>
        <v>41.5</v>
      </c>
      <c r="F769" s="600">
        <f t="shared" si="114"/>
        <v>29003.52</v>
      </c>
      <c r="G769" s="600"/>
      <c r="H769" s="317"/>
      <c r="I769" s="600"/>
      <c r="J769" s="600"/>
      <c r="K769" s="600"/>
      <c r="L769" s="600"/>
      <c r="M769" s="600"/>
      <c r="N769" s="600"/>
      <c r="O769" s="600">
        <f t="shared" si="115"/>
        <v>698.88</v>
      </c>
      <c r="P769" s="601">
        <f t="shared" si="111"/>
        <v>41.5</v>
      </c>
      <c r="Q769" s="600">
        <f t="shared" si="112"/>
        <v>29003.52</v>
      </c>
    </row>
    <row r="770" spans="1:17" s="598" customFormat="1" ht="15" outlineLevel="1">
      <c r="A770" s="597">
        <v>3870</v>
      </c>
      <c r="B770" s="598" t="s">
        <v>538</v>
      </c>
      <c r="C770" s="598">
        <v>1982</v>
      </c>
      <c r="D770" s="599">
        <f>3419.04+4150</f>
        <v>7569.04</v>
      </c>
      <c r="E770" s="601">
        <f>Input!$C$14-C770+0.5</f>
        <v>40.5</v>
      </c>
      <c r="F770" s="600">
        <f t="shared" si="114"/>
        <v>306546.12</v>
      </c>
      <c r="G770" s="600"/>
      <c r="H770" s="317"/>
      <c r="I770" s="600"/>
      <c r="J770" s="600"/>
      <c r="K770" s="600"/>
      <c r="L770" s="600"/>
      <c r="M770" s="600"/>
      <c r="N770" s="600"/>
      <c r="O770" s="600">
        <f t="shared" si="115"/>
        <v>7569.04</v>
      </c>
      <c r="P770" s="601">
        <f t="shared" si="111"/>
        <v>40.5</v>
      </c>
      <c r="Q770" s="600">
        <f t="shared" si="112"/>
        <v>306546.12</v>
      </c>
    </row>
    <row r="771" spans="1:17" s="598" customFormat="1" ht="15" outlineLevel="1">
      <c r="A771" s="597">
        <v>3870</v>
      </c>
      <c r="B771" s="598" t="s">
        <v>538</v>
      </c>
      <c r="C771" s="598">
        <v>1983</v>
      </c>
      <c r="D771" s="599">
        <v>4089.8499999999999</v>
      </c>
      <c r="E771" s="601">
        <f>Input!$C$14-C771+0.5</f>
        <v>39.5</v>
      </c>
      <c r="F771" s="600">
        <f t="shared" si="114"/>
        <v>161549.07499999998</v>
      </c>
      <c r="G771" s="600"/>
      <c r="H771" s="317"/>
      <c r="I771" s="600"/>
      <c r="J771" s="600"/>
      <c r="K771" s="600"/>
      <c r="L771" s="600"/>
      <c r="M771" s="600"/>
      <c r="N771" s="600"/>
      <c r="O771" s="600">
        <f t="shared" si="115"/>
        <v>4089.8499999999999</v>
      </c>
      <c r="P771" s="601">
        <f t="shared" si="111"/>
        <v>39.5</v>
      </c>
      <c r="Q771" s="600">
        <f t="shared" si="112"/>
        <v>161549.07499999998</v>
      </c>
    </row>
    <row r="772" spans="1:17" s="598" customFormat="1" ht="15" outlineLevel="1">
      <c r="A772" s="597">
        <v>3870</v>
      </c>
      <c r="B772" s="598" t="s">
        <v>538</v>
      </c>
      <c r="C772" s="598">
        <v>1984</v>
      </c>
      <c r="D772" s="599">
        <v>2354.0999999999999</v>
      </c>
      <c r="E772" s="601">
        <f>Input!$C$14-C772+0.5</f>
        <v>38.5</v>
      </c>
      <c r="F772" s="600">
        <f t="shared" si="114"/>
        <v>90632.849999999991</v>
      </c>
      <c r="G772" s="600"/>
      <c r="H772" s="317"/>
      <c r="I772" s="600"/>
      <c r="J772" s="600"/>
      <c r="K772" s="600"/>
      <c r="L772" s="600"/>
      <c r="M772" s="600"/>
      <c r="N772" s="600"/>
      <c r="O772" s="600">
        <f t="shared" si="115"/>
        <v>2354.0999999999999</v>
      </c>
      <c r="P772" s="601">
        <f t="shared" si="111"/>
        <v>38.5</v>
      </c>
      <c r="Q772" s="600">
        <f t="shared" si="112"/>
        <v>90632.849999999991</v>
      </c>
    </row>
    <row r="773" spans="1:17" s="598" customFormat="1" ht="15" outlineLevel="1">
      <c r="A773" s="597">
        <v>3870</v>
      </c>
      <c r="B773" s="598" t="s">
        <v>538</v>
      </c>
      <c r="C773" s="598">
        <v>1985</v>
      </c>
      <c r="D773" s="599">
        <v>497.13999999999999</v>
      </c>
      <c r="E773" s="601">
        <f>Input!$C$14-C773+0.5</f>
        <v>37.5</v>
      </c>
      <c r="F773" s="600">
        <f t="shared" si="114"/>
        <v>18642.75</v>
      </c>
      <c r="G773" s="600"/>
      <c r="H773" s="317"/>
      <c r="I773" s="600"/>
      <c r="J773" s="600"/>
      <c r="K773" s="600"/>
      <c r="L773" s="600"/>
      <c r="M773" s="600"/>
      <c r="N773" s="600"/>
      <c r="O773" s="600">
        <f t="shared" si="115"/>
        <v>497.13999999999999</v>
      </c>
      <c r="P773" s="601">
        <f t="shared" si="111"/>
        <v>37.5</v>
      </c>
      <c r="Q773" s="600">
        <f t="shared" si="112"/>
        <v>18642.75</v>
      </c>
    </row>
    <row r="774" spans="1:17" s="598" customFormat="1" ht="15" outlineLevel="1">
      <c r="A774" s="597">
        <v>3870</v>
      </c>
      <c r="B774" s="598" t="s">
        <v>538</v>
      </c>
      <c r="C774" s="598">
        <v>1986</v>
      </c>
      <c r="D774" s="599">
        <v>1912.05</v>
      </c>
      <c r="E774" s="601">
        <f>Input!$C$14-C774+0.5</f>
        <v>36.5</v>
      </c>
      <c r="F774" s="600">
        <f t="shared" si="114"/>
        <v>69789.824999999997</v>
      </c>
      <c r="G774" s="600"/>
      <c r="H774" s="317"/>
      <c r="I774" s="600"/>
      <c r="J774" s="600"/>
      <c r="K774" s="600"/>
      <c r="L774" s="600"/>
      <c r="M774" s="600"/>
      <c r="N774" s="600"/>
      <c r="O774" s="600">
        <f t="shared" si="115"/>
        <v>1912.05</v>
      </c>
      <c r="P774" s="601">
        <f t="shared" si="111"/>
        <v>36.5</v>
      </c>
      <c r="Q774" s="600">
        <f t="shared" si="112"/>
        <v>69789.824999999997</v>
      </c>
    </row>
    <row r="775" spans="1:17" s="598" customFormat="1" ht="15" outlineLevel="1">
      <c r="A775" s="597">
        <v>3870</v>
      </c>
      <c r="B775" s="598" t="s">
        <v>538</v>
      </c>
      <c r="C775" s="598">
        <v>1987</v>
      </c>
      <c r="D775" s="599">
        <v>11755.700000000001</v>
      </c>
      <c r="E775" s="601">
        <f>Input!$C$14-C775+0.5</f>
        <v>35.5</v>
      </c>
      <c r="F775" s="600">
        <f t="shared" si="114"/>
        <v>417327.35000000003</v>
      </c>
      <c r="G775" s="600"/>
      <c r="H775" s="317"/>
      <c r="I775" s="600"/>
      <c r="J775" s="600"/>
      <c r="K775" s="600"/>
      <c r="L775" s="600"/>
      <c r="M775" s="600"/>
      <c r="N775" s="600"/>
      <c r="O775" s="600">
        <f t="shared" si="115"/>
        <v>11755.700000000001</v>
      </c>
      <c r="P775" s="601">
        <f t="shared" si="111"/>
        <v>35.5</v>
      </c>
      <c r="Q775" s="600">
        <f t="shared" si="112"/>
        <v>417327.35000000003</v>
      </c>
    </row>
    <row r="776" spans="1:17" s="598" customFormat="1" ht="15" outlineLevel="1">
      <c r="A776" s="597">
        <v>3870</v>
      </c>
      <c r="B776" s="598" t="s">
        <v>538</v>
      </c>
      <c r="C776" s="598">
        <v>1988</v>
      </c>
      <c r="D776" s="599">
        <v>28026.950000000001</v>
      </c>
      <c r="E776" s="601">
        <f>Input!$C$14-C776+0.5</f>
        <v>34.5</v>
      </c>
      <c r="F776" s="600">
        <f t="shared" si="114"/>
        <v>966929.77500000002</v>
      </c>
      <c r="G776" s="600"/>
      <c r="H776" s="317"/>
      <c r="I776" s="600"/>
      <c r="J776" s="600"/>
      <c r="K776" s="600"/>
      <c r="L776" s="600"/>
      <c r="M776" s="600"/>
      <c r="N776" s="600"/>
      <c r="O776" s="600">
        <f t="shared" si="115"/>
        <v>28026.950000000001</v>
      </c>
      <c r="P776" s="601">
        <f t="shared" si="111"/>
        <v>34.5</v>
      </c>
      <c r="Q776" s="600">
        <f t="shared" si="112"/>
        <v>966929.77500000002</v>
      </c>
    </row>
    <row r="777" spans="1:17" s="598" customFormat="1" ht="15" outlineLevel="1">
      <c r="A777" s="597">
        <v>3870</v>
      </c>
      <c r="B777" s="598" t="s">
        <v>538</v>
      </c>
      <c r="C777" s="598">
        <v>1989</v>
      </c>
      <c r="D777" s="599">
        <v>1775.04</v>
      </c>
      <c r="E777" s="601">
        <f>Input!$C$14-C777+0.5</f>
        <v>33.5</v>
      </c>
      <c r="F777" s="600">
        <f t="shared" si="114"/>
        <v>59463.839999999997</v>
      </c>
      <c r="G777" s="600"/>
      <c r="H777" s="317"/>
      <c r="I777" s="600"/>
      <c r="J777" s="600"/>
      <c r="K777" s="600"/>
      <c r="L777" s="600"/>
      <c r="M777" s="600"/>
      <c r="N777" s="600"/>
      <c r="O777" s="600">
        <f t="shared" si="115"/>
        <v>1775.04</v>
      </c>
      <c r="P777" s="601">
        <f t="shared" si="111"/>
        <v>33.5</v>
      </c>
      <c r="Q777" s="600">
        <f t="shared" si="112"/>
        <v>59463.839999999997</v>
      </c>
    </row>
    <row r="778" spans="1:17" s="598" customFormat="1" ht="15" outlineLevel="1">
      <c r="A778" s="597">
        <v>3870</v>
      </c>
      <c r="B778" s="598" t="s">
        <v>538</v>
      </c>
      <c r="C778" s="598">
        <v>1990</v>
      </c>
      <c r="D778" s="599">
        <v>27172.560000000001</v>
      </c>
      <c r="E778" s="601">
        <f>Input!$C$14-C778+0.5</f>
        <v>32.5</v>
      </c>
      <c r="F778" s="600">
        <f t="shared" si="114"/>
        <v>883108.20000000007</v>
      </c>
      <c r="G778" s="600"/>
      <c r="H778" s="317"/>
      <c r="I778" s="600"/>
      <c r="J778" s="600"/>
      <c r="K778" s="600"/>
      <c r="L778" s="600"/>
      <c r="M778" s="600"/>
      <c r="N778" s="600"/>
      <c r="O778" s="600">
        <f t="shared" si="115"/>
        <v>27172.560000000001</v>
      </c>
      <c r="P778" s="601">
        <f t="shared" si="111"/>
        <v>32.5</v>
      </c>
      <c r="Q778" s="600">
        <f t="shared" si="112"/>
        <v>883108.20000000007</v>
      </c>
    </row>
    <row r="779" spans="1:17" s="598" customFormat="1" ht="15" outlineLevel="1">
      <c r="A779" s="597">
        <v>3870</v>
      </c>
      <c r="B779" s="598" t="s">
        <v>538</v>
      </c>
      <c r="C779" s="598">
        <v>1991</v>
      </c>
      <c r="D779" s="599">
        <v>36593.989999999998</v>
      </c>
      <c r="E779" s="601">
        <f>Input!$C$14-C779+0.5</f>
        <v>31.5</v>
      </c>
      <c r="F779" s="600">
        <f t="shared" si="114"/>
        <v>1152710.6849999998</v>
      </c>
      <c r="G779" s="600"/>
      <c r="H779" s="317"/>
      <c r="I779" s="600"/>
      <c r="J779" s="600"/>
      <c r="K779" s="600"/>
      <c r="L779" s="600"/>
      <c r="M779" s="600"/>
      <c r="N779" s="600"/>
      <c r="O779" s="600">
        <f t="shared" si="115"/>
        <v>36593.989999999998</v>
      </c>
      <c r="P779" s="601">
        <f t="shared" si="111"/>
        <v>31.5</v>
      </c>
      <c r="Q779" s="600">
        <f t="shared" si="112"/>
        <v>1152710.6849999998</v>
      </c>
    </row>
    <row r="780" spans="1:17" s="598" customFormat="1" ht="15" outlineLevel="1">
      <c r="A780" s="597">
        <v>3870</v>
      </c>
      <c r="B780" s="598" t="s">
        <v>538</v>
      </c>
      <c r="C780" s="598">
        <v>1992</v>
      </c>
      <c r="D780" s="599">
        <v>8556.8400000000001</v>
      </c>
      <c r="E780" s="601">
        <f>Input!$C$14-C780+0.5</f>
        <v>30.5</v>
      </c>
      <c r="F780" s="600">
        <f t="shared" si="114"/>
        <v>260983.62</v>
      </c>
      <c r="G780" s="600"/>
      <c r="H780" s="317"/>
      <c r="I780" s="600"/>
      <c r="J780" s="600"/>
      <c r="K780" s="600"/>
      <c r="L780" s="600"/>
      <c r="M780" s="600"/>
      <c r="N780" s="600"/>
      <c r="O780" s="600">
        <f t="shared" si="115"/>
        <v>8556.8400000000001</v>
      </c>
      <c r="P780" s="601">
        <f t="shared" si="111"/>
        <v>30.5</v>
      </c>
      <c r="Q780" s="600">
        <f t="shared" si="112"/>
        <v>260983.62</v>
      </c>
    </row>
    <row r="781" spans="1:17" s="598" customFormat="1" ht="15" outlineLevel="1">
      <c r="A781" s="597">
        <v>3870</v>
      </c>
      <c r="B781" s="598" t="s">
        <v>538</v>
      </c>
      <c r="C781" s="598">
        <v>1993</v>
      </c>
      <c r="D781" s="599">
        <v>18872.340000000004</v>
      </c>
      <c r="E781" s="601">
        <f>Input!$C$14-C781+0.5</f>
        <v>29.5</v>
      </c>
      <c r="F781" s="600">
        <f t="shared" si="114"/>
        <v>556734.03000000014</v>
      </c>
      <c r="G781" s="600"/>
      <c r="H781" s="317"/>
      <c r="I781" s="600"/>
      <c r="J781" s="600"/>
      <c r="K781" s="600"/>
      <c r="L781" s="600"/>
      <c r="M781" s="600"/>
      <c r="N781" s="600"/>
      <c r="O781" s="600">
        <f t="shared" si="115"/>
        <v>18872.340000000004</v>
      </c>
      <c r="P781" s="601">
        <f t="shared" si="111"/>
        <v>29.5</v>
      </c>
      <c r="Q781" s="600">
        <f t="shared" si="112"/>
        <v>556734.03000000014</v>
      </c>
    </row>
    <row r="782" spans="1:17" s="598" customFormat="1" ht="15" outlineLevel="1">
      <c r="A782" s="597">
        <v>3870</v>
      </c>
      <c r="B782" s="598" t="s">
        <v>538</v>
      </c>
      <c r="C782" s="598">
        <v>1994</v>
      </c>
      <c r="D782" s="599">
        <v>20961.490000000002</v>
      </c>
      <c r="E782" s="601">
        <f>Input!$C$14-C782+0.5</f>
        <v>28.5</v>
      </c>
      <c r="F782" s="600">
        <f t="shared" si="114"/>
        <v>597402.46500000008</v>
      </c>
      <c r="G782" s="600"/>
      <c r="H782" s="317"/>
      <c r="I782" s="600"/>
      <c r="J782" s="600"/>
      <c r="K782" s="600"/>
      <c r="L782" s="600"/>
      <c r="M782" s="600"/>
      <c r="N782" s="600"/>
      <c r="O782" s="600">
        <f t="shared" si="115"/>
        <v>20961.490000000002</v>
      </c>
      <c r="P782" s="601">
        <f t="shared" si="111"/>
        <v>28.5</v>
      </c>
      <c r="Q782" s="600">
        <f t="shared" si="112"/>
        <v>597402.46500000008</v>
      </c>
    </row>
    <row r="783" spans="1:17" s="598" customFormat="1" ht="15" outlineLevel="1">
      <c r="A783" s="597">
        <v>3870</v>
      </c>
      <c r="B783" s="598" t="s">
        <v>538</v>
      </c>
      <c r="C783" s="598">
        <v>1995</v>
      </c>
      <c r="D783" s="599">
        <v>15846.940000000001</v>
      </c>
      <c r="E783" s="601">
        <f>Input!$C$14-C783+0.5</f>
        <v>27.5</v>
      </c>
      <c r="F783" s="600">
        <f t="shared" si="114"/>
        <v>435790.85000000003</v>
      </c>
      <c r="G783" s="600"/>
      <c r="H783" s="317"/>
      <c r="I783" s="600"/>
      <c r="J783" s="600"/>
      <c r="K783" s="600"/>
      <c r="L783" s="600"/>
      <c r="M783" s="600"/>
      <c r="N783" s="600"/>
      <c r="O783" s="600">
        <f t="shared" si="115"/>
        <v>15846.940000000001</v>
      </c>
      <c r="P783" s="601">
        <f t="shared" si="111"/>
        <v>27.5</v>
      </c>
      <c r="Q783" s="600">
        <f t="shared" si="112"/>
        <v>435790.85000000003</v>
      </c>
    </row>
    <row r="784" spans="1:17" s="598" customFormat="1" ht="15" outlineLevel="1">
      <c r="A784" s="597">
        <v>3870</v>
      </c>
      <c r="B784" s="598" t="s">
        <v>538</v>
      </c>
      <c r="C784" s="598">
        <v>1996</v>
      </c>
      <c r="D784" s="599">
        <v>6674.2600000000002</v>
      </c>
      <c r="E784" s="601">
        <f>Input!$C$14-C784+0.5</f>
        <v>26.5</v>
      </c>
      <c r="F784" s="600">
        <f t="shared" si="114"/>
        <v>176867.89000000001</v>
      </c>
      <c r="G784" s="600"/>
      <c r="H784" s="317"/>
      <c r="I784" s="600"/>
      <c r="J784" s="600"/>
      <c r="K784" s="600"/>
      <c r="L784" s="600"/>
      <c r="M784" s="600"/>
      <c r="N784" s="600"/>
      <c r="O784" s="600">
        <f t="shared" si="115"/>
        <v>6674.2600000000002</v>
      </c>
      <c r="P784" s="601">
        <f t="shared" si="111"/>
        <v>26.5</v>
      </c>
      <c r="Q784" s="600">
        <f t="shared" si="112"/>
        <v>176867.89000000001</v>
      </c>
    </row>
    <row r="785" spans="1:17" s="598" customFormat="1" ht="15" outlineLevel="1">
      <c r="A785" s="597">
        <v>3870</v>
      </c>
      <c r="B785" s="598" t="s">
        <v>538</v>
      </c>
      <c r="C785" s="598">
        <v>1997</v>
      </c>
      <c r="D785" s="599">
        <v>18897.360000000001</v>
      </c>
      <c r="E785" s="601">
        <f>Input!$C$14-C785+0.5</f>
        <v>25.5</v>
      </c>
      <c r="F785" s="600">
        <f t="shared" si="114"/>
        <v>481882.67999999999</v>
      </c>
      <c r="G785" s="600"/>
      <c r="H785" s="317"/>
      <c r="I785" s="600"/>
      <c r="J785" s="600"/>
      <c r="K785" s="600"/>
      <c r="L785" s="600"/>
      <c r="M785" s="600"/>
      <c r="N785" s="600"/>
      <c r="O785" s="600">
        <f t="shared" si="115"/>
        <v>18897.360000000001</v>
      </c>
      <c r="P785" s="601">
        <f t="shared" si="111"/>
        <v>25.5</v>
      </c>
      <c r="Q785" s="600">
        <f t="shared" si="112"/>
        <v>481882.67999999999</v>
      </c>
    </row>
    <row r="786" spans="1:17" s="598" customFormat="1" ht="15" outlineLevel="1">
      <c r="A786" s="597">
        <v>3870</v>
      </c>
      <c r="B786" s="598" t="s">
        <v>538</v>
      </c>
      <c r="C786" s="598">
        <v>1998</v>
      </c>
      <c r="D786" s="599">
        <v>38706.279999999999</v>
      </c>
      <c r="E786" s="601">
        <f>Input!$C$14-C786+0.5</f>
        <v>24.5</v>
      </c>
      <c r="F786" s="600">
        <f t="shared" si="114"/>
        <v>948303.85999999999</v>
      </c>
      <c r="G786" s="600"/>
      <c r="H786" s="317"/>
      <c r="I786" s="600"/>
      <c r="J786" s="600"/>
      <c r="K786" s="600"/>
      <c r="L786" s="600"/>
      <c r="M786" s="600"/>
      <c r="N786" s="600"/>
      <c r="O786" s="600">
        <f t="shared" si="115"/>
        <v>38706.279999999999</v>
      </c>
      <c r="P786" s="601">
        <f t="shared" si="111"/>
        <v>24.5</v>
      </c>
      <c r="Q786" s="600">
        <f t="shared" si="112"/>
        <v>948303.85999999999</v>
      </c>
    </row>
    <row r="787" spans="1:17" s="598" customFormat="1" ht="15" outlineLevel="1">
      <c r="A787" s="597">
        <v>3870</v>
      </c>
      <c r="B787" s="598" t="s">
        <v>538</v>
      </c>
      <c r="C787" s="598">
        <v>1999</v>
      </c>
      <c r="D787" s="599">
        <v>62330.740000000005</v>
      </c>
      <c r="E787" s="601">
        <f>Input!$C$14-C787+0.5</f>
        <v>23.5</v>
      </c>
      <c r="F787" s="600">
        <f t="shared" si="114"/>
        <v>1464772.3900000001</v>
      </c>
      <c r="G787" s="600"/>
      <c r="H787" s="317"/>
      <c r="I787" s="600"/>
      <c r="J787" s="600"/>
      <c r="K787" s="600"/>
      <c r="L787" s="600"/>
      <c r="M787" s="600"/>
      <c r="N787" s="600"/>
      <c r="O787" s="600">
        <f t="shared" si="115"/>
        <v>62330.740000000005</v>
      </c>
      <c r="P787" s="601">
        <f t="shared" si="111"/>
        <v>23.5</v>
      </c>
      <c r="Q787" s="600">
        <f t="shared" si="112"/>
        <v>1464772.3900000001</v>
      </c>
    </row>
    <row r="788" spans="1:17" s="598" customFormat="1" ht="15" outlineLevel="1">
      <c r="A788" s="597">
        <v>3870</v>
      </c>
      <c r="B788" s="598" t="s">
        <v>538</v>
      </c>
      <c r="C788" s="598">
        <v>2000</v>
      </c>
      <c r="D788" s="599">
        <f>37913.18+10394.35</f>
        <v>48307.529999999999</v>
      </c>
      <c r="E788" s="601">
        <f>Input!$C$14-C788+0.5</f>
        <v>22.5</v>
      </c>
      <c r="F788" s="600">
        <f t="shared" si="114"/>
        <v>1086919.425</v>
      </c>
      <c r="G788" s="600"/>
      <c r="H788" s="317"/>
      <c r="I788" s="600"/>
      <c r="J788" s="600"/>
      <c r="K788" s="600"/>
      <c r="L788" s="600"/>
      <c r="M788" s="600"/>
      <c r="N788" s="600"/>
      <c r="O788" s="600">
        <f t="shared" si="115"/>
        <v>48307.529999999999</v>
      </c>
      <c r="P788" s="601">
        <f t="shared" si="111"/>
        <v>22.5</v>
      </c>
      <c r="Q788" s="600">
        <f t="shared" si="112"/>
        <v>1086919.425</v>
      </c>
    </row>
    <row r="789" spans="1:17" s="598" customFormat="1" ht="15" outlineLevel="1">
      <c r="A789" s="597">
        <v>3870</v>
      </c>
      <c r="B789" s="598" t="s">
        <v>538</v>
      </c>
      <c r="C789" s="598">
        <v>2001</v>
      </c>
      <c r="D789" s="599">
        <v>105910.7</v>
      </c>
      <c r="E789" s="601">
        <f>Input!$C$14-C789+0.5</f>
        <v>21.5</v>
      </c>
      <c r="F789" s="600">
        <f t="shared" si="114"/>
        <v>2277080.0499999998</v>
      </c>
      <c r="G789" s="600"/>
      <c r="H789" s="317"/>
      <c r="I789" s="600"/>
      <c r="J789" s="600"/>
      <c r="K789" s="600"/>
      <c r="L789" s="600"/>
      <c r="M789" s="600"/>
      <c r="N789" s="600"/>
      <c r="O789" s="600">
        <f t="shared" si="115"/>
        <v>105910.7</v>
      </c>
      <c r="P789" s="601">
        <f t="shared" si="111"/>
        <v>21.5</v>
      </c>
      <c r="Q789" s="600">
        <f t="shared" si="112"/>
        <v>2277080.0499999998</v>
      </c>
    </row>
    <row r="790" spans="1:17" s="598" customFormat="1" ht="15" outlineLevel="1">
      <c r="A790" s="597">
        <v>3870</v>
      </c>
      <c r="B790" s="598" t="s">
        <v>538</v>
      </c>
      <c r="C790" s="598">
        <v>2002</v>
      </c>
      <c r="D790" s="599">
        <f>32654.44+2766.44</f>
        <v>35420.879999999997</v>
      </c>
      <c r="E790" s="601">
        <f>Input!$C$14-C790+0.5</f>
        <v>20.5</v>
      </c>
      <c r="F790" s="600">
        <f t="shared" si="114"/>
        <v>726128.03999999992</v>
      </c>
      <c r="G790" s="600"/>
      <c r="H790" s="317"/>
      <c r="I790" s="600"/>
      <c r="J790" s="600"/>
      <c r="K790" s="600"/>
      <c r="L790" s="600"/>
      <c r="M790" s="600"/>
      <c r="N790" s="600"/>
      <c r="O790" s="600">
        <f t="shared" si="115"/>
        <v>35420.879999999997</v>
      </c>
      <c r="P790" s="601">
        <f t="shared" si="111"/>
        <v>20.5</v>
      </c>
      <c r="Q790" s="600">
        <f t="shared" si="112"/>
        <v>726128.03999999992</v>
      </c>
    </row>
    <row r="791" spans="1:17" s="598" customFormat="1" ht="15" outlineLevel="1">
      <c r="A791" s="597">
        <v>3870</v>
      </c>
      <c r="B791" s="598" t="s">
        <v>538</v>
      </c>
      <c r="C791" s="598">
        <v>2003</v>
      </c>
      <c r="D791" s="599">
        <v>86403.690000000002</v>
      </c>
      <c r="E791" s="601">
        <f>Input!$C$14-C791+0.5</f>
        <v>19.5</v>
      </c>
      <c r="F791" s="600">
        <f t="shared" si="114"/>
        <v>1684871.9550000001</v>
      </c>
      <c r="G791" s="600"/>
      <c r="H791" s="317"/>
      <c r="I791" s="600"/>
      <c r="J791" s="600"/>
      <c r="K791" s="600"/>
      <c r="L791" s="600"/>
      <c r="M791" s="600"/>
      <c r="N791" s="600"/>
      <c r="O791" s="600">
        <f t="shared" si="115"/>
        <v>86403.690000000002</v>
      </c>
      <c r="P791" s="601">
        <f t="shared" si="111"/>
        <v>19.5</v>
      </c>
      <c r="Q791" s="600">
        <f t="shared" si="112"/>
        <v>1684871.9550000001</v>
      </c>
    </row>
    <row r="792" spans="1:17" s="598" customFormat="1" ht="15" outlineLevel="1">
      <c r="A792" s="597">
        <v>3870</v>
      </c>
      <c r="B792" s="598" t="s">
        <v>538</v>
      </c>
      <c r="C792" s="598">
        <v>2004</v>
      </c>
      <c r="D792" s="599">
        <f>41697.74+538.85</f>
        <v>42236.589999999997</v>
      </c>
      <c r="E792" s="601">
        <f>Input!$C$14-C792+0.5</f>
        <v>18.5</v>
      </c>
      <c r="F792" s="600">
        <f t="shared" si="114"/>
        <v>781376.91499999992</v>
      </c>
      <c r="G792" s="600"/>
      <c r="H792" s="317"/>
      <c r="I792" s="600"/>
      <c r="J792" s="600"/>
      <c r="K792" s="600"/>
      <c r="L792" s="600"/>
      <c r="M792" s="600"/>
      <c r="N792" s="600"/>
      <c r="O792" s="600">
        <f t="shared" si="115"/>
        <v>42236.589999999997</v>
      </c>
      <c r="P792" s="601">
        <f t="shared" si="111"/>
        <v>18.5</v>
      </c>
      <c r="Q792" s="600">
        <f t="shared" si="112"/>
        <v>781376.91499999992</v>
      </c>
    </row>
    <row r="793" spans="1:17" s="598" customFormat="1" ht="15" outlineLevel="1">
      <c r="A793" s="597">
        <v>3870</v>
      </c>
      <c r="B793" s="598" t="s">
        <v>538</v>
      </c>
      <c r="C793" s="598">
        <v>2005</v>
      </c>
      <c r="D793" s="599">
        <v>44637.720000000008</v>
      </c>
      <c r="E793" s="601">
        <f>Input!$C$14-C793+0.5</f>
        <v>17.5</v>
      </c>
      <c r="F793" s="600">
        <f t="shared" si="114"/>
        <v>781160.10000000009</v>
      </c>
      <c r="G793" s="600"/>
      <c r="H793" s="317"/>
      <c r="I793" s="600"/>
      <c r="J793" s="600"/>
      <c r="K793" s="600"/>
      <c r="L793" s="600"/>
      <c r="M793" s="600"/>
      <c r="N793" s="600"/>
      <c r="O793" s="600">
        <f t="shared" si="115"/>
        <v>44637.720000000008</v>
      </c>
      <c r="P793" s="601">
        <f t="shared" si="111"/>
        <v>17.5</v>
      </c>
      <c r="Q793" s="600">
        <f t="shared" si="112"/>
        <v>781160.10000000009</v>
      </c>
    </row>
    <row r="794" spans="1:17" s="598" customFormat="1" ht="15" outlineLevel="1">
      <c r="A794" s="597">
        <v>3870</v>
      </c>
      <c r="B794" s="598" t="s">
        <v>538</v>
      </c>
      <c r="C794" s="598">
        <v>2006</v>
      </c>
      <c r="D794" s="599">
        <f>68153.42+3431.47</f>
        <v>71584.889999999999</v>
      </c>
      <c r="E794" s="601">
        <f>Input!$C$14-C794+0.5</f>
        <v>16.5</v>
      </c>
      <c r="F794" s="600">
        <f t="shared" si="114"/>
        <v>1181150.6850000001</v>
      </c>
      <c r="G794" s="600"/>
      <c r="H794" s="317"/>
      <c r="I794" s="600"/>
      <c r="J794" s="600"/>
      <c r="K794" s="600"/>
      <c r="L794" s="600"/>
      <c r="M794" s="600"/>
      <c r="N794" s="600"/>
      <c r="O794" s="600">
        <f t="shared" si="115"/>
        <v>71584.889999999999</v>
      </c>
      <c r="P794" s="601">
        <f t="shared" si="111"/>
        <v>16.5</v>
      </c>
      <c r="Q794" s="600">
        <f t="shared" si="112"/>
        <v>1181150.6850000001</v>
      </c>
    </row>
    <row r="795" spans="1:17" s="598" customFormat="1" ht="15" outlineLevel="1">
      <c r="A795" s="597">
        <v>3870</v>
      </c>
      <c r="B795" s="598" t="s">
        <v>538</v>
      </c>
      <c r="C795" s="598">
        <v>2007</v>
      </c>
      <c r="D795" s="599">
        <f>142822.26+3095</f>
        <v>145917.26000000001</v>
      </c>
      <c r="E795" s="601">
        <f>Input!$C$14-C795+0.5</f>
        <v>15.5</v>
      </c>
      <c r="F795" s="600">
        <f t="shared" si="114"/>
        <v>2261717.5300000003</v>
      </c>
      <c r="G795" s="600"/>
      <c r="H795" s="317"/>
      <c r="I795" s="600"/>
      <c r="J795" s="600"/>
      <c r="K795" s="600"/>
      <c r="L795" s="600"/>
      <c r="M795" s="600"/>
      <c r="N795" s="600"/>
      <c r="O795" s="600">
        <f t="shared" si="115"/>
        <v>145917.26000000001</v>
      </c>
      <c r="P795" s="601">
        <f t="shared" si="111"/>
        <v>15.5</v>
      </c>
      <c r="Q795" s="600">
        <f t="shared" si="112"/>
        <v>2261717.5300000003</v>
      </c>
    </row>
    <row r="796" spans="1:17" s="598" customFormat="1" ht="15" outlineLevel="1">
      <c r="A796" s="597">
        <v>3870</v>
      </c>
      <c r="B796" s="598" t="s">
        <v>538</v>
      </c>
      <c r="C796" s="598">
        <v>2008</v>
      </c>
      <c r="D796" s="599">
        <v>68683.540000000008</v>
      </c>
      <c r="E796" s="601">
        <f>Input!$C$14-C796+0.5</f>
        <v>14.5</v>
      </c>
      <c r="F796" s="600">
        <f t="shared" si="114"/>
        <v>995911.33000000007</v>
      </c>
      <c r="G796" s="600"/>
      <c r="H796" s="317"/>
      <c r="I796" s="600"/>
      <c r="J796" s="600"/>
      <c r="K796" s="600"/>
      <c r="L796" s="600"/>
      <c r="M796" s="600"/>
      <c r="N796" s="600"/>
      <c r="O796" s="600">
        <f t="shared" si="115"/>
        <v>68683.540000000008</v>
      </c>
      <c r="P796" s="601">
        <f t="shared" si="111"/>
        <v>14.5</v>
      </c>
      <c r="Q796" s="600">
        <f t="shared" si="112"/>
        <v>995911.33000000007</v>
      </c>
    </row>
    <row r="797" spans="1:17" s="598" customFormat="1" ht="15" outlineLevel="1">
      <c r="A797" s="597">
        <v>3870</v>
      </c>
      <c r="B797" s="598" t="s">
        <v>538</v>
      </c>
      <c r="C797" s="598">
        <v>2009</v>
      </c>
      <c r="D797" s="599">
        <v>240564.70999999999</v>
      </c>
      <c r="E797" s="601">
        <f>Input!$C$14-C797+0.5</f>
        <v>13.5</v>
      </c>
      <c r="F797" s="600">
        <f t="shared" si="114"/>
        <v>3247623.585</v>
      </c>
      <c r="G797" s="600"/>
      <c r="H797" s="317"/>
      <c r="I797" s="600"/>
      <c r="J797" s="600"/>
      <c r="K797" s="600"/>
      <c r="L797" s="600"/>
      <c r="M797" s="600"/>
      <c r="N797" s="600"/>
      <c r="O797" s="600">
        <f t="shared" si="115"/>
        <v>240564.70999999999</v>
      </c>
      <c r="P797" s="601">
        <f t="shared" si="111"/>
        <v>13.5</v>
      </c>
      <c r="Q797" s="600">
        <f t="shared" si="112"/>
        <v>3247623.585</v>
      </c>
    </row>
    <row r="798" spans="1:17" s="598" customFormat="1" ht="15" outlineLevel="1">
      <c r="A798" s="597">
        <v>3870</v>
      </c>
      <c r="B798" s="598" t="s">
        <v>538</v>
      </c>
      <c r="C798" s="598">
        <v>2010</v>
      </c>
      <c r="D798" s="599">
        <v>25792.900000000001</v>
      </c>
      <c r="E798" s="601">
        <f>Input!$C$14-C798+0.5</f>
        <v>12.5</v>
      </c>
      <c r="F798" s="600">
        <f t="shared" si="114"/>
        <v>322411.25</v>
      </c>
      <c r="G798" s="600"/>
      <c r="H798" s="317"/>
      <c r="I798" s="600"/>
      <c r="J798" s="600"/>
      <c r="K798" s="600"/>
      <c r="L798" s="600"/>
      <c r="M798" s="600"/>
      <c r="N798" s="600"/>
      <c r="O798" s="600">
        <f t="shared" si="115"/>
        <v>25792.900000000001</v>
      </c>
      <c r="P798" s="601">
        <f t="shared" si="111"/>
        <v>12.5</v>
      </c>
      <c r="Q798" s="600">
        <f t="shared" si="112"/>
        <v>322411.25</v>
      </c>
    </row>
    <row r="799" spans="1:17" s="598" customFormat="1" ht="15" outlineLevel="1">
      <c r="A799" s="597">
        <v>3870</v>
      </c>
      <c r="B799" s="598" t="s">
        <v>538</v>
      </c>
      <c r="C799" s="598">
        <v>2011</v>
      </c>
      <c r="D799" s="599">
        <v>60889.029999999999</v>
      </c>
      <c r="E799" s="601">
        <f>Input!$C$14-C799+0.5</f>
        <v>11.5</v>
      </c>
      <c r="F799" s="600">
        <f t="shared" si="114"/>
        <v>700223.84499999997</v>
      </c>
      <c r="G799" s="600"/>
      <c r="H799" s="317"/>
      <c r="I799" s="600"/>
      <c r="J799" s="600"/>
      <c r="K799" s="600"/>
      <c r="L799" s="600"/>
      <c r="M799" s="600"/>
      <c r="N799" s="600"/>
      <c r="O799" s="600">
        <f t="shared" si="115"/>
        <v>60889.029999999999</v>
      </c>
      <c r="P799" s="601">
        <f t="shared" si="111"/>
        <v>11.5</v>
      </c>
      <c r="Q799" s="600">
        <f t="shared" si="112"/>
        <v>700223.84499999997</v>
      </c>
    </row>
    <row r="800" spans="1:17" s="598" customFormat="1" ht="15" outlineLevel="1">
      <c r="A800" s="597">
        <v>3870</v>
      </c>
      <c r="B800" s="598" t="s">
        <v>538</v>
      </c>
      <c r="C800" s="598">
        <v>2012</v>
      </c>
      <c r="D800" s="599">
        <v>97199.950000000012</v>
      </c>
      <c r="E800" s="601">
        <f>Input!$C$14-C800+0.5</f>
        <v>10.5</v>
      </c>
      <c r="F800" s="600">
        <f t="shared" si="114"/>
        <v>1020599.4750000001</v>
      </c>
      <c r="G800" s="600"/>
      <c r="H800" s="317"/>
      <c r="I800" s="600"/>
      <c r="J800" s="600"/>
      <c r="K800" s="600"/>
      <c r="L800" s="600"/>
      <c r="M800" s="600"/>
      <c r="N800" s="600"/>
      <c r="O800" s="600">
        <f t="shared" si="115"/>
        <v>97199.950000000012</v>
      </c>
      <c r="P800" s="601">
        <f t="shared" si="111"/>
        <v>10.5</v>
      </c>
      <c r="Q800" s="600">
        <f t="shared" si="112"/>
        <v>1020599.4750000001</v>
      </c>
    </row>
    <row r="801" spans="1:17" s="598" customFormat="1" ht="15" outlineLevel="1">
      <c r="A801" s="597">
        <v>3870</v>
      </c>
      <c r="B801" s="598" t="s">
        <v>538</v>
      </c>
      <c r="C801" s="598">
        <v>2013</v>
      </c>
      <c r="D801" s="599">
        <f>221967.7-24376.11</f>
        <v>197591.59000000003</v>
      </c>
      <c r="E801" s="601">
        <f>Input!$C$14-C801+0.5</f>
        <v>9.5</v>
      </c>
      <c r="F801" s="600">
        <f t="shared" si="114"/>
        <v>1877120.1050000002</v>
      </c>
      <c r="G801" s="600"/>
      <c r="H801" s="317"/>
      <c r="I801" s="600"/>
      <c r="J801" s="600"/>
      <c r="K801" s="600"/>
      <c r="L801" s="600"/>
      <c r="M801" s="600"/>
      <c r="N801" s="600"/>
      <c r="O801" s="600">
        <f t="shared" si="115"/>
        <v>197591.59000000003</v>
      </c>
      <c r="P801" s="601">
        <f t="shared" si="111"/>
        <v>9.5</v>
      </c>
      <c r="Q801" s="600">
        <f t="shared" si="112"/>
        <v>1877120.1050000002</v>
      </c>
    </row>
    <row r="802" spans="1:17" s="598" customFormat="1" ht="15" outlineLevel="1">
      <c r="A802" s="597">
        <v>3870</v>
      </c>
      <c r="B802" s="598" t="s">
        <v>538</v>
      </c>
      <c r="C802" s="598">
        <v>2014</v>
      </c>
      <c r="D802" s="599">
        <v>223716.15000000002</v>
      </c>
      <c r="E802" s="601">
        <f>Input!$C$14-C802+0.5</f>
        <v>8.5</v>
      </c>
      <c r="F802" s="600">
        <f t="shared" si="114"/>
        <v>1901587.2750000001</v>
      </c>
      <c r="G802" s="600"/>
      <c r="H802" s="317"/>
      <c r="I802" s="600"/>
      <c r="J802" s="600"/>
      <c r="K802" s="600"/>
      <c r="L802" s="600"/>
      <c r="M802" s="600"/>
      <c r="N802" s="600"/>
      <c r="O802" s="600">
        <f t="shared" si="115"/>
        <v>223716.15000000002</v>
      </c>
      <c r="P802" s="601">
        <f t="shared" si="111"/>
        <v>8.5</v>
      </c>
      <c r="Q802" s="600">
        <f t="shared" si="112"/>
        <v>1901587.2750000001</v>
      </c>
    </row>
    <row r="803" spans="1:17" s="598" customFormat="1" ht="15" outlineLevel="1">
      <c r="A803" s="597">
        <v>3870</v>
      </c>
      <c r="B803" s="598" t="s">
        <v>538</v>
      </c>
      <c r="C803" s="598">
        <v>2015</v>
      </c>
      <c r="D803" s="599">
        <v>192709.41000000003</v>
      </c>
      <c r="E803" s="601">
        <f>Input!$C$14-C803+0.5</f>
        <v>7.5</v>
      </c>
      <c r="F803" s="600">
        <f t="shared" si="114"/>
        <v>1445320.5750000002</v>
      </c>
      <c r="G803" s="600"/>
      <c r="H803" s="317"/>
      <c r="I803" s="600"/>
      <c r="J803" s="600"/>
      <c r="K803" s="600"/>
      <c r="L803" s="600"/>
      <c r="M803" s="600"/>
      <c r="N803" s="600"/>
      <c r="O803" s="600">
        <f t="shared" si="115"/>
        <v>192709.41000000003</v>
      </c>
      <c r="P803" s="601">
        <f t="shared" si="111"/>
        <v>7.5</v>
      </c>
      <c r="Q803" s="600">
        <f t="shared" si="112"/>
        <v>1445320.5750000002</v>
      </c>
    </row>
    <row r="804" spans="1:17" s="598" customFormat="1" ht="15" outlineLevel="1">
      <c r="A804" s="597">
        <v>3870</v>
      </c>
      <c r="B804" s="598" t="s">
        <v>538</v>
      </c>
      <c r="C804" s="598">
        <v>2016</v>
      </c>
      <c r="D804" s="599">
        <v>469301.77000000002</v>
      </c>
      <c r="E804" s="601">
        <f>Input!$C$14-C804+0.5</f>
        <v>6.5</v>
      </c>
      <c r="F804" s="600">
        <f t="shared" si="114"/>
        <v>3050461.5049999999</v>
      </c>
      <c r="G804" s="600"/>
      <c r="H804" s="317"/>
      <c r="I804" s="600"/>
      <c r="J804" s="600"/>
      <c r="K804" s="600"/>
      <c r="L804" s="600"/>
      <c r="M804" s="600"/>
      <c r="N804" s="600"/>
      <c r="O804" s="600">
        <f t="shared" si="115"/>
        <v>469301.77000000002</v>
      </c>
      <c r="P804" s="601">
        <f t="shared" si="111"/>
        <v>6.5</v>
      </c>
      <c r="Q804" s="600">
        <f t="shared" si="112"/>
        <v>3050461.5049999999</v>
      </c>
    </row>
    <row r="805" spans="1:17" s="598" customFormat="1" ht="15" outlineLevel="1">
      <c r="A805" s="597">
        <v>3870</v>
      </c>
      <c r="B805" s="598" t="s">
        <v>538</v>
      </c>
      <c r="C805" s="598">
        <v>2017</v>
      </c>
      <c r="D805" s="599">
        <v>165027.79999999999</v>
      </c>
      <c r="E805" s="601">
        <f>Input!$C$14-C805+0.5</f>
        <v>5.5</v>
      </c>
      <c r="F805" s="600">
        <f t="shared" si="114"/>
        <v>907652.89999999991</v>
      </c>
      <c r="G805" s="600"/>
      <c r="H805" s="317"/>
      <c r="I805" s="600"/>
      <c r="J805" s="600"/>
      <c r="K805" s="600"/>
      <c r="L805" s="600"/>
      <c r="M805" s="600"/>
      <c r="N805" s="600"/>
      <c r="O805" s="600">
        <f t="shared" si="115"/>
        <v>165027.79999999999</v>
      </c>
      <c r="P805" s="601">
        <f t="shared" si="111"/>
        <v>5.5</v>
      </c>
      <c r="Q805" s="600">
        <f t="shared" si="112"/>
        <v>907652.89999999991</v>
      </c>
    </row>
    <row r="806" spans="1:17" s="598" customFormat="1" ht="15" outlineLevel="1">
      <c r="A806" s="597">
        <v>3870</v>
      </c>
      <c r="B806" s="598" t="s">
        <v>538</v>
      </c>
      <c r="C806" s="598">
        <v>2018</v>
      </c>
      <c r="D806" s="599">
        <v>208584.14999999999</v>
      </c>
      <c r="E806" s="601">
        <f>Input!$C$14-C806+0.5</f>
        <v>4.5</v>
      </c>
      <c r="F806" s="600">
        <f t="shared" si="114"/>
        <v>938628.67499999993</v>
      </c>
      <c r="G806" s="600"/>
      <c r="H806" s="317"/>
      <c r="I806" s="600"/>
      <c r="J806" s="600"/>
      <c r="K806" s="600"/>
      <c r="L806" s="600"/>
      <c r="M806" s="600"/>
      <c r="N806" s="600"/>
      <c r="O806" s="600">
        <f t="shared" si="115"/>
        <v>208584.14999999999</v>
      </c>
      <c r="P806" s="601">
        <f t="shared" si="111"/>
        <v>4.5</v>
      </c>
      <c r="Q806" s="600">
        <f t="shared" si="112"/>
        <v>938628.67499999993</v>
      </c>
    </row>
    <row r="807" spans="1:17" s="598" customFormat="1" ht="15" outlineLevel="1">
      <c r="A807" s="597">
        <v>3870</v>
      </c>
      <c r="B807" s="598" t="s">
        <v>538</v>
      </c>
      <c r="C807" s="598">
        <v>2019</v>
      </c>
      <c r="D807" s="599">
        <v>97982.860000000001</v>
      </c>
      <c r="E807" s="601">
        <f>Input!$C$14-C807+0.5</f>
        <v>3.5</v>
      </c>
      <c r="F807" s="600">
        <f t="shared" si="114"/>
        <v>342940.01000000001</v>
      </c>
      <c r="G807" s="600"/>
      <c r="H807" s="317"/>
      <c r="I807" s="600"/>
      <c r="J807" s="600"/>
      <c r="K807" s="600"/>
      <c r="L807" s="600"/>
      <c r="M807" s="600"/>
      <c r="N807" s="600"/>
      <c r="O807" s="600">
        <f t="shared" si="115"/>
        <v>97982.860000000001</v>
      </c>
      <c r="P807" s="601">
        <f t="shared" si="111"/>
        <v>3.5</v>
      </c>
      <c r="Q807" s="600">
        <f t="shared" si="112"/>
        <v>342940.01000000001</v>
      </c>
    </row>
    <row r="808" spans="1:17" s="598" customFormat="1" ht="15" outlineLevel="1">
      <c r="A808" s="597">
        <v>3870</v>
      </c>
      <c r="B808" s="598" t="s">
        <v>538</v>
      </c>
      <c r="C808" s="598">
        <v>2020</v>
      </c>
      <c r="D808" s="599">
        <v>70598.339999999997</v>
      </c>
      <c r="E808" s="601">
        <f>Input!$C$14-C808+0.5</f>
        <v>2.5</v>
      </c>
      <c r="F808" s="600">
        <f t="shared" si="114"/>
        <v>176495.84999999998</v>
      </c>
      <c r="G808" s="600"/>
      <c r="H808" s="317"/>
      <c r="I808" s="600"/>
      <c r="J808" s="600"/>
      <c r="K808" s="600"/>
      <c r="L808" s="600"/>
      <c r="M808" s="600"/>
      <c r="N808" s="600"/>
      <c r="O808" s="600">
        <f t="shared" si="115"/>
        <v>70598.339999999997</v>
      </c>
      <c r="P808" s="601">
        <f t="shared" si="111"/>
        <v>2.5</v>
      </c>
      <c r="Q808" s="600">
        <f t="shared" si="112"/>
        <v>176495.84999999998</v>
      </c>
    </row>
    <row r="809" spans="1:17" s="598" customFormat="1" ht="15" outlineLevel="1">
      <c r="A809" s="597">
        <v>3870</v>
      </c>
      <c r="B809" s="598" t="s">
        <v>538</v>
      </c>
      <c r="C809" s="598">
        <v>2021</v>
      </c>
      <c r="D809" s="599">
        <v>81040.850000000006</v>
      </c>
      <c r="E809" s="601">
        <f>Input!$C$14-C809+0.5</f>
        <v>1.5</v>
      </c>
      <c r="F809" s="600">
        <f t="shared" si="114"/>
        <v>121561.27500000001</v>
      </c>
      <c r="G809" s="600"/>
      <c r="H809" s="317"/>
      <c r="I809" s="600"/>
      <c r="J809" s="600"/>
      <c r="K809" s="600"/>
      <c r="L809" s="600"/>
      <c r="M809" s="600"/>
      <c r="N809" s="600"/>
      <c r="O809" s="600">
        <f t="shared" si="115"/>
        <v>81040.850000000006</v>
      </c>
      <c r="P809" s="601">
        <f t="shared" si="111"/>
        <v>1.5</v>
      </c>
      <c r="Q809" s="600">
        <f t="shared" si="112"/>
        <v>121561.27500000001</v>
      </c>
    </row>
    <row r="810" spans="1:20" s="598" customFormat="1" ht="13.5" thickBot="1">
      <c r="A810" s="563">
        <f>A809</f>
        <v>3870</v>
      </c>
      <c r="B810" s="564" t="s">
        <v>496</v>
      </c>
      <c r="D810" s="357">
        <f>SUM(D764:D809)</f>
        <v>3104302.2399999998</v>
      </c>
      <c r="E810" s="565">
        <f>ROUND(F810/D810,1)</f>
        <v>12.1</v>
      </c>
      <c r="F810" s="357">
        <f>SUM(F764:F809)</f>
        <v>37494238.879999995</v>
      </c>
      <c r="G810" s="358"/>
      <c r="H810" s="318"/>
      <c r="I810" s="357">
        <f>SUM(I764:I809)</f>
        <v>0</v>
      </c>
      <c r="J810" s="357">
        <f>SUM(J764:J809)</f>
        <v>0</v>
      </c>
      <c r="K810" s="357">
        <f t="shared" si="116" ref="K810:N810">SUM(K764:K809)</f>
        <v>0</v>
      </c>
      <c r="L810" s="357">
        <f t="shared" si="116"/>
        <v>0</v>
      </c>
      <c r="M810" s="357">
        <f t="shared" si="116"/>
        <v>0</v>
      </c>
      <c r="N810" s="357">
        <f t="shared" si="116"/>
        <v>0</v>
      </c>
      <c r="O810" s="357">
        <f>SUM(O764:O809)</f>
        <v>3104302.2399999998</v>
      </c>
      <c r="P810" s="565">
        <f>ROUND(Q810/O810,1)</f>
        <v>12.1</v>
      </c>
      <c r="Q810" s="357">
        <f>SUM(Q764:Q809)</f>
        <v>37494238.879999995</v>
      </c>
      <c r="S810" s="604">
        <f>'Sch. G 2021'!H30</f>
        <v>3104302</v>
      </c>
      <c r="T810" s="679">
        <f>D810-S810</f>
        <v>0.23999999975785613</v>
      </c>
    </row>
    <row r="811" spans="1:20" s="598" customFormat="1" ht="15.75" thickTop="1">
      <c r="A811" s="566">
        <f>A809</f>
        <v>3870</v>
      </c>
      <c r="B811" s="490" t="str">
        <f>B809&amp;" - Additions"</f>
        <v>Other Eq - Additions</v>
      </c>
      <c r="C811" s="490">
        <v>2022</v>
      </c>
      <c r="D811" s="567">
        <f>'Sch. H'!N30</f>
        <v>354400.00000000012</v>
      </c>
      <c r="E811" s="601">
        <f>Input!$C$14-C811+0.5</f>
        <v>0.5</v>
      </c>
      <c r="F811" s="600">
        <f>D811*E811</f>
        <v>177200.00000000006</v>
      </c>
      <c r="G811" s="600"/>
      <c r="H811" s="317"/>
      <c r="I811" s="600"/>
      <c r="J811" s="600"/>
      <c r="K811" s="600"/>
      <c r="L811" s="600"/>
      <c r="M811" s="600"/>
      <c r="N811" s="600"/>
      <c r="O811" s="600">
        <f t="shared" si="117" ref="O811:O812">SUM(D811,I811:N811)</f>
        <v>354400.00000000012</v>
      </c>
      <c r="P811" s="601">
        <f t="shared" si="111"/>
        <v>0.5</v>
      </c>
      <c r="Q811" s="600">
        <f t="shared" si="112"/>
        <v>177200.00000000006</v>
      </c>
      <c r="T811" s="679"/>
    </row>
    <row r="812" spans="1:20" s="598" customFormat="1" ht="15">
      <c r="A812" s="566">
        <f>A811</f>
        <v>3870</v>
      </c>
      <c r="B812" s="490" t="str">
        <f>B809&amp;" - Retirements"</f>
        <v>Other Eq - Retirements</v>
      </c>
      <c r="C812" s="490">
        <v>2022</v>
      </c>
      <c r="D812" s="567">
        <f>-'Sch. F 2022'!AK90</f>
        <v>0</v>
      </c>
      <c r="E812" s="601">
        <f>'Sch. F 2022'!AK92</f>
        <v>0</v>
      </c>
      <c r="F812" s="600">
        <f>D812*E812</f>
        <v>0</v>
      </c>
      <c r="G812" s="600"/>
      <c r="H812" s="317"/>
      <c r="I812" s="600"/>
      <c r="J812" s="600"/>
      <c r="K812" s="600"/>
      <c r="L812" s="600"/>
      <c r="M812" s="600"/>
      <c r="N812" s="600"/>
      <c r="O812" s="600">
        <f t="shared" si="117"/>
        <v>0</v>
      </c>
      <c r="P812" s="601">
        <f t="shared" si="111"/>
        <v>0</v>
      </c>
      <c r="Q812" s="600">
        <f t="shared" si="112"/>
        <v>0</v>
      </c>
      <c r="T812" s="679"/>
    </row>
    <row r="813" spans="1:20" s="598" customFormat="1" ht="13.5" thickBot="1">
      <c r="A813" s="566"/>
      <c r="B813" s="564" t="s">
        <v>557</v>
      </c>
      <c r="C813" s="490"/>
      <c r="D813" s="568">
        <f>SUM(D810:D812)</f>
        <v>3458702.2399999998</v>
      </c>
      <c r="E813" s="565">
        <f>ROUND(F813/D813,1)</f>
        <v>10.9</v>
      </c>
      <c r="F813" s="569">
        <f>SUM(F810:F812)</f>
        <v>37671438.879999995</v>
      </c>
      <c r="G813" s="570"/>
      <c r="H813" s="372"/>
      <c r="I813" s="568">
        <f>SUM(I810:I812)</f>
        <v>0</v>
      </c>
      <c r="J813" s="568">
        <f>SUM(J810:J812)</f>
        <v>0</v>
      </c>
      <c r="K813" s="568">
        <f t="shared" si="118" ref="K813:N813">SUM(K810:K812)</f>
        <v>0</v>
      </c>
      <c r="L813" s="568">
        <f t="shared" si="118"/>
        <v>0</v>
      </c>
      <c r="M813" s="568">
        <f t="shared" si="118"/>
        <v>0</v>
      </c>
      <c r="N813" s="568">
        <f t="shared" si="118"/>
        <v>0</v>
      </c>
      <c r="O813" s="568">
        <f>SUM(O810:O812)</f>
        <v>3458702.2399999998</v>
      </c>
      <c r="P813" s="565">
        <f>ROUND(Q813/O813,1)</f>
        <v>10.9</v>
      </c>
      <c r="Q813" s="569">
        <f>SUM(Q810:Q812)</f>
        <v>37671438.879999995</v>
      </c>
      <c r="S813" s="604">
        <f>'Sch. G 2022'!H30</f>
        <v>3458702</v>
      </c>
      <c r="T813" s="679">
        <f>O813-S813</f>
        <v>0.23999999975785613</v>
      </c>
    </row>
    <row r="814" spans="1:20" s="598" customFormat="1" ht="15" thickTop="1">
      <c r="A814" s="563"/>
      <c r="B814" s="571"/>
      <c r="D814" s="358"/>
      <c r="E814" s="572"/>
      <c r="F814" s="358"/>
      <c r="G814" s="358"/>
      <c r="H814" s="318"/>
      <c r="I814" s="358"/>
      <c r="J814" s="358"/>
      <c r="K814" s="358"/>
      <c r="L814" s="358"/>
      <c r="M814" s="358"/>
      <c r="N814" s="358"/>
      <c r="O814" s="600"/>
      <c r="P814" s="601"/>
      <c r="Q814" s="600"/>
      <c r="T814" s="679"/>
    </row>
    <row r="815" spans="1:17" s="598" customFormat="1" ht="15" outlineLevel="1">
      <c r="A815" s="597">
        <v>3900</v>
      </c>
      <c r="B815" s="598" t="s">
        <v>505</v>
      </c>
      <c r="C815" s="598" t="s">
        <v>510</v>
      </c>
      <c r="D815" s="599">
        <v>2604.9700000000003</v>
      </c>
      <c r="E815" s="601">
        <f>Input!$C$14-C815+0.5</f>
        <v>39.5</v>
      </c>
      <c r="F815" s="600">
        <f t="shared" si="119" ref="F815:F835">D815*E815</f>
        <v>102896.31500000002</v>
      </c>
      <c r="G815" s="600"/>
      <c r="H815" s="317"/>
      <c r="I815" s="600"/>
      <c r="J815" s="600"/>
      <c r="K815" s="600"/>
      <c r="L815" s="600"/>
      <c r="M815" s="600"/>
      <c r="N815" s="600"/>
      <c r="O815" s="600">
        <f t="shared" si="120" ref="O815:O835">SUM(D815,I815:N815)</f>
        <v>2604.9700000000003</v>
      </c>
      <c r="P815" s="601">
        <f t="shared" si="111"/>
        <v>39.5</v>
      </c>
      <c r="Q815" s="600">
        <f t="shared" si="112"/>
        <v>102896.31500000002</v>
      </c>
    </row>
    <row r="816" spans="1:17" s="598" customFormat="1" ht="15" outlineLevel="1">
      <c r="A816" s="597">
        <v>3900</v>
      </c>
      <c r="B816" s="598" t="s">
        <v>505</v>
      </c>
      <c r="C816" s="598" t="s">
        <v>511</v>
      </c>
      <c r="D816" s="599">
        <v>14815.610000000001</v>
      </c>
      <c r="E816" s="601">
        <f>Input!$C$14-C816+0.5</f>
        <v>21.5</v>
      </c>
      <c r="F816" s="600">
        <f t="shared" si="119"/>
        <v>318535.61499999999</v>
      </c>
      <c r="G816" s="600"/>
      <c r="H816" s="317"/>
      <c r="I816" s="600"/>
      <c r="J816" s="600"/>
      <c r="K816" s="600"/>
      <c r="L816" s="600"/>
      <c r="M816" s="600"/>
      <c r="N816" s="600"/>
      <c r="O816" s="600">
        <f t="shared" si="120"/>
        <v>14815.610000000001</v>
      </c>
      <c r="P816" s="601">
        <f t="shared" si="111"/>
        <v>21.5</v>
      </c>
      <c r="Q816" s="600">
        <f t="shared" si="112"/>
        <v>318535.61499999999</v>
      </c>
    </row>
    <row r="817" spans="1:17" s="598" customFormat="1" ht="15" outlineLevel="1">
      <c r="A817" s="597">
        <v>3900</v>
      </c>
      <c r="B817" s="598" t="s">
        <v>505</v>
      </c>
      <c r="C817" s="598" t="s">
        <v>512</v>
      </c>
      <c r="D817" s="599">
        <f>1253438.55-10601.45</f>
        <v>1242837.1000000001</v>
      </c>
      <c r="E817" s="601">
        <f>Input!$C$14-C817+0.5</f>
        <v>20.5</v>
      </c>
      <c r="F817" s="600">
        <f t="shared" si="119"/>
        <v>25478160.550000001</v>
      </c>
      <c r="G817" s="600"/>
      <c r="H817" s="317"/>
      <c r="I817" s="600"/>
      <c r="J817" s="600"/>
      <c r="K817" s="600"/>
      <c r="L817" s="600"/>
      <c r="M817" s="600"/>
      <c r="N817" s="600"/>
      <c r="O817" s="600">
        <f t="shared" si="120"/>
        <v>1242837.1000000001</v>
      </c>
      <c r="P817" s="601">
        <f t="shared" si="111"/>
        <v>20.5</v>
      </c>
      <c r="Q817" s="600">
        <f t="shared" si="112"/>
        <v>25478160.550000001</v>
      </c>
    </row>
    <row r="818" spans="1:17" s="598" customFormat="1" ht="15" outlineLevel="1">
      <c r="A818" s="597">
        <v>3900</v>
      </c>
      <c r="B818" s="598" t="s">
        <v>505</v>
      </c>
      <c r="C818" s="598" t="s">
        <v>481</v>
      </c>
      <c r="D818" s="599">
        <v>6344.7799999999988</v>
      </c>
      <c r="E818" s="601">
        <f>Input!$C$14-C818+0.5</f>
        <v>18.5</v>
      </c>
      <c r="F818" s="600">
        <f t="shared" si="119"/>
        <v>117378.42999999998</v>
      </c>
      <c r="G818" s="600"/>
      <c r="H818" s="317"/>
      <c r="I818" s="600"/>
      <c r="J818" s="600"/>
      <c r="K818" s="600"/>
      <c r="L818" s="600"/>
      <c r="M818" s="600"/>
      <c r="N818" s="600"/>
      <c r="O818" s="600">
        <f t="shared" si="120"/>
        <v>6344.7799999999988</v>
      </c>
      <c r="P818" s="601">
        <f t="shared" si="111"/>
        <v>18.5</v>
      </c>
      <c r="Q818" s="600">
        <f t="shared" si="112"/>
        <v>117378.42999999998</v>
      </c>
    </row>
    <row r="819" spans="1:17" s="598" customFormat="1" ht="15" outlineLevel="1">
      <c r="A819" s="597">
        <v>3900</v>
      </c>
      <c r="B819" s="598" t="s">
        <v>505</v>
      </c>
      <c r="C819" s="598" t="s">
        <v>513</v>
      </c>
      <c r="D819" s="599">
        <v>2850.3199999999997</v>
      </c>
      <c r="E819" s="601">
        <f>Input!$C$14-C819+0.5</f>
        <v>17.5</v>
      </c>
      <c r="F819" s="600">
        <f t="shared" si="119"/>
        <v>49880.599999999991</v>
      </c>
      <c r="G819" s="600"/>
      <c r="H819" s="317"/>
      <c r="I819" s="600"/>
      <c r="J819" s="600"/>
      <c r="K819" s="600"/>
      <c r="L819" s="600"/>
      <c r="M819" s="600"/>
      <c r="N819" s="600"/>
      <c r="O819" s="600">
        <f t="shared" si="120"/>
        <v>2850.3199999999997</v>
      </c>
      <c r="P819" s="601">
        <f t="shared" si="111"/>
        <v>17.5</v>
      </c>
      <c r="Q819" s="600">
        <f t="shared" si="112"/>
        <v>49880.599999999991</v>
      </c>
    </row>
    <row r="820" spans="1:17" s="598" customFormat="1" ht="15" outlineLevel="1">
      <c r="A820" s="597">
        <v>3900</v>
      </c>
      <c r="B820" s="598" t="s">
        <v>505</v>
      </c>
      <c r="C820" s="598" t="s">
        <v>483</v>
      </c>
      <c r="D820" s="599">
        <v>42641.360000000001</v>
      </c>
      <c r="E820" s="601">
        <f>Input!$C$14-C820+0.5</f>
        <v>16.5</v>
      </c>
      <c r="F820" s="600">
        <f t="shared" si="119"/>
        <v>703582.44000000006</v>
      </c>
      <c r="G820" s="600"/>
      <c r="H820" s="317"/>
      <c r="I820" s="600"/>
      <c r="J820" s="600"/>
      <c r="K820" s="600"/>
      <c r="L820" s="600"/>
      <c r="M820" s="600"/>
      <c r="N820" s="600"/>
      <c r="O820" s="600">
        <f t="shared" si="120"/>
        <v>42641.360000000001</v>
      </c>
      <c r="P820" s="601">
        <f t="shared" si="111"/>
        <v>16.5</v>
      </c>
      <c r="Q820" s="600">
        <f t="shared" si="112"/>
        <v>703582.44000000006</v>
      </c>
    </row>
    <row r="821" spans="1:17" s="598" customFormat="1" ht="15" outlineLevel="1">
      <c r="A821" s="597">
        <v>3900</v>
      </c>
      <c r="B821" s="598" t="s">
        <v>505</v>
      </c>
      <c r="C821" s="598" t="s">
        <v>485</v>
      </c>
      <c r="D821" s="599">
        <v>18209.07</v>
      </c>
      <c r="E821" s="601">
        <f>Input!$C$14-C821+0.5</f>
        <v>15.5</v>
      </c>
      <c r="F821" s="600">
        <f t="shared" si="119"/>
        <v>282240.58500000002</v>
      </c>
      <c r="G821" s="600"/>
      <c r="H821" s="317"/>
      <c r="I821" s="600"/>
      <c r="J821" s="600"/>
      <c r="K821" s="600"/>
      <c r="L821" s="600"/>
      <c r="M821" s="600"/>
      <c r="N821" s="600"/>
      <c r="O821" s="600">
        <f t="shared" si="120"/>
        <v>18209.07</v>
      </c>
      <c r="P821" s="601">
        <f t="shared" si="121" ref="P821:P880">E821</f>
        <v>15.5</v>
      </c>
      <c r="Q821" s="600">
        <f t="shared" si="122" ref="Q821:Q880">O821*P821</f>
        <v>282240.58500000002</v>
      </c>
    </row>
    <row r="822" spans="1:17" s="598" customFormat="1" ht="15" outlineLevel="1">
      <c r="A822" s="597">
        <v>3900</v>
      </c>
      <c r="B822" s="598" t="s">
        <v>505</v>
      </c>
      <c r="C822" s="598" t="s">
        <v>514</v>
      </c>
      <c r="D822" s="599">
        <v>25132.789999999997</v>
      </c>
      <c r="E822" s="601">
        <f>Input!$C$14-C822+0.5</f>
        <v>14.5</v>
      </c>
      <c r="F822" s="600">
        <f t="shared" si="119"/>
        <v>364425.45499999996</v>
      </c>
      <c r="G822" s="600"/>
      <c r="H822" s="317"/>
      <c r="I822" s="600"/>
      <c r="J822" s="600"/>
      <c r="K822" s="600"/>
      <c r="L822" s="600"/>
      <c r="M822" s="600"/>
      <c r="N822" s="600"/>
      <c r="O822" s="600">
        <f t="shared" si="120"/>
        <v>25132.789999999997</v>
      </c>
      <c r="P822" s="601">
        <f t="shared" si="121"/>
        <v>14.5</v>
      </c>
      <c r="Q822" s="600">
        <f t="shared" si="122"/>
        <v>364425.45499999996</v>
      </c>
    </row>
    <row r="823" spans="1:17" s="598" customFormat="1" ht="15" outlineLevel="1">
      <c r="A823" s="597">
        <v>3900</v>
      </c>
      <c r="B823" s="598" t="s">
        <v>505</v>
      </c>
      <c r="C823" s="598" t="s">
        <v>515</v>
      </c>
      <c r="D823" s="599">
        <v>15507.110000000001</v>
      </c>
      <c r="E823" s="601">
        <f>Input!$C$14-C823+0.5</f>
        <v>13.5</v>
      </c>
      <c r="F823" s="600">
        <f t="shared" si="119"/>
        <v>209345.98500000002</v>
      </c>
      <c r="G823" s="600"/>
      <c r="H823" s="317"/>
      <c r="I823" s="600"/>
      <c r="J823" s="600"/>
      <c r="K823" s="600"/>
      <c r="L823" s="600"/>
      <c r="M823" s="600"/>
      <c r="N823" s="600"/>
      <c r="O823" s="600">
        <f t="shared" si="120"/>
        <v>15507.110000000001</v>
      </c>
      <c r="P823" s="601">
        <f t="shared" si="121"/>
        <v>13.5</v>
      </c>
      <c r="Q823" s="600">
        <f t="shared" si="122"/>
        <v>209345.98500000002</v>
      </c>
    </row>
    <row r="824" spans="1:17" s="598" customFormat="1" ht="15" outlineLevel="1">
      <c r="A824" s="597">
        <v>3900</v>
      </c>
      <c r="B824" s="598" t="s">
        <v>505</v>
      </c>
      <c r="C824" s="598" t="s">
        <v>516</v>
      </c>
      <c r="D824" s="599">
        <v>10532.690000000001</v>
      </c>
      <c r="E824" s="601">
        <f>Input!$C$14-C824+0.5</f>
        <v>12.5</v>
      </c>
      <c r="F824" s="600">
        <f t="shared" si="119"/>
        <v>131658.625</v>
      </c>
      <c r="G824" s="600"/>
      <c r="H824" s="317"/>
      <c r="I824" s="600"/>
      <c r="J824" s="600"/>
      <c r="K824" s="600"/>
      <c r="L824" s="600"/>
      <c r="M824" s="600"/>
      <c r="N824" s="600"/>
      <c r="O824" s="600">
        <f t="shared" si="120"/>
        <v>10532.690000000001</v>
      </c>
      <c r="P824" s="601">
        <f t="shared" si="121"/>
        <v>12.5</v>
      </c>
      <c r="Q824" s="600">
        <f t="shared" si="122"/>
        <v>131658.625</v>
      </c>
    </row>
    <row r="825" spans="1:17" s="598" customFormat="1" ht="15" outlineLevel="1">
      <c r="A825" s="597">
        <v>3900</v>
      </c>
      <c r="B825" s="598" t="s">
        <v>505</v>
      </c>
      <c r="C825" s="598" t="s">
        <v>517</v>
      </c>
      <c r="D825" s="599">
        <v>26149.790000000001</v>
      </c>
      <c r="E825" s="601">
        <f>Input!$C$14-C825+0.5</f>
        <v>11.5</v>
      </c>
      <c r="F825" s="600">
        <f t="shared" si="119"/>
        <v>300722.58500000002</v>
      </c>
      <c r="G825" s="600"/>
      <c r="H825" s="317"/>
      <c r="I825" s="600"/>
      <c r="J825" s="600"/>
      <c r="K825" s="600"/>
      <c r="L825" s="600"/>
      <c r="M825" s="600"/>
      <c r="N825" s="600"/>
      <c r="O825" s="600">
        <f t="shared" si="120"/>
        <v>26149.790000000001</v>
      </c>
      <c r="P825" s="601">
        <f t="shared" si="121"/>
        <v>11.5</v>
      </c>
      <c r="Q825" s="600">
        <f t="shared" si="122"/>
        <v>300722.58500000002</v>
      </c>
    </row>
    <row r="826" spans="1:17" s="598" customFormat="1" ht="15" outlineLevel="1">
      <c r="A826" s="597">
        <v>3900</v>
      </c>
      <c r="B826" s="598" t="s">
        <v>505</v>
      </c>
      <c r="C826" s="598" t="s">
        <v>518</v>
      </c>
      <c r="D826" s="599">
        <v>52490.880000000005</v>
      </c>
      <c r="E826" s="601">
        <f>Input!$C$14-C826+0.5</f>
        <v>10.5</v>
      </c>
      <c r="F826" s="600">
        <f t="shared" si="119"/>
        <v>551154.23999999999</v>
      </c>
      <c r="G826" s="600"/>
      <c r="H826" s="317"/>
      <c r="I826" s="600"/>
      <c r="J826" s="600"/>
      <c r="K826" s="600"/>
      <c r="L826" s="600"/>
      <c r="M826" s="600"/>
      <c r="N826" s="600">
        <v>5894.1999999999998</v>
      </c>
      <c r="O826" s="600">
        <f t="shared" si="120"/>
        <v>58385.080000000002</v>
      </c>
      <c r="P826" s="601">
        <f t="shared" si="121"/>
        <v>10.5</v>
      </c>
      <c r="Q826" s="600">
        <f t="shared" si="122"/>
        <v>613043.33999999997</v>
      </c>
    </row>
    <row r="827" spans="1:17" s="598" customFormat="1" ht="15" outlineLevel="1">
      <c r="A827" s="597">
        <v>3900</v>
      </c>
      <c r="B827" s="598" t="s">
        <v>505</v>
      </c>
      <c r="C827" s="598" t="s">
        <v>519</v>
      </c>
      <c r="D827" s="599">
        <v>868640.46999999997</v>
      </c>
      <c r="E827" s="601">
        <f>Input!$C$14-C827+0.5</f>
        <v>9.5</v>
      </c>
      <c r="F827" s="600">
        <f t="shared" si="119"/>
        <v>8252084.4649999999</v>
      </c>
      <c r="G827" s="600"/>
      <c r="H827" s="317"/>
      <c r="I827" s="600"/>
      <c r="J827" s="600"/>
      <c r="K827" s="600"/>
      <c r="L827" s="600"/>
      <c r="M827" s="600"/>
      <c r="N827" s="600"/>
      <c r="O827" s="600">
        <f t="shared" si="120"/>
        <v>868640.46999999997</v>
      </c>
      <c r="P827" s="601">
        <f t="shared" si="121"/>
        <v>9.5</v>
      </c>
      <c r="Q827" s="600">
        <f t="shared" si="122"/>
        <v>8252084.4649999999</v>
      </c>
    </row>
    <row r="828" spans="1:17" s="598" customFormat="1" ht="15" outlineLevel="1">
      <c r="A828" s="597">
        <v>3900</v>
      </c>
      <c r="B828" s="598" t="s">
        <v>505</v>
      </c>
      <c r="C828" s="598" t="s">
        <v>520</v>
      </c>
      <c r="D828" s="599">
        <v>104795.14999999999</v>
      </c>
      <c r="E828" s="601">
        <f>Input!$C$14-C828+0.5</f>
        <v>8.5</v>
      </c>
      <c r="F828" s="600">
        <f t="shared" si="119"/>
        <v>890758.77499999991</v>
      </c>
      <c r="G828" s="600"/>
      <c r="H828" s="317"/>
      <c r="I828" s="600"/>
      <c r="J828" s="600"/>
      <c r="K828" s="600"/>
      <c r="L828" s="600"/>
      <c r="M828" s="600"/>
      <c r="N828" s="600"/>
      <c r="O828" s="600">
        <f t="shared" si="120"/>
        <v>104795.14999999999</v>
      </c>
      <c r="P828" s="601">
        <f t="shared" si="121"/>
        <v>8.5</v>
      </c>
      <c r="Q828" s="600">
        <f t="shared" si="122"/>
        <v>890758.77499999991</v>
      </c>
    </row>
    <row r="829" spans="1:17" s="598" customFormat="1" ht="15" outlineLevel="1">
      <c r="A829" s="597">
        <v>3900</v>
      </c>
      <c r="B829" s="598" t="s">
        <v>505</v>
      </c>
      <c r="C829" s="598" t="s">
        <v>521</v>
      </c>
      <c r="D829" s="599">
        <v>107285.36</v>
      </c>
      <c r="E829" s="601">
        <f>Input!$C$14-C829+0.5</f>
        <v>7.5</v>
      </c>
      <c r="F829" s="600">
        <f t="shared" si="119"/>
        <v>804640.19999999995</v>
      </c>
      <c r="G829" s="600"/>
      <c r="H829" s="317"/>
      <c r="I829" s="600"/>
      <c r="J829" s="600"/>
      <c r="K829" s="600"/>
      <c r="L829" s="600"/>
      <c r="M829" s="600"/>
      <c r="N829" s="600"/>
      <c r="O829" s="600">
        <f t="shared" si="120"/>
        <v>107285.36</v>
      </c>
      <c r="P829" s="601">
        <f t="shared" si="121"/>
        <v>7.5</v>
      </c>
      <c r="Q829" s="600">
        <f t="shared" si="122"/>
        <v>804640.19999999995</v>
      </c>
    </row>
    <row r="830" spans="1:17" s="598" customFormat="1" ht="15" outlineLevel="1">
      <c r="A830" s="597">
        <v>3900</v>
      </c>
      <c r="B830" s="598" t="s">
        <v>505</v>
      </c>
      <c r="C830" s="598" t="s">
        <v>522</v>
      </c>
      <c r="D830" s="599">
        <v>89183.380000000005</v>
      </c>
      <c r="E830" s="601">
        <f>Input!$C$14-C830+0.5</f>
        <v>6.5</v>
      </c>
      <c r="F830" s="600">
        <f t="shared" si="119"/>
        <v>579691.96999999997</v>
      </c>
      <c r="G830" s="600"/>
      <c r="H830" s="317"/>
      <c r="I830" s="600"/>
      <c r="J830" s="600"/>
      <c r="K830" s="600"/>
      <c r="L830" s="600"/>
      <c r="M830" s="600"/>
      <c r="N830" s="600"/>
      <c r="O830" s="600">
        <f t="shared" si="120"/>
        <v>89183.380000000005</v>
      </c>
      <c r="P830" s="601">
        <f t="shared" si="121"/>
        <v>6.5</v>
      </c>
      <c r="Q830" s="600">
        <f t="shared" si="122"/>
        <v>579691.96999999997</v>
      </c>
    </row>
    <row r="831" spans="1:17" s="598" customFormat="1" ht="15" outlineLevel="1">
      <c r="A831" s="597">
        <v>3900</v>
      </c>
      <c r="B831" s="598" t="s">
        <v>505</v>
      </c>
      <c r="C831" s="598" t="s">
        <v>523</v>
      </c>
      <c r="D831" s="599">
        <v>15639.489999999998</v>
      </c>
      <c r="E831" s="601">
        <f>Input!$C$14-C831+0.5</f>
        <v>5.5</v>
      </c>
      <c r="F831" s="600">
        <f t="shared" si="119"/>
        <v>86017.194999999992</v>
      </c>
      <c r="G831" s="600"/>
      <c r="H831" s="317"/>
      <c r="I831" s="600"/>
      <c r="J831" s="600"/>
      <c r="K831" s="600"/>
      <c r="L831" s="600"/>
      <c r="M831" s="600"/>
      <c r="N831" s="600"/>
      <c r="O831" s="600">
        <f t="shared" si="120"/>
        <v>15639.489999999998</v>
      </c>
      <c r="P831" s="601">
        <f t="shared" si="121"/>
        <v>5.5</v>
      </c>
      <c r="Q831" s="600">
        <f t="shared" si="122"/>
        <v>86017.194999999992</v>
      </c>
    </row>
    <row r="832" spans="1:17" s="598" customFormat="1" ht="15" outlineLevel="1">
      <c r="A832" s="597">
        <v>3900</v>
      </c>
      <c r="B832" s="598" t="s">
        <v>505</v>
      </c>
      <c r="C832" s="598" t="s">
        <v>524</v>
      </c>
      <c r="D832" s="599">
        <v>306400</v>
      </c>
      <c r="E832" s="601">
        <f>Input!$C$14-C832+0.5</f>
        <v>4.5</v>
      </c>
      <c r="F832" s="600">
        <f t="shared" si="119"/>
        <v>1378800</v>
      </c>
      <c r="G832" s="600"/>
      <c r="H832" s="317"/>
      <c r="I832" s="600"/>
      <c r="J832" s="600"/>
      <c r="K832" s="600"/>
      <c r="L832" s="600"/>
      <c r="M832" s="600"/>
      <c r="N832" s="600"/>
      <c r="O832" s="600">
        <f t="shared" si="120"/>
        <v>306400</v>
      </c>
      <c r="P832" s="601">
        <f t="shared" si="121"/>
        <v>4.5</v>
      </c>
      <c r="Q832" s="600">
        <f t="shared" si="122"/>
        <v>1378800</v>
      </c>
    </row>
    <row r="833" spans="1:17" s="598" customFormat="1" ht="15" outlineLevel="1">
      <c r="A833" s="597">
        <v>3900</v>
      </c>
      <c r="B833" s="598" t="s">
        <v>505</v>
      </c>
      <c r="C833" s="598" t="s">
        <v>525</v>
      </c>
      <c r="D833" s="599">
        <v>6910825.5999999996</v>
      </c>
      <c r="E833" s="601">
        <f>Input!$C$14-C833+0.5</f>
        <v>3.5</v>
      </c>
      <c r="F833" s="600">
        <f t="shared" si="119"/>
        <v>24187889.599999998</v>
      </c>
      <c r="G833" s="600"/>
      <c r="H833" s="317"/>
      <c r="I833" s="600"/>
      <c r="J833" s="600"/>
      <c r="K833" s="600"/>
      <c r="L833" s="600"/>
      <c r="M833" s="600"/>
      <c r="N833" s="600"/>
      <c r="O833" s="600">
        <f t="shared" si="120"/>
        <v>6910825.5999999996</v>
      </c>
      <c r="P833" s="601">
        <f t="shared" si="121"/>
        <v>3.5</v>
      </c>
      <c r="Q833" s="600">
        <f t="shared" si="122"/>
        <v>24187889.599999998</v>
      </c>
    </row>
    <row r="834" spans="1:17" s="598" customFormat="1" ht="15" outlineLevel="1">
      <c r="A834" s="597">
        <v>3900</v>
      </c>
      <c r="B834" s="598" t="s">
        <v>505</v>
      </c>
      <c r="C834" s="598" t="s">
        <v>526</v>
      </c>
      <c r="D834" s="599">
        <v>743712.65000000002</v>
      </c>
      <c r="E834" s="601">
        <f>Input!$C$14-C834+0.5</f>
        <v>2.5</v>
      </c>
      <c r="F834" s="600">
        <f t="shared" si="119"/>
        <v>1859281.625</v>
      </c>
      <c r="G834" s="600"/>
      <c r="H834" s="317"/>
      <c r="I834" s="600"/>
      <c r="J834" s="600"/>
      <c r="K834" s="600"/>
      <c r="L834" s="600"/>
      <c r="M834" s="600"/>
      <c r="N834" s="600"/>
      <c r="O834" s="600">
        <f t="shared" si="120"/>
        <v>743712.65000000002</v>
      </c>
      <c r="P834" s="601">
        <f t="shared" si="121"/>
        <v>2.5</v>
      </c>
      <c r="Q834" s="600">
        <f t="shared" si="122"/>
        <v>1859281.625</v>
      </c>
    </row>
    <row r="835" spans="1:17" s="598" customFormat="1" ht="15" outlineLevel="1">
      <c r="A835" s="597">
        <v>3900</v>
      </c>
      <c r="B835" s="598" t="s">
        <v>505</v>
      </c>
      <c r="C835" s="598" t="s">
        <v>527</v>
      </c>
      <c r="D835" s="599">
        <v>39773.779999999999</v>
      </c>
      <c r="E835" s="601">
        <f>Input!$C$14-C835+0.5</f>
        <v>1.5</v>
      </c>
      <c r="F835" s="600">
        <f t="shared" si="119"/>
        <v>59660.669999999998</v>
      </c>
      <c r="G835" s="600"/>
      <c r="H835" s="317"/>
      <c r="I835" s="600"/>
      <c r="J835" s="600"/>
      <c r="K835" s="600"/>
      <c r="L835" s="600"/>
      <c r="M835" s="600"/>
      <c r="N835" s="600"/>
      <c r="O835" s="600">
        <f t="shared" si="120"/>
        <v>39773.779999999999</v>
      </c>
      <c r="P835" s="601">
        <f t="shared" si="121"/>
        <v>1.5</v>
      </c>
      <c r="Q835" s="600">
        <f t="shared" si="122"/>
        <v>59660.669999999998</v>
      </c>
    </row>
    <row r="836" spans="1:20" s="598" customFormat="1" ht="13.5" thickBot="1">
      <c r="A836" s="563">
        <f>A835</f>
        <v>3900</v>
      </c>
      <c r="B836" s="564" t="s">
        <v>496</v>
      </c>
      <c r="D836" s="357">
        <f>SUM(D815:D835)</f>
        <v>10646372.35</v>
      </c>
      <c r="E836" s="565">
        <f>ROUND(F836/D836,1)</f>
        <v>6.2999999999999998</v>
      </c>
      <c r="F836" s="357">
        <f>SUM(F815:F835)</f>
        <v>66708805.924999997</v>
      </c>
      <c r="G836" s="358"/>
      <c r="H836" s="318"/>
      <c r="I836" s="357">
        <f>SUM(I815:I835)</f>
        <v>0</v>
      </c>
      <c r="J836" s="357">
        <f>SUM(J815:J835)</f>
        <v>0</v>
      </c>
      <c r="K836" s="357">
        <f t="shared" si="123" ref="K836:N836">SUM(K815:K835)</f>
        <v>0</v>
      </c>
      <c r="L836" s="357">
        <f t="shared" si="123"/>
        <v>0</v>
      </c>
      <c r="M836" s="357">
        <f t="shared" si="123"/>
        <v>0</v>
      </c>
      <c r="N836" s="357">
        <f t="shared" si="123"/>
        <v>5894.1999999999998</v>
      </c>
      <c r="O836" s="357">
        <f>SUM(O815:O835)</f>
        <v>10652266.550000001</v>
      </c>
      <c r="P836" s="565">
        <f>ROUND(Q836/O836,1)</f>
        <v>6.2999999999999998</v>
      </c>
      <c r="Q836" s="357">
        <f>SUM(Q815:Q835)</f>
        <v>66770695.025000006</v>
      </c>
      <c r="S836" s="604">
        <f>'Sch. G 2021'!H32</f>
        <v>10646372</v>
      </c>
      <c r="T836" s="679">
        <f>D836-S836</f>
        <v>0.34999999962747097</v>
      </c>
    </row>
    <row r="837" spans="1:20" s="598" customFormat="1" ht="15.75" thickTop="1">
      <c r="A837" s="566">
        <f>A835</f>
        <v>3900</v>
      </c>
      <c r="B837" s="490" t="str">
        <f>B835&amp;" - Additions"</f>
        <v>Struc&amp;Impr - Additions</v>
      </c>
      <c r="C837" s="490">
        <v>2022</v>
      </c>
      <c r="D837" s="567">
        <f>'Sch. H'!N32</f>
        <v>3481788.4500000002</v>
      </c>
      <c r="E837" s="601">
        <f>Input!$C$14-C837+0.5</f>
        <v>0.5</v>
      </c>
      <c r="F837" s="600">
        <f>D837*E837</f>
        <v>1740894.2250000001</v>
      </c>
      <c r="G837" s="600"/>
      <c r="H837" s="317"/>
      <c r="I837" s="600"/>
      <c r="J837" s="600"/>
      <c r="K837" s="600"/>
      <c r="L837" s="600"/>
      <c r="M837" s="600"/>
      <c r="N837" s="600"/>
      <c r="O837" s="600">
        <f t="shared" si="124" ref="O837:O838">SUM(D837,I837:N837)</f>
        <v>3481788.4500000002</v>
      </c>
      <c r="P837" s="601">
        <f t="shared" si="121"/>
        <v>0.5</v>
      </c>
      <c r="Q837" s="600">
        <f t="shared" si="122"/>
        <v>1740894.2250000001</v>
      </c>
      <c r="T837" s="679"/>
    </row>
    <row r="838" spans="1:20" s="598" customFormat="1" ht="15">
      <c r="A838" s="566">
        <f>A837</f>
        <v>3900</v>
      </c>
      <c r="B838" s="490" t="str">
        <f>B835&amp;" - Retirements"</f>
        <v>Struc&amp;Impr - Retirements</v>
      </c>
      <c r="C838" s="490">
        <v>2022</v>
      </c>
      <c r="D838" s="567">
        <f>-'Sch. F 2022'!AM90</f>
        <v>-41870.469999999994</v>
      </c>
      <c r="E838" s="601">
        <f>'Sch. F 2022'!AM92</f>
        <v>10.5</v>
      </c>
      <c r="F838" s="600">
        <f>D838*E838</f>
        <v>-439639.93499999994</v>
      </c>
      <c r="G838" s="600"/>
      <c r="H838" s="317"/>
      <c r="I838" s="600"/>
      <c r="J838" s="600"/>
      <c r="K838" s="600"/>
      <c r="L838" s="600"/>
      <c r="M838" s="600"/>
      <c r="N838" s="600"/>
      <c r="O838" s="600">
        <f t="shared" si="124"/>
        <v>-41870.469999999994</v>
      </c>
      <c r="P838" s="601">
        <f t="shared" si="121"/>
        <v>10.5</v>
      </c>
      <c r="Q838" s="600">
        <f t="shared" si="122"/>
        <v>-439639.93499999994</v>
      </c>
      <c r="T838" s="679"/>
    </row>
    <row r="839" spans="1:20" s="598" customFormat="1" ht="13.5" thickBot="1">
      <c r="A839" s="566"/>
      <c r="B839" s="564" t="s">
        <v>557</v>
      </c>
      <c r="C839" s="490"/>
      <c r="D839" s="568">
        <f>SUM(D836:D838)</f>
        <v>14086290.33</v>
      </c>
      <c r="E839" s="565">
        <f>ROUND(F839/D839,1)</f>
        <v>4.7999999999999998</v>
      </c>
      <c r="F839" s="569">
        <f>SUM(F836:F838)</f>
        <v>68010060.214999989</v>
      </c>
      <c r="G839" s="570"/>
      <c r="H839" s="372"/>
      <c r="I839" s="568">
        <f>SUM(I836:I838)</f>
        <v>0</v>
      </c>
      <c r="J839" s="568">
        <f>SUM(J836:J838)</f>
        <v>0</v>
      </c>
      <c r="K839" s="568">
        <f t="shared" si="125" ref="K839:N839">SUM(K836:K838)</f>
        <v>0</v>
      </c>
      <c r="L839" s="568">
        <f t="shared" si="125"/>
        <v>0</v>
      </c>
      <c r="M839" s="568">
        <f t="shared" si="125"/>
        <v>0</v>
      </c>
      <c r="N839" s="568">
        <f t="shared" si="125"/>
        <v>5894.1999999999998</v>
      </c>
      <c r="O839" s="568">
        <f>SUM(O836:O838)</f>
        <v>14092184.529999999</v>
      </c>
      <c r="P839" s="565">
        <f>ROUND(Q839/O839,1)</f>
        <v>4.7999999999999998</v>
      </c>
      <c r="Q839" s="569">
        <f>SUM(Q836:Q838)</f>
        <v>68071949.314999998</v>
      </c>
      <c r="S839" s="604">
        <f>'Sch. G 2022'!H32</f>
        <v>14092184</v>
      </c>
      <c r="T839" s="679">
        <f>O839-S839</f>
        <v>0.52999999932944775</v>
      </c>
    </row>
    <row r="840" spans="1:20" s="598" customFormat="1" ht="15" thickTop="1">
      <c r="A840" s="563"/>
      <c r="B840" s="571"/>
      <c r="D840" s="358"/>
      <c r="E840" s="572"/>
      <c r="F840" s="358"/>
      <c r="G840" s="358"/>
      <c r="H840" s="318"/>
      <c r="I840" s="358"/>
      <c r="J840" s="358"/>
      <c r="K840" s="358"/>
      <c r="L840" s="358"/>
      <c r="M840" s="358"/>
      <c r="N840" s="358"/>
      <c r="O840" s="600"/>
      <c r="P840" s="601"/>
      <c r="Q840" s="600"/>
      <c r="T840" s="679"/>
    </row>
    <row r="841" spans="1:17" s="598" customFormat="1" ht="15" outlineLevel="1">
      <c r="A841" s="597">
        <v>3910</v>
      </c>
      <c r="B841" s="598" t="s">
        <v>539</v>
      </c>
      <c r="C841" s="598" t="s">
        <v>514</v>
      </c>
      <c r="D841" s="599">
        <f>55598.39-8763.3</f>
        <v>46835.089999999997</v>
      </c>
      <c r="E841" s="601">
        <f>Input!$C$14-C841+0.5</f>
        <v>14.5</v>
      </c>
      <c r="F841" s="600">
        <f t="shared" si="126" ref="F841:F852">D841*E841</f>
        <v>679108.80499999993</v>
      </c>
      <c r="G841" s="600"/>
      <c r="H841" s="317"/>
      <c r="I841" s="600"/>
      <c r="J841" s="600"/>
      <c r="K841" s="600"/>
      <c r="L841" s="600"/>
      <c r="M841" s="600"/>
      <c r="N841" s="600"/>
      <c r="O841" s="600">
        <f t="shared" si="127" ref="O841:O852">SUM(D841,I841:N841)</f>
        <v>46835.089999999997</v>
      </c>
      <c r="P841" s="601">
        <f t="shared" si="121"/>
        <v>14.5</v>
      </c>
      <c r="Q841" s="600">
        <f t="shared" si="122"/>
        <v>679108.80499999993</v>
      </c>
    </row>
    <row r="842" spans="1:17" s="598" customFormat="1" ht="15" outlineLevel="1">
      <c r="A842" s="597">
        <v>3910</v>
      </c>
      <c r="B842" s="598" t="s">
        <v>539</v>
      </c>
      <c r="C842" s="598" t="s">
        <v>516</v>
      </c>
      <c r="D842" s="599">
        <f>2068.4+8763.3</f>
        <v>10831.699999999999</v>
      </c>
      <c r="E842" s="601">
        <f>Input!$C$14-C842+0.5</f>
        <v>12.5</v>
      </c>
      <c r="F842" s="600">
        <f t="shared" si="126"/>
        <v>135396.25</v>
      </c>
      <c r="G842" s="600"/>
      <c r="H842" s="317"/>
      <c r="I842" s="600"/>
      <c r="J842" s="600"/>
      <c r="K842" s="600"/>
      <c r="L842" s="600"/>
      <c r="M842" s="600"/>
      <c r="N842" s="600"/>
      <c r="O842" s="600">
        <f t="shared" si="127"/>
        <v>10831.699999999999</v>
      </c>
      <c r="P842" s="601">
        <f t="shared" si="121"/>
        <v>12.5</v>
      </c>
      <c r="Q842" s="600">
        <f t="shared" si="122"/>
        <v>135396.25</v>
      </c>
    </row>
    <row r="843" spans="1:17" s="598" customFormat="1" ht="15" outlineLevel="1">
      <c r="A843" s="597">
        <v>3910</v>
      </c>
      <c r="B843" s="598" t="s">
        <v>539</v>
      </c>
      <c r="C843" s="598" t="s">
        <v>517</v>
      </c>
      <c r="D843" s="599">
        <v>19324.379999999997</v>
      </c>
      <c r="E843" s="601">
        <f>Input!$C$14-C843+0.5</f>
        <v>11.5</v>
      </c>
      <c r="F843" s="600">
        <f t="shared" si="126"/>
        <v>222230.36999999997</v>
      </c>
      <c r="G843" s="600"/>
      <c r="H843" s="317"/>
      <c r="I843" s="600"/>
      <c r="J843" s="600"/>
      <c r="K843" s="600"/>
      <c r="L843" s="600"/>
      <c r="M843" s="600"/>
      <c r="N843" s="600"/>
      <c r="O843" s="600">
        <f t="shared" si="127"/>
        <v>19324.379999999997</v>
      </c>
      <c r="P843" s="601">
        <f t="shared" si="121"/>
        <v>11.5</v>
      </c>
      <c r="Q843" s="600">
        <f t="shared" si="122"/>
        <v>222230.36999999997</v>
      </c>
    </row>
    <row r="844" spans="1:17" s="598" customFormat="1" ht="15" outlineLevel="1">
      <c r="A844" s="597">
        <v>3910</v>
      </c>
      <c r="B844" s="598" t="s">
        <v>539</v>
      </c>
      <c r="C844" s="598" t="s">
        <v>518</v>
      </c>
      <c r="D844" s="599">
        <v>131250.10000000001</v>
      </c>
      <c r="E844" s="601">
        <f>Input!$C$14-C844+0.5</f>
        <v>10.5</v>
      </c>
      <c r="F844" s="600">
        <f t="shared" si="126"/>
        <v>1378126.05</v>
      </c>
      <c r="G844" s="600"/>
      <c r="H844" s="317"/>
      <c r="I844" s="600"/>
      <c r="J844" s="600"/>
      <c r="K844" s="600"/>
      <c r="L844" s="600"/>
      <c r="M844" s="600"/>
      <c r="N844" s="600"/>
      <c r="O844" s="600">
        <f t="shared" si="127"/>
        <v>131250.10000000001</v>
      </c>
      <c r="P844" s="601">
        <f t="shared" si="121"/>
        <v>10.5</v>
      </c>
      <c r="Q844" s="600">
        <f t="shared" si="122"/>
        <v>1378126.05</v>
      </c>
    </row>
    <row r="845" spans="1:17" s="598" customFormat="1" ht="15" outlineLevel="1">
      <c r="A845" s="597">
        <v>3910</v>
      </c>
      <c r="B845" s="598" t="s">
        <v>539</v>
      </c>
      <c r="C845" s="598" t="s">
        <v>519</v>
      </c>
      <c r="D845" s="599">
        <v>135506.11000000004</v>
      </c>
      <c r="E845" s="601">
        <f>Input!$C$14-C845+0.5</f>
        <v>9.5</v>
      </c>
      <c r="F845" s="600">
        <f t="shared" si="126"/>
        <v>1287308.0450000004</v>
      </c>
      <c r="G845" s="600"/>
      <c r="H845" s="317"/>
      <c r="I845" s="600"/>
      <c r="J845" s="600"/>
      <c r="K845" s="600"/>
      <c r="L845" s="600"/>
      <c r="M845" s="600"/>
      <c r="N845" s="600">
        <f>-7783.7-16476.72+681.29</f>
        <v>-23579.130000000001</v>
      </c>
      <c r="O845" s="600">
        <f t="shared" si="127"/>
        <v>111926.98000000004</v>
      </c>
      <c r="P845" s="601">
        <f t="shared" si="121"/>
        <v>9.5</v>
      </c>
      <c r="Q845" s="600">
        <f t="shared" si="122"/>
        <v>1063306.3100000003</v>
      </c>
    </row>
    <row r="846" spans="1:17" s="598" customFormat="1" ht="15" outlineLevel="1">
      <c r="A846" s="597">
        <v>3910</v>
      </c>
      <c r="B846" s="598" t="s">
        <v>539</v>
      </c>
      <c r="C846" s="598" t="s">
        <v>520</v>
      </c>
      <c r="D846" s="599">
        <v>178822.09000000003</v>
      </c>
      <c r="E846" s="601">
        <f>Input!$C$14-C846+0.5</f>
        <v>8.5</v>
      </c>
      <c r="F846" s="600">
        <f t="shared" si="126"/>
        <v>1519987.7650000001</v>
      </c>
      <c r="G846" s="600"/>
      <c r="H846" s="317"/>
      <c r="I846" s="600"/>
      <c r="J846" s="600"/>
      <c r="K846" s="600"/>
      <c r="L846" s="600"/>
      <c r="M846" s="600"/>
      <c r="N846" s="600">
        <v>-237.99000000000001</v>
      </c>
      <c r="O846" s="600">
        <f t="shared" si="127"/>
        <v>178584.10000000003</v>
      </c>
      <c r="P846" s="601">
        <f t="shared" si="121"/>
        <v>8.5</v>
      </c>
      <c r="Q846" s="600">
        <f t="shared" si="122"/>
        <v>1517964.8500000003</v>
      </c>
    </row>
    <row r="847" spans="1:17" s="598" customFormat="1" ht="15" outlineLevel="1">
      <c r="A847" s="597">
        <v>3910</v>
      </c>
      <c r="B847" s="598" t="s">
        <v>539</v>
      </c>
      <c r="C847" s="598" t="s">
        <v>521</v>
      </c>
      <c r="D847" s="599">
        <v>91999.209999999992</v>
      </c>
      <c r="E847" s="601">
        <f>Input!$C$14-C847+0.5</f>
        <v>7.5</v>
      </c>
      <c r="F847" s="600">
        <f t="shared" si="126"/>
        <v>689994.07499999995</v>
      </c>
      <c r="G847" s="600"/>
      <c r="H847" s="317"/>
      <c r="I847" s="600"/>
      <c r="J847" s="600"/>
      <c r="K847" s="600"/>
      <c r="L847" s="600"/>
      <c r="M847" s="600"/>
      <c r="N847" s="600">
        <v>-82662.210000000006</v>
      </c>
      <c r="O847" s="600">
        <f t="shared" si="127"/>
        <v>9336.9999999999854</v>
      </c>
      <c r="P847" s="601">
        <f t="shared" si="121"/>
        <v>7.5</v>
      </c>
      <c r="Q847" s="600">
        <f t="shared" si="122"/>
        <v>70027.499999999884</v>
      </c>
    </row>
    <row r="848" spans="1:17" s="598" customFormat="1" ht="15" outlineLevel="1">
      <c r="A848" s="597">
        <v>3910</v>
      </c>
      <c r="B848" s="598" t="s">
        <v>539</v>
      </c>
      <c r="C848" s="598" t="s">
        <v>523</v>
      </c>
      <c r="D848" s="599">
        <v>47.030000000000001</v>
      </c>
      <c r="E848" s="601">
        <f>Input!$C$14-C848+0.5</f>
        <v>5.5</v>
      </c>
      <c r="F848" s="600">
        <f t="shared" si="126"/>
        <v>258.66500000000002</v>
      </c>
      <c r="G848" s="600"/>
      <c r="H848" s="317"/>
      <c r="I848" s="600"/>
      <c r="J848" s="600"/>
      <c r="K848" s="600"/>
      <c r="L848" s="600"/>
      <c r="M848" s="600"/>
      <c r="N848" s="600"/>
      <c r="O848" s="600">
        <f t="shared" si="127"/>
        <v>47.030000000000001</v>
      </c>
      <c r="P848" s="601">
        <f t="shared" si="121"/>
        <v>5.5</v>
      </c>
      <c r="Q848" s="600">
        <f t="shared" si="122"/>
        <v>258.66500000000002</v>
      </c>
    </row>
    <row r="849" spans="1:17" s="598" customFormat="1" ht="15" outlineLevel="1">
      <c r="A849" s="597">
        <v>3910</v>
      </c>
      <c r="B849" s="598" t="s">
        <v>539</v>
      </c>
      <c r="C849" s="598" t="s">
        <v>524</v>
      </c>
      <c r="D849" s="599">
        <v>502232.97999999998</v>
      </c>
      <c r="E849" s="601">
        <f>Input!$C$14-C849+0.5</f>
        <v>4.5</v>
      </c>
      <c r="F849" s="600">
        <f t="shared" si="126"/>
        <v>2260048.4100000001</v>
      </c>
      <c r="G849" s="600"/>
      <c r="H849" s="317"/>
      <c r="I849" s="600"/>
      <c r="J849" s="600"/>
      <c r="K849" s="600"/>
      <c r="L849" s="600"/>
      <c r="M849" s="600"/>
      <c r="N849" s="600"/>
      <c r="O849" s="600">
        <f t="shared" si="127"/>
        <v>502232.97999999998</v>
      </c>
      <c r="P849" s="601">
        <f t="shared" si="121"/>
        <v>4.5</v>
      </c>
      <c r="Q849" s="600">
        <f t="shared" si="122"/>
        <v>2260048.4100000001</v>
      </c>
    </row>
    <row r="850" spans="1:17" s="598" customFormat="1" ht="15" outlineLevel="1">
      <c r="A850" s="597">
        <v>3910</v>
      </c>
      <c r="B850" s="598" t="s">
        <v>539</v>
      </c>
      <c r="C850" s="598" t="s">
        <v>525</v>
      </c>
      <c r="D850" s="599">
        <v>496050.19999999995</v>
      </c>
      <c r="E850" s="601">
        <f>Input!$C$14-C850+0.5</f>
        <v>3.5</v>
      </c>
      <c r="F850" s="600">
        <f t="shared" si="126"/>
        <v>1736175.6999999997</v>
      </c>
      <c r="G850" s="600"/>
      <c r="H850" s="317"/>
      <c r="I850" s="600"/>
      <c r="J850" s="600"/>
      <c r="K850" s="600"/>
      <c r="L850" s="600"/>
      <c r="M850" s="600"/>
      <c r="N850" s="600">
        <v>-362731.34999999998</v>
      </c>
      <c r="O850" s="600">
        <f t="shared" si="127"/>
        <v>133318.84999999998</v>
      </c>
      <c r="P850" s="601">
        <f t="shared" si="121"/>
        <v>3.5</v>
      </c>
      <c r="Q850" s="600">
        <f t="shared" si="122"/>
        <v>466615.97499999992</v>
      </c>
    </row>
    <row r="851" spans="1:17" s="598" customFormat="1" ht="15" outlineLevel="1">
      <c r="A851" s="597">
        <v>3910</v>
      </c>
      <c r="B851" s="598" t="s">
        <v>539</v>
      </c>
      <c r="C851" s="598" t="s">
        <v>526</v>
      </c>
      <c r="D851" s="599">
        <v>229181.81</v>
      </c>
      <c r="E851" s="601">
        <f>Input!$C$14-C851+0.5</f>
        <v>2.5</v>
      </c>
      <c r="F851" s="600">
        <f t="shared" si="126"/>
        <v>572954.52500000002</v>
      </c>
      <c r="G851" s="600"/>
      <c r="H851" s="317"/>
      <c r="I851" s="600"/>
      <c r="J851" s="600"/>
      <c r="K851" s="600"/>
      <c r="L851" s="600"/>
      <c r="M851" s="600"/>
      <c r="N851" s="600"/>
      <c r="O851" s="600">
        <f t="shared" si="127"/>
        <v>229181.81</v>
      </c>
      <c r="P851" s="601">
        <f t="shared" si="121"/>
        <v>2.5</v>
      </c>
      <c r="Q851" s="600">
        <f t="shared" si="122"/>
        <v>572954.52500000002</v>
      </c>
    </row>
    <row r="852" spans="1:17" s="598" customFormat="1" ht="15" outlineLevel="1">
      <c r="A852" s="597">
        <v>3910</v>
      </c>
      <c r="B852" s="598" t="s">
        <v>539</v>
      </c>
      <c r="C852" s="598" t="s">
        <v>527</v>
      </c>
      <c r="D852" s="599">
        <v>12145.85</v>
      </c>
      <c r="E852" s="601">
        <f>Input!$C$14-C852+0.5</f>
        <v>1.5</v>
      </c>
      <c r="F852" s="600">
        <f t="shared" si="126"/>
        <v>18218.775000000001</v>
      </c>
      <c r="G852" s="600"/>
      <c r="H852" s="317"/>
      <c r="I852" s="600"/>
      <c r="J852" s="600"/>
      <c r="K852" s="600"/>
      <c r="L852" s="600"/>
      <c r="M852" s="600"/>
      <c r="N852" s="600"/>
      <c r="O852" s="600">
        <f t="shared" si="127"/>
        <v>12145.85</v>
      </c>
      <c r="P852" s="601">
        <f t="shared" si="121"/>
        <v>1.5</v>
      </c>
      <c r="Q852" s="600">
        <f t="shared" si="122"/>
        <v>18218.775000000001</v>
      </c>
    </row>
    <row r="853" spans="1:20" s="598" customFormat="1" ht="13.5" thickBot="1">
      <c r="A853" s="563">
        <f>A852</f>
        <v>3910</v>
      </c>
      <c r="B853" s="564" t="s">
        <v>496</v>
      </c>
      <c r="D853" s="357">
        <f>SUM(D841:D852)</f>
        <v>1854226.55</v>
      </c>
      <c r="E853" s="565">
        <f>ROUND(F853/D853,1)</f>
        <v>5.7000000000000002</v>
      </c>
      <c r="F853" s="357">
        <f>SUM(F841:F852)</f>
        <v>10499807.435000001</v>
      </c>
      <c r="G853" s="358"/>
      <c r="H853" s="318"/>
      <c r="I853" s="357">
        <f>SUM(I841:I852)</f>
        <v>0</v>
      </c>
      <c r="J853" s="357">
        <f>SUM(J841:J852)</f>
        <v>0</v>
      </c>
      <c r="K853" s="357">
        <f t="shared" si="128" ref="K853:N853">SUM(K841:K852)</f>
        <v>0</v>
      </c>
      <c r="L853" s="357">
        <f t="shared" si="128"/>
        <v>0</v>
      </c>
      <c r="M853" s="357">
        <f t="shared" si="128"/>
        <v>0</v>
      </c>
      <c r="N853" s="357">
        <f t="shared" si="128"/>
        <v>-469210.67999999999</v>
      </c>
      <c r="O853" s="357">
        <f>SUM(O841:O852)</f>
        <v>1385015.8700000001</v>
      </c>
      <c r="P853" s="565">
        <f>ROUND(Q853/O853,1)</f>
        <v>6.0999999999999996</v>
      </c>
      <c r="Q853" s="357">
        <f>SUM(Q841:Q852)</f>
        <v>8384256.4850000013</v>
      </c>
      <c r="S853" s="604">
        <f>'Sch. G 2021'!H33</f>
        <v>1854226</v>
      </c>
      <c r="T853" s="679">
        <f>D853-S853</f>
        <v>0.55000000004656613</v>
      </c>
    </row>
    <row r="854" spans="1:20" s="598" customFormat="1" ht="15.75" thickTop="1">
      <c r="A854" s="566">
        <f>A852</f>
        <v>3910</v>
      </c>
      <c r="B854" s="490" t="str">
        <f>B852&amp;" - Additions"</f>
        <v>Offc Furn &amp; Eq - Additions</v>
      </c>
      <c r="C854" s="490">
        <v>2022</v>
      </c>
      <c r="D854" s="567">
        <f>'Sch. H'!N33</f>
        <v>1141216</v>
      </c>
      <c r="E854" s="601">
        <f>Input!$C$14-C854+0.5</f>
        <v>0.5</v>
      </c>
      <c r="F854" s="600">
        <f>D854*E854</f>
        <v>570608</v>
      </c>
      <c r="G854" s="600"/>
      <c r="H854" s="317"/>
      <c r="I854" s="600"/>
      <c r="J854" s="600"/>
      <c r="K854" s="600"/>
      <c r="L854" s="600"/>
      <c r="M854" s="600"/>
      <c r="N854" s="600"/>
      <c r="O854" s="600">
        <f t="shared" si="129" ref="O854:O855">SUM(D854,I854:N854)</f>
        <v>1141216</v>
      </c>
      <c r="P854" s="601">
        <f t="shared" si="121"/>
        <v>0.5</v>
      </c>
      <c r="Q854" s="600">
        <f t="shared" si="122"/>
        <v>570608</v>
      </c>
      <c r="T854" s="679"/>
    </row>
    <row r="855" spans="1:20" s="598" customFormat="1" ht="15">
      <c r="A855" s="566">
        <f>A854</f>
        <v>3910</v>
      </c>
      <c r="B855" s="490" t="str">
        <f>B852&amp;" - Retirements"</f>
        <v>Offc Furn &amp; Eq - Retirements</v>
      </c>
      <c r="C855" s="490">
        <v>2022</v>
      </c>
      <c r="D855" s="567">
        <f>-'Sch. F 2022'!AO90</f>
        <v>-231790.39999999999</v>
      </c>
      <c r="E855" s="601">
        <f>'Sch. F 2022'!AO92</f>
        <v>11.08</v>
      </c>
      <c r="F855" s="600">
        <f>D855*E855</f>
        <v>-2568237.6319999998</v>
      </c>
      <c r="G855" s="600"/>
      <c r="H855" s="317"/>
      <c r="I855" s="600"/>
      <c r="J855" s="600"/>
      <c r="K855" s="600"/>
      <c r="L855" s="600"/>
      <c r="M855" s="600"/>
      <c r="N855" s="600"/>
      <c r="O855" s="600">
        <f t="shared" si="129"/>
        <v>-231790.39999999999</v>
      </c>
      <c r="P855" s="601">
        <f t="shared" si="121"/>
        <v>11.08</v>
      </c>
      <c r="Q855" s="600">
        <f t="shared" si="122"/>
        <v>-2568237.6319999998</v>
      </c>
      <c r="T855" s="679"/>
    </row>
    <row r="856" spans="1:20" s="598" customFormat="1" ht="13.5" thickBot="1">
      <c r="A856" s="566"/>
      <c r="B856" s="564" t="s">
        <v>557</v>
      </c>
      <c r="C856" s="490"/>
      <c r="D856" s="568">
        <f>SUM(D853:D855)</f>
        <v>2763652.1499999999</v>
      </c>
      <c r="E856" s="565">
        <f>ROUND(F856/D856,1)</f>
        <v>3.1000000000000001</v>
      </c>
      <c r="F856" s="569">
        <f>SUM(F853:F855)</f>
        <v>8502177.8030000012</v>
      </c>
      <c r="G856" s="570"/>
      <c r="H856" s="372"/>
      <c r="I856" s="568">
        <f>SUM(I853:I855)</f>
        <v>0</v>
      </c>
      <c r="J856" s="568">
        <f>SUM(J853:J855)</f>
        <v>0</v>
      </c>
      <c r="K856" s="568">
        <f t="shared" si="130" ref="K856:N856">SUM(K853:K855)</f>
        <v>0</v>
      </c>
      <c r="L856" s="568">
        <f t="shared" si="130"/>
        <v>0</v>
      </c>
      <c r="M856" s="568">
        <f t="shared" si="130"/>
        <v>0</v>
      </c>
      <c r="N856" s="568">
        <f t="shared" si="130"/>
        <v>-469210.67999999999</v>
      </c>
      <c r="O856" s="568">
        <f>SUM(O853:O855)</f>
        <v>2294441.4700000002</v>
      </c>
      <c r="P856" s="565">
        <f>ROUND(Q856/O856,1)</f>
        <v>2.7999999999999998</v>
      </c>
      <c r="Q856" s="569">
        <f>SUM(Q853:Q855)</f>
        <v>6386626.853000002</v>
      </c>
      <c r="S856" s="604">
        <f>'Sch. G 2022'!H33</f>
        <v>2294441</v>
      </c>
      <c r="T856" s="679">
        <f>O856-S856</f>
        <v>0.47000000020489097</v>
      </c>
    </row>
    <row r="857" spans="1:20" s="598" customFormat="1" ht="15" thickTop="1">
      <c r="A857" s="563"/>
      <c r="B857" s="571"/>
      <c r="D857" s="358"/>
      <c r="E857" s="572"/>
      <c r="F857" s="358"/>
      <c r="G857" s="358"/>
      <c r="H857" s="318"/>
      <c r="I857" s="358"/>
      <c r="J857" s="358"/>
      <c r="K857" s="358"/>
      <c r="L857" s="358"/>
      <c r="M857" s="358"/>
      <c r="N857" s="358"/>
      <c r="O857" s="600"/>
      <c r="P857" s="601"/>
      <c r="Q857" s="600"/>
      <c r="T857" s="679"/>
    </row>
    <row r="858" spans="1:17" s="598" customFormat="1" ht="15" outlineLevel="1">
      <c r="A858" s="597">
        <v>3912</v>
      </c>
      <c r="B858" s="598" t="s">
        <v>540</v>
      </c>
      <c r="C858" s="598">
        <v>2012</v>
      </c>
      <c r="D858" s="599">
        <v>38837.709999999999</v>
      </c>
      <c r="E858" s="601">
        <f>Input!$C$14-C858+0.5</f>
        <v>10.5</v>
      </c>
      <c r="F858" s="600">
        <f t="shared" si="131" ref="F858:F867">D858*E858</f>
        <v>407795.95500000002</v>
      </c>
      <c r="G858" s="600"/>
      <c r="H858" s="317"/>
      <c r="I858" s="600"/>
      <c r="J858" s="600"/>
      <c r="K858" s="600"/>
      <c r="L858" s="600"/>
      <c r="M858" s="600"/>
      <c r="N858" s="600">
        <f>-5894.2-650</f>
        <v>-6544.1999999999998</v>
      </c>
      <c r="O858" s="600">
        <f t="shared" si="132" ref="O858:O867">SUM(D858,I858:N858)</f>
        <v>32293.509999999998</v>
      </c>
      <c r="P858" s="601">
        <f t="shared" si="121"/>
        <v>10.5</v>
      </c>
      <c r="Q858" s="600">
        <f t="shared" si="122"/>
        <v>339081.85499999998</v>
      </c>
    </row>
    <row r="859" spans="1:17" s="598" customFormat="1" ht="15" outlineLevel="1">
      <c r="A859" s="597">
        <v>3912</v>
      </c>
      <c r="B859" s="598" t="s">
        <v>540</v>
      </c>
      <c r="C859" s="598">
        <v>2013</v>
      </c>
      <c r="D859" s="599">
        <v>38327.949999999997</v>
      </c>
      <c r="E859" s="601">
        <f>Input!$C$14-C859+0.5</f>
        <v>9.5</v>
      </c>
      <c r="F859" s="600">
        <f t="shared" si="131"/>
        <v>364115.52499999997</v>
      </c>
      <c r="G859" s="600"/>
      <c r="H859" s="317"/>
      <c r="I859" s="600"/>
      <c r="J859" s="600"/>
      <c r="K859" s="600"/>
      <c r="L859" s="600"/>
      <c r="M859" s="600"/>
      <c r="N859" s="600"/>
      <c r="O859" s="600">
        <f t="shared" si="132"/>
        <v>38327.949999999997</v>
      </c>
      <c r="P859" s="601">
        <f t="shared" si="121"/>
        <v>9.5</v>
      </c>
      <c r="Q859" s="600">
        <f t="shared" si="122"/>
        <v>364115.52499999997</v>
      </c>
    </row>
    <row r="860" spans="1:17" s="598" customFormat="1" ht="15" outlineLevel="1">
      <c r="A860" s="597">
        <v>3912</v>
      </c>
      <c r="B860" s="598" t="s">
        <v>540</v>
      </c>
      <c r="C860" s="598">
        <v>2014</v>
      </c>
      <c r="D860" s="599">
        <v>49518.120000000003</v>
      </c>
      <c r="E860" s="601">
        <f>Input!$C$14-C860+0.5</f>
        <v>8.5</v>
      </c>
      <c r="F860" s="600">
        <f t="shared" si="131"/>
        <v>420904.02000000002</v>
      </c>
      <c r="G860" s="600"/>
      <c r="H860" s="317"/>
      <c r="I860" s="600"/>
      <c r="J860" s="600"/>
      <c r="K860" s="600"/>
      <c r="L860" s="600"/>
      <c r="M860" s="600"/>
      <c r="N860" s="600"/>
      <c r="O860" s="600">
        <f t="shared" si="132"/>
        <v>49518.120000000003</v>
      </c>
      <c r="P860" s="601">
        <f t="shared" si="121"/>
        <v>8.5</v>
      </c>
      <c r="Q860" s="600">
        <f t="shared" si="122"/>
        <v>420904.02000000002</v>
      </c>
    </row>
    <row r="861" spans="1:17" s="598" customFormat="1" ht="15" outlineLevel="1">
      <c r="A861" s="597">
        <v>3912</v>
      </c>
      <c r="B861" s="598" t="s">
        <v>540</v>
      </c>
      <c r="C861" s="598">
        <v>2015</v>
      </c>
      <c r="D861" s="599">
        <v>21653.389999999999</v>
      </c>
      <c r="E861" s="601">
        <f>Input!$C$14-C861+0.5</f>
        <v>7.5</v>
      </c>
      <c r="F861" s="600">
        <f t="shared" si="131"/>
        <v>162400.42499999999</v>
      </c>
      <c r="G861" s="600"/>
      <c r="H861" s="317"/>
      <c r="I861" s="600"/>
      <c r="J861" s="600"/>
      <c r="K861" s="600"/>
      <c r="L861" s="600"/>
      <c r="M861" s="600"/>
      <c r="N861" s="600"/>
      <c r="O861" s="600">
        <f t="shared" si="132"/>
        <v>21653.389999999999</v>
      </c>
      <c r="P861" s="601">
        <f t="shared" si="121"/>
        <v>7.5</v>
      </c>
      <c r="Q861" s="600">
        <f t="shared" si="122"/>
        <v>162400.42499999999</v>
      </c>
    </row>
    <row r="862" spans="1:17" s="598" customFormat="1" ht="15" outlineLevel="1">
      <c r="A862" s="597">
        <v>3912</v>
      </c>
      <c r="B862" s="598" t="s">
        <v>540</v>
      </c>
      <c r="C862" s="598">
        <v>2016</v>
      </c>
      <c r="D862" s="599">
        <v>22947.48</v>
      </c>
      <c r="E862" s="601">
        <f>Input!$C$14-C862+0.5</f>
        <v>6.5</v>
      </c>
      <c r="F862" s="600">
        <f t="shared" si="131"/>
        <v>149158.62</v>
      </c>
      <c r="G862" s="600"/>
      <c r="H862" s="317"/>
      <c r="I862" s="600"/>
      <c r="J862" s="600"/>
      <c r="K862" s="600"/>
      <c r="L862" s="600"/>
      <c r="M862" s="600"/>
      <c r="N862" s="600">
        <v>77494.699999999997</v>
      </c>
      <c r="O862" s="600">
        <f t="shared" si="132"/>
        <v>100442.17999999999</v>
      </c>
      <c r="P862" s="601">
        <f t="shared" si="121"/>
        <v>6.5</v>
      </c>
      <c r="Q862" s="600">
        <f t="shared" si="122"/>
        <v>652874.16999999993</v>
      </c>
    </row>
    <row r="863" spans="1:17" s="598" customFormat="1" ht="15" outlineLevel="1">
      <c r="A863" s="597">
        <v>3912</v>
      </c>
      <c r="B863" s="598" t="s">
        <v>540</v>
      </c>
      <c r="C863" s="598">
        <v>2017</v>
      </c>
      <c r="D863" s="599">
        <v>75019.549999999988</v>
      </c>
      <c r="E863" s="601">
        <f>Input!$C$14-C863+0.5</f>
        <v>5.5</v>
      </c>
      <c r="F863" s="600">
        <f t="shared" si="131"/>
        <v>412607.52499999991</v>
      </c>
      <c r="G863" s="600"/>
      <c r="H863" s="317"/>
      <c r="I863" s="600"/>
      <c r="J863" s="600"/>
      <c r="K863" s="600"/>
      <c r="L863" s="600"/>
      <c r="M863" s="600"/>
      <c r="N863" s="600"/>
      <c r="O863" s="600">
        <f t="shared" si="132"/>
        <v>75019.549999999988</v>
      </c>
      <c r="P863" s="601">
        <f t="shared" si="121"/>
        <v>5.5</v>
      </c>
      <c r="Q863" s="600">
        <f t="shared" si="122"/>
        <v>412607.52499999991</v>
      </c>
    </row>
    <row r="864" spans="1:17" s="598" customFormat="1" ht="15" outlineLevel="1">
      <c r="A864" s="597">
        <v>3912</v>
      </c>
      <c r="B864" s="598" t="s">
        <v>540</v>
      </c>
      <c r="C864" s="598">
        <v>2018</v>
      </c>
      <c r="D864" s="599">
        <v>23089.98</v>
      </c>
      <c r="E864" s="601">
        <f>Input!$C$14-C864+0.5</f>
        <v>4.5</v>
      </c>
      <c r="F864" s="600">
        <f t="shared" si="131"/>
        <v>103904.91</v>
      </c>
      <c r="G864" s="600"/>
      <c r="H864" s="317"/>
      <c r="I864" s="600"/>
      <c r="J864" s="600"/>
      <c r="K864" s="600"/>
      <c r="L864" s="600"/>
      <c r="M864" s="600"/>
      <c r="N864" s="600"/>
      <c r="O864" s="600">
        <f t="shared" si="132"/>
        <v>23089.98</v>
      </c>
      <c r="P864" s="601">
        <f t="shared" si="121"/>
        <v>4.5</v>
      </c>
      <c r="Q864" s="600">
        <f t="shared" si="122"/>
        <v>103904.91</v>
      </c>
    </row>
    <row r="865" spans="1:17" s="598" customFormat="1" ht="15" outlineLevel="1">
      <c r="A865" s="597">
        <v>3912</v>
      </c>
      <c r="B865" s="598" t="s">
        <v>540</v>
      </c>
      <c r="C865" s="598">
        <v>2019</v>
      </c>
      <c r="D865" s="599">
        <v>9807.9500000000007</v>
      </c>
      <c r="E865" s="601">
        <f>Input!$C$14-C865+0.5</f>
        <v>3.5</v>
      </c>
      <c r="F865" s="600">
        <f t="shared" si="131"/>
        <v>34327.825000000004</v>
      </c>
      <c r="G865" s="600"/>
      <c r="H865" s="317"/>
      <c r="I865" s="600"/>
      <c r="J865" s="600"/>
      <c r="K865" s="600"/>
      <c r="L865" s="600"/>
      <c r="M865" s="600"/>
      <c r="N865" s="600"/>
      <c r="O865" s="600">
        <f t="shared" si="132"/>
        <v>9807.9500000000007</v>
      </c>
      <c r="P865" s="601">
        <f t="shared" si="121"/>
        <v>3.5</v>
      </c>
      <c r="Q865" s="600">
        <f t="shared" si="122"/>
        <v>34327.825000000004</v>
      </c>
    </row>
    <row r="866" spans="1:17" s="598" customFormat="1" ht="15" outlineLevel="1">
      <c r="A866" s="597">
        <v>3912</v>
      </c>
      <c r="B866" s="598" t="s">
        <v>540</v>
      </c>
      <c r="C866" s="598">
        <v>2020</v>
      </c>
      <c r="D866" s="599">
        <v>165.25</v>
      </c>
      <c r="E866" s="601">
        <f>Input!$C$14-C866+0.5</f>
        <v>2.5</v>
      </c>
      <c r="F866" s="600">
        <f t="shared" si="131"/>
        <v>413.125</v>
      </c>
      <c r="G866" s="600"/>
      <c r="H866" s="317"/>
      <c r="I866" s="600"/>
      <c r="J866" s="600"/>
      <c r="K866" s="600"/>
      <c r="L866" s="600"/>
      <c r="M866" s="600"/>
      <c r="N866" s="600"/>
      <c r="O866" s="600">
        <f t="shared" si="132"/>
        <v>165.25</v>
      </c>
      <c r="P866" s="601">
        <f t="shared" si="121"/>
        <v>2.5</v>
      </c>
      <c r="Q866" s="600">
        <f t="shared" si="122"/>
        <v>413.125</v>
      </c>
    </row>
    <row r="867" spans="1:17" s="598" customFormat="1" ht="15" outlineLevel="1">
      <c r="A867" s="597">
        <v>3912</v>
      </c>
      <c r="B867" s="598" t="s">
        <v>540</v>
      </c>
      <c r="C867" s="598">
        <v>2021</v>
      </c>
      <c r="D867" s="599">
        <v>29724.669999999998</v>
      </c>
      <c r="E867" s="601">
        <f>Input!$C$14-C867+0.5</f>
        <v>1.5</v>
      </c>
      <c r="F867" s="600">
        <f t="shared" si="131"/>
        <v>44587.004999999997</v>
      </c>
      <c r="G867" s="600"/>
      <c r="H867" s="317"/>
      <c r="I867" s="600"/>
      <c r="J867" s="600"/>
      <c r="K867" s="600"/>
      <c r="L867" s="600"/>
      <c r="M867" s="600"/>
      <c r="N867" s="600"/>
      <c r="O867" s="600">
        <f t="shared" si="132"/>
        <v>29724.669999999998</v>
      </c>
      <c r="P867" s="601">
        <f t="shared" si="121"/>
        <v>1.5</v>
      </c>
      <c r="Q867" s="600">
        <f t="shared" si="122"/>
        <v>44587.004999999997</v>
      </c>
    </row>
    <row r="868" spans="1:20" s="598" customFormat="1" ht="13.5" thickBot="1">
      <c r="A868" s="563">
        <f>A867</f>
        <v>3912</v>
      </c>
      <c r="B868" s="564" t="s">
        <v>496</v>
      </c>
      <c r="D868" s="357">
        <f>SUM(D858:D867)</f>
        <v>309092.04999999999</v>
      </c>
      <c r="E868" s="565">
        <f>ROUND(F868/D868,1)</f>
        <v>6.7999999999999998</v>
      </c>
      <c r="F868" s="357">
        <f>SUM(F858:F867)</f>
        <v>2100214.9349999996</v>
      </c>
      <c r="G868" s="358"/>
      <c r="H868" s="318"/>
      <c r="I868" s="357">
        <f>SUM(I858:I867)</f>
        <v>0</v>
      </c>
      <c r="J868" s="357">
        <f>SUM(J858:J867)</f>
        <v>0</v>
      </c>
      <c r="K868" s="357">
        <f t="shared" si="133" ref="K868:N868">SUM(K858:K867)</f>
        <v>0</v>
      </c>
      <c r="L868" s="357">
        <f t="shared" si="133"/>
        <v>0</v>
      </c>
      <c r="M868" s="357">
        <f t="shared" si="133"/>
        <v>0</v>
      </c>
      <c r="N868" s="357">
        <f t="shared" si="133"/>
        <v>70950.5</v>
      </c>
      <c r="O868" s="357">
        <f>SUM(O858:O867)</f>
        <v>380042.54999999993</v>
      </c>
      <c r="P868" s="565">
        <f>ROUND(Q868/O868,1)</f>
        <v>6.7000000000000002</v>
      </c>
      <c r="Q868" s="357">
        <f>SUM(Q858:Q867)</f>
        <v>2535216.3849999998</v>
      </c>
      <c r="S868" s="604">
        <f>'Sch. G 2021'!H34</f>
        <v>309093</v>
      </c>
      <c r="T868" s="679">
        <f>D868-S868</f>
        <v>-0.95000000001164153</v>
      </c>
    </row>
    <row r="869" spans="1:20" s="598" customFormat="1" ht="15.75" thickTop="1">
      <c r="A869" s="566">
        <f>A867</f>
        <v>3912</v>
      </c>
      <c r="B869" s="490" t="str">
        <f>B867&amp;" - Additions"</f>
        <v>Comp Hdwr - Additions</v>
      </c>
      <c r="C869" s="490">
        <v>2022</v>
      </c>
      <c r="D869" s="567">
        <f>'Sch. H'!N34</f>
        <v>0</v>
      </c>
      <c r="E869" s="601">
        <f>Input!$C$14-C869+0.5</f>
        <v>0.5</v>
      </c>
      <c r="F869" s="600">
        <f>D869*E869</f>
        <v>0</v>
      </c>
      <c r="G869" s="600"/>
      <c r="H869" s="317"/>
      <c r="I869" s="600"/>
      <c r="J869" s="600"/>
      <c r="K869" s="600"/>
      <c r="L869" s="600"/>
      <c r="M869" s="600"/>
      <c r="N869" s="600"/>
      <c r="O869" s="600">
        <f t="shared" si="134" ref="O869:O870">SUM(D869,I869:N869)</f>
        <v>0</v>
      </c>
      <c r="P869" s="601">
        <f t="shared" si="121"/>
        <v>0.5</v>
      </c>
      <c r="Q869" s="600">
        <f t="shared" si="122"/>
        <v>0</v>
      </c>
      <c r="T869" s="679"/>
    </row>
    <row r="870" spans="1:20" s="598" customFormat="1" ht="15">
      <c r="A870" s="566">
        <f>A869</f>
        <v>3912</v>
      </c>
      <c r="B870" s="490" t="str">
        <f>B867&amp;" - Retirements"</f>
        <v>Comp Hdwr - Retirements</v>
      </c>
      <c r="C870" s="490">
        <v>2022</v>
      </c>
      <c r="D870" s="567">
        <f>-'Sch. F 2022'!AQ90</f>
        <v>-5251.4700000000003</v>
      </c>
      <c r="E870" s="601">
        <f>'Sch. F 2022'!AQ92</f>
        <v>10.5</v>
      </c>
      <c r="F870" s="600">
        <f>D870*E870</f>
        <v>-55140.435000000005</v>
      </c>
      <c r="G870" s="600"/>
      <c r="H870" s="317"/>
      <c r="I870" s="600"/>
      <c r="J870" s="600"/>
      <c r="K870" s="600"/>
      <c r="L870" s="600"/>
      <c r="M870" s="600"/>
      <c r="N870" s="600"/>
      <c r="O870" s="600">
        <f t="shared" si="134"/>
        <v>-5251.4700000000003</v>
      </c>
      <c r="P870" s="601">
        <f t="shared" si="121"/>
        <v>10.5</v>
      </c>
      <c r="Q870" s="600">
        <f t="shared" si="122"/>
        <v>-55140.435000000005</v>
      </c>
      <c r="T870" s="679"/>
    </row>
    <row r="871" spans="1:20" s="598" customFormat="1" ht="13.5" thickBot="1">
      <c r="A871" s="566"/>
      <c r="B871" s="564" t="s">
        <v>557</v>
      </c>
      <c r="C871" s="490"/>
      <c r="D871" s="568">
        <f>SUM(D868:D870)</f>
        <v>303840.58000000002</v>
      </c>
      <c r="E871" s="565">
        <f>ROUND(F871/D871,1)</f>
        <v>6.7000000000000002</v>
      </c>
      <c r="F871" s="569">
        <f>SUM(F868:F870)</f>
        <v>2045074.4999999995</v>
      </c>
      <c r="G871" s="570"/>
      <c r="H871" s="372"/>
      <c r="I871" s="568">
        <f>SUM(I868:I870)</f>
        <v>0</v>
      </c>
      <c r="J871" s="568">
        <f>SUM(J868:J870)</f>
        <v>0</v>
      </c>
      <c r="K871" s="568">
        <f t="shared" si="135" ref="K871:N871">SUM(K868:K870)</f>
        <v>0</v>
      </c>
      <c r="L871" s="568">
        <f t="shared" si="135"/>
        <v>0</v>
      </c>
      <c r="M871" s="568">
        <f t="shared" si="135"/>
        <v>0</v>
      </c>
      <c r="N871" s="568">
        <f t="shared" si="135"/>
        <v>70950.5</v>
      </c>
      <c r="O871" s="568">
        <f>SUM(O868:O870)</f>
        <v>374791.07999999996</v>
      </c>
      <c r="P871" s="565">
        <f>ROUND(Q871/O871,1)</f>
        <v>6.5999999999999996</v>
      </c>
      <c r="Q871" s="569">
        <f>SUM(Q868:Q870)</f>
        <v>2480075.9499999997</v>
      </c>
      <c r="S871" s="604">
        <f>'Sch. G 2022'!H34</f>
        <v>374792</v>
      </c>
      <c r="T871" s="679">
        <f>O871-S871</f>
        <v>-0.92000000004190952</v>
      </c>
    </row>
    <row r="872" spans="1:20" s="598" customFormat="1" ht="13.5" thickTop="1">
      <c r="A872" s="563"/>
      <c r="B872" s="571"/>
      <c r="D872" s="358"/>
      <c r="E872" s="572"/>
      <c r="F872" s="358"/>
      <c r="G872" s="358"/>
      <c r="H872" s="318"/>
      <c r="I872" s="358"/>
      <c r="J872" s="358"/>
      <c r="K872" s="358"/>
      <c r="L872" s="358"/>
      <c r="M872" s="358"/>
      <c r="N872" s="358"/>
      <c r="O872" s="358"/>
      <c r="P872" s="572"/>
      <c r="Q872" s="358"/>
      <c r="T872" s="679"/>
    </row>
    <row r="873" spans="1:17" s="598" customFormat="1" ht="15" outlineLevel="1">
      <c r="A873" s="597">
        <v>3913</v>
      </c>
      <c r="B873" s="598" t="s">
        <v>541</v>
      </c>
      <c r="C873" s="598">
        <v>1999</v>
      </c>
      <c r="D873" s="599">
        <v>1737</v>
      </c>
      <c r="E873" s="601">
        <f>Input!$C$14-C873+0.5</f>
        <v>23.5</v>
      </c>
      <c r="F873" s="600">
        <f t="shared" si="136" ref="F873:F886">D873*E873</f>
        <v>40819.5</v>
      </c>
      <c r="G873" s="600"/>
      <c r="H873" s="317"/>
      <c r="I873" s="600"/>
      <c r="J873" s="600"/>
      <c r="K873" s="600"/>
      <c r="L873" s="600"/>
      <c r="M873" s="600"/>
      <c r="N873" s="600"/>
      <c r="O873" s="600">
        <f t="shared" si="137" ref="O873:O886">SUM(D873,I873:N873)</f>
        <v>1737</v>
      </c>
      <c r="P873" s="601">
        <f t="shared" si="121"/>
        <v>23.5</v>
      </c>
      <c r="Q873" s="600">
        <f t="shared" si="122"/>
        <v>40819.5</v>
      </c>
    </row>
    <row r="874" spans="1:17" s="598" customFormat="1" ht="15" outlineLevel="1">
      <c r="A874" s="597">
        <v>3913</v>
      </c>
      <c r="B874" s="598" t="s">
        <v>541</v>
      </c>
      <c r="C874" s="598">
        <v>2002</v>
      </c>
      <c r="D874" s="599">
        <f>44972.31+972</f>
        <v>45944.309999999998</v>
      </c>
      <c r="E874" s="601">
        <f>Input!$C$14-C874+0.5</f>
        <v>20.5</v>
      </c>
      <c r="F874" s="600">
        <f>D874*E874</f>
        <v>941858.35499999998</v>
      </c>
      <c r="G874" s="600"/>
      <c r="H874" s="317"/>
      <c r="I874" s="600"/>
      <c r="J874" s="600"/>
      <c r="K874" s="600"/>
      <c r="L874" s="600"/>
      <c r="M874" s="600"/>
      <c r="N874" s="600"/>
      <c r="O874" s="600">
        <f t="shared" si="137"/>
        <v>45944.309999999998</v>
      </c>
      <c r="P874" s="601">
        <f>E874</f>
        <v>20.5</v>
      </c>
      <c r="Q874" s="600">
        <f>O874*P874</f>
        <v>941858.35499999998</v>
      </c>
    </row>
    <row r="875" spans="1:17" s="598" customFormat="1" ht="15" outlineLevel="1">
      <c r="A875" s="597">
        <v>3913</v>
      </c>
      <c r="B875" s="598" t="s">
        <v>541</v>
      </c>
      <c r="C875" s="598">
        <v>2005</v>
      </c>
      <c r="D875" s="599">
        <v>10242.77</v>
      </c>
      <c r="E875" s="601">
        <f>Input!$C$14-C875+0.5</f>
        <v>17.5</v>
      </c>
      <c r="F875" s="600">
        <f t="shared" si="136"/>
        <v>179248.47500000001</v>
      </c>
      <c r="G875" s="600"/>
      <c r="H875" s="317"/>
      <c r="I875" s="600"/>
      <c r="J875" s="600"/>
      <c r="K875" s="600"/>
      <c r="L875" s="600"/>
      <c r="M875" s="600"/>
      <c r="N875" s="600"/>
      <c r="O875" s="600">
        <f t="shared" si="137"/>
        <v>10242.77</v>
      </c>
      <c r="P875" s="601">
        <f t="shared" si="121"/>
        <v>17.5</v>
      </c>
      <c r="Q875" s="600">
        <f t="shared" si="122"/>
        <v>179248.47500000001</v>
      </c>
    </row>
    <row r="876" spans="1:17" s="598" customFormat="1" ht="15" outlineLevel="1">
      <c r="A876" s="597">
        <v>3913</v>
      </c>
      <c r="B876" s="598" t="s">
        <v>541</v>
      </c>
      <c r="C876" s="598">
        <v>2007</v>
      </c>
      <c r="D876" s="599">
        <v>3791</v>
      </c>
      <c r="E876" s="601">
        <f>Input!$C$14-C876+0.5</f>
        <v>15.5</v>
      </c>
      <c r="F876" s="600">
        <f>D876*E876</f>
        <v>58760.5</v>
      </c>
      <c r="G876" s="600"/>
      <c r="H876" s="317"/>
      <c r="I876" s="600"/>
      <c r="J876" s="600"/>
      <c r="K876" s="600"/>
      <c r="L876" s="600"/>
      <c r="M876" s="600"/>
      <c r="N876" s="600"/>
      <c r="O876" s="600">
        <f t="shared" si="137"/>
        <v>3791</v>
      </c>
      <c r="P876" s="601">
        <f>E876</f>
        <v>15.5</v>
      </c>
      <c r="Q876" s="600">
        <f>O876*P876</f>
        <v>58760.5</v>
      </c>
    </row>
    <row r="877" spans="1:17" s="598" customFormat="1" ht="15" outlineLevel="1">
      <c r="A877" s="597">
        <v>3913</v>
      </c>
      <c r="B877" s="598" t="s">
        <v>541</v>
      </c>
      <c r="C877" s="598">
        <v>2008</v>
      </c>
      <c r="D877" s="599">
        <v>8762.8899999999994</v>
      </c>
      <c r="E877" s="601">
        <f>Input!$C$14-C877+0.5</f>
        <v>14.5</v>
      </c>
      <c r="F877" s="600">
        <f t="shared" si="136"/>
        <v>127061.905</v>
      </c>
      <c r="G877" s="600"/>
      <c r="H877" s="317"/>
      <c r="I877" s="600"/>
      <c r="J877" s="600"/>
      <c r="K877" s="600"/>
      <c r="L877" s="600"/>
      <c r="M877" s="600"/>
      <c r="N877" s="600"/>
      <c r="O877" s="600">
        <f t="shared" si="137"/>
        <v>8762.8899999999994</v>
      </c>
      <c r="P877" s="601">
        <f t="shared" si="121"/>
        <v>14.5</v>
      </c>
      <c r="Q877" s="600">
        <f t="shared" si="122"/>
        <v>127061.905</v>
      </c>
    </row>
    <row r="878" spans="1:17" s="598" customFormat="1" ht="15" outlineLevel="1">
      <c r="A878" s="597">
        <v>3913</v>
      </c>
      <c r="B878" s="598" t="s">
        <v>541</v>
      </c>
      <c r="C878" s="598">
        <v>2009</v>
      </c>
      <c r="D878" s="599">
        <f>26117.74+6727.98</f>
        <v>32845.720000000001</v>
      </c>
      <c r="E878" s="601">
        <f>Input!$C$14-C878+0.5</f>
        <v>13.5</v>
      </c>
      <c r="F878" s="600">
        <f t="shared" si="136"/>
        <v>443417.22000000003</v>
      </c>
      <c r="G878" s="600"/>
      <c r="H878" s="317"/>
      <c r="I878" s="600"/>
      <c r="J878" s="600"/>
      <c r="K878" s="600"/>
      <c r="L878" s="600"/>
      <c r="M878" s="600"/>
      <c r="N878" s="600"/>
      <c r="O878" s="600">
        <f t="shared" si="137"/>
        <v>32845.720000000001</v>
      </c>
      <c r="P878" s="601">
        <f t="shared" si="121"/>
        <v>13.5</v>
      </c>
      <c r="Q878" s="600">
        <f t="shared" si="122"/>
        <v>443417.22000000003</v>
      </c>
    </row>
    <row r="879" spans="1:17" s="598" customFormat="1" ht="15" outlineLevel="1">
      <c r="A879" s="597">
        <v>3913</v>
      </c>
      <c r="B879" s="598" t="s">
        <v>541</v>
      </c>
      <c r="C879" s="598">
        <v>2010</v>
      </c>
      <c r="D879" s="599">
        <f>13227.98-13227.98</f>
        <v>0</v>
      </c>
      <c r="E879" s="601">
        <f>Input!$C$14-C879+0.5</f>
        <v>12.5</v>
      </c>
      <c r="F879" s="600">
        <f t="shared" si="136"/>
        <v>0</v>
      </c>
      <c r="G879" s="600"/>
      <c r="H879" s="317"/>
      <c r="I879" s="600"/>
      <c r="J879" s="600"/>
      <c r="K879" s="600"/>
      <c r="L879" s="600"/>
      <c r="M879" s="600"/>
      <c r="N879" s="600"/>
      <c r="O879" s="600">
        <f t="shared" si="137"/>
        <v>0</v>
      </c>
      <c r="P879" s="601">
        <f t="shared" si="121"/>
        <v>12.5</v>
      </c>
      <c r="Q879" s="600">
        <f t="shared" si="122"/>
        <v>0</v>
      </c>
    </row>
    <row r="880" spans="1:17" s="598" customFormat="1" ht="15" outlineLevel="1">
      <c r="A880" s="597">
        <v>3913</v>
      </c>
      <c r="B880" s="598" t="s">
        <v>541</v>
      </c>
      <c r="C880" s="598">
        <v>2011</v>
      </c>
      <c r="D880" s="599">
        <v>48239.290000000001</v>
      </c>
      <c r="E880" s="601">
        <f>Input!$C$14-C880+0.5</f>
        <v>11.5</v>
      </c>
      <c r="F880" s="600">
        <f t="shared" si="136"/>
        <v>554751.83499999996</v>
      </c>
      <c r="G880" s="600"/>
      <c r="H880" s="317"/>
      <c r="I880" s="600"/>
      <c r="J880" s="600"/>
      <c r="K880" s="600"/>
      <c r="L880" s="600"/>
      <c r="M880" s="600"/>
      <c r="N880" s="600"/>
      <c r="O880" s="600">
        <f t="shared" si="137"/>
        <v>48239.290000000001</v>
      </c>
      <c r="P880" s="601">
        <f t="shared" si="121"/>
        <v>11.5</v>
      </c>
      <c r="Q880" s="600">
        <f t="shared" si="122"/>
        <v>554751.83499999996</v>
      </c>
    </row>
    <row r="881" spans="1:17" s="598" customFormat="1" ht="15" outlineLevel="1">
      <c r="A881" s="597">
        <v>3913</v>
      </c>
      <c r="B881" s="598" t="s">
        <v>541</v>
      </c>
      <c r="C881" s="598">
        <v>2012</v>
      </c>
      <c r="D881" s="599">
        <v>327430.81</v>
      </c>
      <c r="E881" s="601">
        <f>Input!$C$14-C881+0.5</f>
        <v>10.5</v>
      </c>
      <c r="F881" s="600">
        <f t="shared" si="136"/>
        <v>3438023.5049999999</v>
      </c>
      <c r="G881" s="600"/>
      <c r="H881" s="317"/>
      <c r="I881" s="600"/>
      <c r="J881" s="600"/>
      <c r="K881" s="600"/>
      <c r="L881" s="600"/>
      <c r="M881" s="600"/>
      <c r="N881" s="600">
        <v>650</v>
      </c>
      <c r="O881" s="600">
        <f t="shared" si="137"/>
        <v>328080.81</v>
      </c>
      <c r="P881" s="601">
        <f t="shared" si="138" ref="P881:P937">E881</f>
        <v>10.5</v>
      </c>
      <c r="Q881" s="600">
        <f t="shared" si="139" ref="Q881:Q937">O881*P881</f>
        <v>3444848.5049999999</v>
      </c>
    </row>
    <row r="882" spans="1:17" s="598" customFormat="1" ht="15" outlineLevel="1">
      <c r="A882" s="597">
        <v>3913</v>
      </c>
      <c r="B882" s="598" t="s">
        <v>541</v>
      </c>
      <c r="C882" s="598">
        <v>2013</v>
      </c>
      <c r="D882" s="599">
        <v>4275.5299999999997</v>
      </c>
      <c r="E882" s="601">
        <f>Input!$C$14-C882+0.5</f>
        <v>9.5</v>
      </c>
      <c r="F882" s="600">
        <f t="shared" si="136"/>
        <v>40617.534999999996</v>
      </c>
      <c r="G882" s="600"/>
      <c r="H882" s="317"/>
      <c r="I882" s="600"/>
      <c r="J882" s="600"/>
      <c r="K882" s="600"/>
      <c r="L882" s="600"/>
      <c r="M882" s="600"/>
      <c r="N882" s="600">
        <v>-681.28999999999996</v>
      </c>
      <c r="O882" s="600">
        <f t="shared" si="137"/>
        <v>3594.2399999999998</v>
      </c>
      <c r="P882" s="601">
        <f t="shared" si="138"/>
        <v>9.5</v>
      </c>
      <c r="Q882" s="600">
        <f t="shared" si="139"/>
        <v>34145.279999999999</v>
      </c>
    </row>
    <row r="883" spans="1:17" s="598" customFormat="1" ht="15" outlineLevel="1">
      <c r="A883" s="597">
        <v>3913</v>
      </c>
      <c r="B883" s="598" t="s">
        <v>541</v>
      </c>
      <c r="C883" s="598">
        <v>2014</v>
      </c>
      <c r="D883" s="599">
        <v>19238.600000000002</v>
      </c>
      <c r="E883" s="601">
        <f>Input!$C$14-C883+0.5</f>
        <v>8.5</v>
      </c>
      <c r="F883" s="600">
        <f t="shared" si="136"/>
        <v>163528.10000000001</v>
      </c>
      <c r="G883" s="600"/>
      <c r="H883" s="317"/>
      <c r="I883" s="600"/>
      <c r="J883" s="600"/>
      <c r="K883" s="600"/>
      <c r="L883" s="600"/>
      <c r="M883" s="600"/>
      <c r="N883" s="600">
        <v>237.99000000000001</v>
      </c>
      <c r="O883" s="600">
        <f t="shared" si="137"/>
        <v>19476.590000000004</v>
      </c>
      <c r="P883" s="601">
        <f t="shared" si="138"/>
        <v>8.5</v>
      </c>
      <c r="Q883" s="600">
        <f t="shared" si="139"/>
        <v>165551.01500000004</v>
      </c>
    </row>
    <row r="884" spans="1:17" s="598" customFormat="1" ht="15" outlineLevel="1">
      <c r="A884" s="597">
        <v>3913</v>
      </c>
      <c r="B884" s="598" t="s">
        <v>541</v>
      </c>
      <c r="C884" s="598">
        <v>2015</v>
      </c>
      <c r="D884" s="599">
        <v>7700</v>
      </c>
      <c r="E884" s="601">
        <f>Input!$C$14-C884+0.5</f>
        <v>7.5</v>
      </c>
      <c r="F884" s="600">
        <f t="shared" si="136"/>
        <v>57750</v>
      </c>
      <c r="G884" s="600"/>
      <c r="H884" s="317"/>
      <c r="I884" s="600"/>
      <c r="J884" s="600"/>
      <c r="K884" s="600"/>
      <c r="L884" s="600"/>
      <c r="M884" s="600"/>
      <c r="N884" s="600">
        <v>82662.210000000006</v>
      </c>
      <c r="O884" s="600">
        <f t="shared" si="137"/>
        <v>90362.210000000006</v>
      </c>
      <c r="P884" s="601">
        <f t="shared" si="138"/>
        <v>7.5</v>
      </c>
      <c r="Q884" s="600">
        <f t="shared" si="139"/>
        <v>677716.57500000007</v>
      </c>
    </row>
    <row r="885" spans="1:17" s="598" customFormat="1" ht="15" outlineLevel="1">
      <c r="A885" s="597">
        <v>3913</v>
      </c>
      <c r="B885" s="598" t="s">
        <v>541</v>
      </c>
      <c r="C885" s="598">
        <v>2016</v>
      </c>
      <c r="D885" s="599">
        <v>109460.37</v>
      </c>
      <c r="E885" s="601">
        <f>Input!$C$14-C885+0.5</f>
        <v>6.5</v>
      </c>
      <c r="F885" s="600">
        <f t="shared" si="140" ref="F885">D885*E885</f>
        <v>711492.40500000003</v>
      </c>
      <c r="G885" s="600"/>
      <c r="H885" s="317"/>
      <c r="I885" s="600"/>
      <c r="J885" s="600"/>
      <c r="K885" s="600"/>
      <c r="L885" s="600"/>
      <c r="M885" s="600"/>
      <c r="N885" s="600">
        <v>-77494.699999999997</v>
      </c>
      <c r="O885" s="600">
        <f t="shared" si="141" ref="O885">SUM(D885,I885:N885)</f>
        <v>31965.669999999998</v>
      </c>
      <c r="P885" s="601">
        <f t="shared" si="142" ref="P885">E885</f>
        <v>6.5</v>
      </c>
      <c r="Q885" s="600">
        <f t="shared" si="143" ref="Q885">O885*P885</f>
        <v>207776.85499999998</v>
      </c>
    </row>
    <row r="886" spans="1:17" s="598" customFormat="1" ht="15" outlineLevel="1">
      <c r="A886" s="597">
        <v>3913</v>
      </c>
      <c r="B886" s="598" t="s">
        <v>541</v>
      </c>
      <c r="C886" s="598">
        <v>2019</v>
      </c>
      <c r="D886" s="599">
        <v>0</v>
      </c>
      <c r="E886" s="601">
        <f>Input!$C$14-C886+0.5</f>
        <v>3.5</v>
      </c>
      <c r="F886" s="600">
        <f t="shared" si="136"/>
        <v>0</v>
      </c>
      <c r="G886" s="600"/>
      <c r="H886" s="317"/>
      <c r="I886" s="600"/>
      <c r="J886" s="600"/>
      <c r="K886" s="600"/>
      <c r="L886" s="600"/>
      <c r="M886" s="600"/>
      <c r="N886" s="600">
        <v>362731.34999999998</v>
      </c>
      <c r="O886" s="600">
        <f t="shared" si="137"/>
        <v>362731.34999999998</v>
      </c>
      <c r="P886" s="601">
        <f t="shared" si="138"/>
        <v>3.5</v>
      </c>
      <c r="Q886" s="600">
        <f t="shared" si="139"/>
        <v>1269559.7249999999</v>
      </c>
    </row>
    <row r="887" spans="1:20" s="598" customFormat="1" ht="13.5" thickBot="1">
      <c r="A887" s="563">
        <f>A886</f>
        <v>3913</v>
      </c>
      <c r="B887" s="564" t="s">
        <v>496</v>
      </c>
      <c r="D887" s="357">
        <f>SUM(D873:D886)</f>
        <v>619668.29000000004</v>
      </c>
      <c r="E887" s="565">
        <f>ROUND(F887/D887,1)</f>
        <v>10.9</v>
      </c>
      <c r="F887" s="357">
        <f>SUM(F873:F886)</f>
        <v>6757329.335</v>
      </c>
      <c r="G887" s="358"/>
      <c r="H887" s="318"/>
      <c r="I887" s="357">
        <f>SUM(I873:I886)</f>
        <v>0</v>
      </c>
      <c r="J887" s="357">
        <f>SUM(J873:J886)</f>
        <v>0</v>
      </c>
      <c r="K887" s="357">
        <f t="shared" si="144" ref="K887:N887">SUM(K873:K886)</f>
        <v>0</v>
      </c>
      <c r="L887" s="357">
        <f t="shared" si="144"/>
        <v>0</v>
      </c>
      <c r="M887" s="357">
        <f t="shared" si="144"/>
        <v>0</v>
      </c>
      <c r="N887" s="357">
        <f t="shared" si="144"/>
        <v>368105.56</v>
      </c>
      <c r="O887" s="357">
        <f>SUM(O873:O886)</f>
        <v>987773.85000000009</v>
      </c>
      <c r="P887" s="565">
        <f>ROUND(Q887/O887,1)</f>
        <v>8.1999999999999993</v>
      </c>
      <c r="Q887" s="357">
        <f>SUM(Q873:Q886)</f>
        <v>8145515.7449999992</v>
      </c>
      <c r="S887" s="604">
        <f>'Sch. G 2021'!H35</f>
        <v>619668</v>
      </c>
      <c r="T887" s="679">
        <f>D887-S887</f>
        <v>0.2900000000372529</v>
      </c>
    </row>
    <row r="888" spans="1:20" s="598" customFormat="1" ht="15.75" thickTop="1">
      <c r="A888" s="566">
        <f>A886</f>
        <v>3913</v>
      </c>
      <c r="B888" s="490" t="str">
        <f>B886&amp;" - Additions"</f>
        <v>Furn &amp; Fix - Additions</v>
      </c>
      <c r="C888" s="490">
        <v>2022</v>
      </c>
      <c r="D888" s="567">
        <f>'Sch. H'!N35</f>
        <v>150000</v>
      </c>
      <c r="E888" s="601">
        <f>Input!$C$14-C888+0.5</f>
        <v>0.5</v>
      </c>
      <c r="F888" s="600">
        <f>D888*E888</f>
        <v>75000</v>
      </c>
      <c r="G888" s="600"/>
      <c r="H888" s="317"/>
      <c r="I888" s="600"/>
      <c r="J888" s="600"/>
      <c r="K888" s="600"/>
      <c r="L888" s="600"/>
      <c r="M888" s="600"/>
      <c r="N888" s="600"/>
      <c r="O888" s="600">
        <f t="shared" si="145" ref="O888:O889">SUM(D888,I888:N888)</f>
        <v>150000</v>
      </c>
      <c r="P888" s="601">
        <f t="shared" si="138"/>
        <v>0.5</v>
      </c>
      <c r="Q888" s="600">
        <f t="shared" si="139"/>
        <v>75000</v>
      </c>
      <c r="T888" s="679"/>
    </row>
    <row r="889" spans="1:20" s="598" customFormat="1" ht="15">
      <c r="A889" s="566">
        <f>A888</f>
        <v>3913</v>
      </c>
      <c r="B889" s="490" t="str">
        <f>B886&amp;" - Retirements"</f>
        <v>Furn &amp; Fix - Retirements</v>
      </c>
      <c r="C889" s="490">
        <v>2022</v>
      </c>
      <c r="D889" s="567">
        <f>-'Sch. F 2022'!AS90</f>
        <v>-379122.45000000001</v>
      </c>
      <c r="E889" s="601">
        <f>'Sch. F 2022'!AS92</f>
        <v>11.699999999999999</v>
      </c>
      <c r="F889" s="600">
        <f>D889*E889</f>
        <v>-4435732.665</v>
      </c>
      <c r="G889" s="600"/>
      <c r="H889" s="317"/>
      <c r="I889" s="600"/>
      <c r="J889" s="600"/>
      <c r="K889" s="600"/>
      <c r="L889" s="600"/>
      <c r="M889" s="600"/>
      <c r="N889" s="600"/>
      <c r="O889" s="600">
        <f t="shared" si="145"/>
        <v>-379122.45000000001</v>
      </c>
      <c r="P889" s="601">
        <f t="shared" si="138"/>
        <v>11.699999999999999</v>
      </c>
      <c r="Q889" s="600">
        <f t="shared" si="139"/>
        <v>-4435732.665</v>
      </c>
      <c r="T889" s="679"/>
    </row>
    <row r="890" spans="1:20" s="598" customFormat="1" ht="13.5" thickBot="1">
      <c r="A890" s="566"/>
      <c r="B890" s="564" t="s">
        <v>557</v>
      </c>
      <c r="C890" s="490"/>
      <c r="D890" s="568">
        <f>SUM(D887:D889)</f>
        <v>390545.84000000003</v>
      </c>
      <c r="E890" s="565">
        <f>ROUND(F890/D890,1)</f>
        <v>6.0999999999999996</v>
      </c>
      <c r="F890" s="569">
        <f>SUM(F887:F889)</f>
        <v>2396596.6699999999</v>
      </c>
      <c r="G890" s="570"/>
      <c r="H890" s="372"/>
      <c r="I890" s="568">
        <f>SUM(I887:I889)</f>
        <v>0</v>
      </c>
      <c r="J890" s="568">
        <f>SUM(J887:J889)</f>
        <v>0</v>
      </c>
      <c r="K890" s="568">
        <f t="shared" si="146" ref="K890:N890">SUM(K887:K889)</f>
        <v>0</v>
      </c>
      <c r="L890" s="568">
        <f t="shared" si="146"/>
        <v>0</v>
      </c>
      <c r="M890" s="568">
        <f t="shared" si="146"/>
        <v>0</v>
      </c>
      <c r="N890" s="568">
        <f t="shared" si="146"/>
        <v>368105.56</v>
      </c>
      <c r="O890" s="568">
        <f>SUM(O887:O889)</f>
        <v>758651.40000000014</v>
      </c>
      <c r="P890" s="565">
        <f>ROUND(Q890/O890,1)</f>
        <v>5</v>
      </c>
      <c r="Q890" s="569">
        <f>SUM(Q887:Q889)</f>
        <v>3784783.0799999991</v>
      </c>
      <c r="S890" s="604">
        <f>'Sch. G 2022'!H35</f>
        <v>758651</v>
      </c>
      <c r="T890" s="679">
        <f>O890-S890</f>
        <v>0.40000000013969839</v>
      </c>
    </row>
    <row r="891" spans="1:20" s="598" customFormat="1" ht="13.5" thickTop="1">
      <c r="A891" s="563"/>
      <c r="B891" s="571"/>
      <c r="D891" s="358"/>
      <c r="E891" s="572"/>
      <c r="F891" s="358"/>
      <c r="G891" s="358"/>
      <c r="H891" s="318"/>
      <c r="I891" s="358"/>
      <c r="J891" s="358"/>
      <c r="K891" s="358"/>
      <c r="L891" s="358"/>
      <c r="M891" s="358"/>
      <c r="N891" s="358"/>
      <c r="O891" s="358"/>
      <c r="P891" s="572"/>
      <c r="Q891" s="358"/>
      <c r="T891" s="679"/>
    </row>
    <row r="892" spans="1:17" s="598" customFormat="1" ht="15" outlineLevel="1">
      <c r="A892" s="597">
        <v>3914</v>
      </c>
      <c r="B892" s="598" t="s">
        <v>542</v>
      </c>
      <c r="C892" s="598">
        <v>2013</v>
      </c>
      <c r="D892" s="599">
        <v>747272.8600000001</v>
      </c>
      <c r="E892" s="601">
        <f>Input!$C$14-C892+0.5</f>
        <v>9.5</v>
      </c>
      <c r="F892" s="600">
        <f t="shared" si="147" ref="F892:F900">D892*E892</f>
        <v>7099092.1700000009</v>
      </c>
      <c r="G892" s="600"/>
      <c r="H892" s="317"/>
      <c r="I892" s="600"/>
      <c r="J892" s="600"/>
      <c r="K892" s="600"/>
      <c r="L892" s="600"/>
      <c r="M892" s="600"/>
      <c r="N892" s="600"/>
      <c r="O892" s="600">
        <f t="shared" si="148" ref="O892:O900">SUM(D892,I892:N892)</f>
        <v>747272.8600000001</v>
      </c>
      <c r="P892" s="601">
        <f t="shared" si="138"/>
        <v>9.5</v>
      </c>
      <c r="Q892" s="600">
        <f t="shared" si="139"/>
        <v>7099092.1700000009</v>
      </c>
    </row>
    <row r="893" spans="1:17" s="598" customFormat="1" ht="15" outlineLevel="1">
      <c r="A893" s="597">
        <v>3914</v>
      </c>
      <c r="B893" s="598" t="s">
        <v>542</v>
      </c>
      <c r="C893" s="598">
        <v>2014</v>
      </c>
      <c r="D893" s="599">
        <v>13327.93</v>
      </c>
      <c r="E893" s="601">
        <f>Input!$C$14-C893+0.5</f>
        <v>8.5</v>
      </c>
      <c r="F893" s="600">
        <f t="shared" si="147"/>
        <v>113287.405</v>
      </c>
      <c r="G893" s="600"/>
      <c r="H893" s="317"/>
      <c r="I893" s="600"/>
      <c r="J893" s="600"/>
      <c r="K893" s="600"/>
      <c r="L893" s="600"/>
      <c r="M893" s="600"/>
      <c r="N893" s="600"/>
      <c r="O893" s="600">
        <f t="shared" si="148"/>
        <v>13327.93</v>
      </c>
      <c r="P893" s="601">
        <f t="shared" si="138"/>
        <v>8.5</v>
      </c>
      <c r="Q893" s="600">
        <f t="shared" si="139"/>
        <v>113287.405</v>
      </c>
    </row>
    <row r="894" spans="1:17" s="598" customFormat="1" ht="15" outlineLevel="1">
      <c r="A894" s="597">
        <v>3914</v>
      </c>
      <c r="B894" s="598" t="s">
        <v>542</v>
      </c>
      <c r="C894" s="598">
        <v>2015</v>
      </c>
      <c r="D894" s="599">
        <v>3717131.4199999995</v>
      </c>
      <c r="E894" s="601">
        <f>Input!$C$14-C894+0.5</f>
        <v>7.5</v>
      </c>
      <c r="F894" s="600">
        <f t="shared" si="147"/>
        <v>27878485.649999995</v>
      </c>
      <c r="G894" s="600"/>
      <c r="H894" s="317"/>
      <c r="I894" s="600"/>
      <c r="J894" s="600"/>
      <c r="K894" s="600"/>
      <c r="L894" s="600"/>
      <c r="M894" s="600"/>
      <c r="N894" s="600"/>
      <c r="O894" s="600">
        <f t="shared" si="148"/>
        <v>3717131.4199999995</v>
      </c>
      <c r="P894" s="601">
        <f t="shared" si="138"/>
        <v>7.5</v>
      </c>
      <c r="Q894" s="600">
        <f t="shared" si="139"/>
        <v>27878485.649999995</v>
      </c>
    </row>
    <row r="895" spans="1:17" s="598" customFormat="1" ht="15" outlineLevel="1">
      <c r="A895" s="597">
        <v>3914</v>
      </c>
      <c r="B895" s="598" t="s">
        <v>542</v>
      </c>
      <c r="C895" s="598">
        <v>2016</v>
      </c>
      <c r="D895" s="599">
        <v>118617.85000000003</v>
      </c>
      <c r="E895" s="601">
        <f>Input!$C$14-C895+0.5</f>
        <v>6.5</v>
      </c>
      <c r="F895" s="600">
        <f t="shared" si="147"/>
        <v>771016.02500000026</v>
      </c>
      <c r="G895" s="600"/>
      <c r="H895" s="317"/>
      <c r="I895" s="600"/>
      <c r="J895" s="600"/>
      <c r="K895" s="600"/>
      <c r="L895" s="600"/>
      <c r="M895" s="600"/>
      <c r="N895" s="600"/>
      <c r="O895" s="600">
        <f t="shared" si="148"/>
        <v>118617.85000000003</v>
      </c>
      <c r="P895" s="601">
        <f t="shared" si="138"/>
        <v>6.5</v>
      </c>
      <c r="Q895" s="600">
        <f t="shared" si="139"/>
        <v>771016.02500000026</v>
      </c>
    </row>
    <row r="896" spans="1:17" s="598" customFormat="1" ht="15" outlineLevel="1">
      <c r="A896" s="597">
        <v>3914</v>
      </c>
      <c r="B896" s="598" t="s">
        <v>542</v>
      </c>
      <c r="C896" s="598">
        <v>2017</v>
      </c>
      <c r="D896" s="599">
        <v>1052853.3999999999</v>
      </c>
      <c r="E896" s="601">
        <f>Input!$C$14-C896+0.5</f>
        <v>5.5</v>
      </c>
      <c r="F896" s="600">
        <f t="shared" si="147"/>
        <v>5790693.6999999993</v>
      </c>
      <c r="G896" s="600"/>
      <c r="H896" s="317"/>
      <c r="I896" s="600"/>
      <c r="J896" s="600"/>
      <c r="K896" s="600"/>
      <c r="L896" s="600"/>
      <c r="M896" s="600"/>
      <c r="N896" s="600"/>
      <c r="O896" s="600">
        <f t="shared" si="148"/>
        <v>1052853.3999999999</v>
      </c>
      <c r="P896" s="601">
        <f t="shared" si="138"/>
        <v>5.5</v>
      </c>
      <c r="Q896" s="600">
        <f t="shared" si="139"/>
        <v>5790693.6999999993</v>
      </c>
    </row>
    <row r="897" spans="1:17" s="598" customFormat="1" ht="15" outlineLevel="1">
      <c r="A897" s="597">
        <v>3914</v>
      </c>
      <c r="B897" s="598" t="s">
        <v>542</v>
      </c>
      <c r="C897" s="598">
        <v>2018</v>
      </c>
      <c r="D897" s="599">
        <v>210911.34999999998</v>
      </c>
      <c r="E897" s="601">
        <f>Input!$C$14-C897+0.5</f>
        <v>4.5</v>
      </c>
      <c r="F897" s="600">
        <f t="shared" si="147"/>
        <v>949101.07499999995</v>
      </c>
      <c r="G897" s="600"/>
      <c r="H897" s="317"/>
      <c r="I897" s="600"/>
      <c r="J897" s="600"/>
      <c r="K897" s="600"/>
      <c r="L897" s="600"/>
      <c r="M897" s="600"/>
      <c r="N897" s="600"/>
      <c r="O897" s="600">
        <f t="shared" si="148"/>
        <v>210911.34999999998</v>
      </c>
      <c r="P897" s="601">
        <f t="shared" si="138"/>
        <v>4.5</v>
      </c>
      <c r="Q897" s="600">
        <f t="shared" si="139"/>
        <v>949101.07499999995</v>
      </c>
    </row>
    <row r="898" spans="1:17" s="598" customFormat="1" ht="15" outlineLevel="1">
      <c r="A898" s="597">
        <v>3914</v>
      </c>
      <c r="B898" s="598" t="s">
        <v>542</v>
      </c>
      <c r="C898" s="598">
        <v>2019</v>
      </c>
      <c r="D898" s="599">
        <v>99217.649999999994</v>
      </c>
      <c r="E898" s="601">
        <f>Input!$C$14-C898+0.5</f>
        <v>3.5</v>
      </c>
      <c r="F898" s="600">
        <f t="shared" si="147"/>
        <v>347261.77499999997</v>
      </c>
      <c r="G898" s="600"/>
      <c r="H898" s="317"/>
      <c r="I898" s="600"/>
      <c r="J898" s="600"/>
      <c r="K898" s="600"/>
      <c r="L898" s="600"/>
      <c r="M898" s="600"/>
      <c r="N898" s="600"/>
      <c r="O898" s="600">
        <f t="shared" si="148"/>
        <v>99217.649999999994</v>
      </c>
      <c r="P898" s="601">
        <f t="shared" si="138"/>
        <v>3.5</v>
      </c>
      <c r="Q898" s="600">
        <f t="shared" si="139"/>
        <v>347261.77499999997</v>
      </c>
    </row>
    <row r="899" spans="1:17" s="598" customFormat="1" ht="15" outlineLevel="1">
      <c r="A899" s="597">
        <v>3914</v>
      </c>
      <c r="B899" s="598" t="s">
        <v>542</v>
      </c>
      <c r="C899" s="598">
        <v>2020</v>
      </c>
      <c r="D899" s="599">
        <v>1223562.0499999998</v>
      </c>
      <c r="E899" s="601">
        <f>Input!$C$14-C899+0.5</f>
        <v>2.5</v>
      </c>
      <c r="F899" s="600">
        <f t="shared" si="147"/>
        <v>3058905.1249999995</v>
      </c>
      <c r="G899" s="600"/>
      <c r="H899" s="317"/>
      <c r="I899" s="600"/>
      <c r="J899" s="600"/>
      <c r="K899" s="600"/>
      <c r="L899" s="600"/>
      <c r="M899" s="600"/>
      <c r="N899" s="600"/>
      <c r="O899" s="600">
        <f t="shared" si="148"/>
        <v>1223562.0499999998</v>
      </c>
      <c r="P899" s="601">
        <f t="shared" si="138"/>
        <v>2.5</v>
      </c>
      <c r="Q899" s="600">
        <f t="shared" si="139"/>
        <v>3058905.1249999995</v>
      </c>
    </row>
    <row r="900" spans="1:17" s="598" customFormat="1" ht="15" outlineLevel="1">
      <c r="A900" s="597">
        <v>3914</v>
      </c>
      <c r="B900" s="598" t="s">
        <v>542</v>
      </c>
      <c r="C900" s="598">
        <v>2021</v>
      </c>
      <c r="D900" s="599">
        <v>14554.6</v>
      </c>
      <c r="E900" s="601">
        <f>Input!$C$14-C900+0.5</f>
        <v>1.5</v>
      </c>
      <c r="F900" s="600">
        <f t="shared" si="147"/>
        <v>21831.900000000001</v>
      </c>
      <c r="G900" s="600"/>
      <c r="H900" s="317"/>
      <c r="I900" s="600"/>
      <c r="J900" s="600"/>
      <c r="K900" s="600"/>
      <c r="L900" s="600"/>
      <c r="M900" s="600"/>
      <c r="N900" s="600"/>
      <c r="O900" s="600">
        <f t="shared" si="148"/>
        <v>14554.6</v>
      </c>
      <c r="P900" s="601">
        <f t="shared" si="138"/>
        <v>1.5</v>
      </c>
      <c r="Q900" s="600">
        <f t="shared" si="139"/>
        <v>21831.900000000001</v>
      </c>
    </row>
    <row r="901" spans="1:20" s="598" customFormat="1" ht="13.5" thickBot="1">
      <c r="A901" s="563">
        <f>A900</f>
        <v>3914</v>
      </c>
      <c r="B901" s="564" t="s">
        <v>496</v>
      </c>
      <c r="D901" s="357">
        <f>SUM(D892:D900)</f>
        <v>7197449.1099999985</v>
      </c>
      <c r="E901" s="565">
        <f>ROUND(F901/D901,1)</f>
        <v>6.4000000000000004</v>
      </c>
      <c r="F901" s="357">
        <f>SUM(F892:F900)</f>
        <v>46029674.824999988</v>
      </c>
      <c r="G901" s="358"/>
      <c r="H901" s="318"/>
      <c r="I901" s="357">
        <f>SUM(I892:I900)</f>
        <v>0</v>
      </c>
      <c r="J901" s="357">
        <f>SUM(J892:J900)</f>
        <v>0</v>
      </c>
      <c r="K901" s="357">
        <f t="shared" si="149" ref="K901:N901">SUM(K892:K900)</f>
        <v>0</v>
      </c>
      <c r="L901" s="357">
        <f t="shared" si="149"/>
        <v>0</v>
      </c>
      <c r="M901" s="357">
        <f t="shared" si="149"/>
        <v>0</v>
      </c>
      <c r="N901" s="357">
        <f t="shared" si="149"/>
        <v>0</v>
      </c>
      <c r="O901" s="357">
        <f>SUM(O892:O900)</f>
        <v>7197449.1099999985</v>
      </c>
      <c r="P901" s="565">
        <f>ROUND(Q901/O901,1)</f>
        <v>6.4000000000000004</v>
      </c>
      <c r="Q901" s="357">
        <f>SUM(Q892:Q900)</f>
        <v>46029674.824999988</v>
      </c>
      <c r="S901" s="604">
        <f>'Sch. G 2021'!H36</f>
        <v>7197450</v>
      </c>
      <c r="T901" s="679">
        <f>D901-S901</f>
        <v>-0.89000000152736902</v>
      </c>
    </row>
    <row r="902" spans="1:20" s="598" customFormat="1" ht="15.75" thickTop="1">
      <c r="A902" s="566">
        <f>A900</f>
        <v>3914</v>
      </c>
      <c r="B902" s="490" t="str">
        <f>B900&amp;" - Additions"</f>
        <v>Sys Sftwr - Additions</v>
      </c>
      <c r="C902" s="490">
        <v>2022</v>
      </c>
      <c r="D902" s="567">
        <f>'Sch. H'!N36</f>
        <v>86500</v>
      </c>
      <c r="E902" s="601">
        <f>Input!$C$14-C902+0.5</f>
        <v>0.5</v>
      </c>
      <c r="F902" s="600">
        <f>D902*E902</f>
        <v>43250</v>
      </c>
      <c r="G902" s="600"/>
      <c r="H902" s="317"/>
      <c r="I902" s="600"/>
      <c r="J902" s="600"/>
      <c r="K902" s="600"/>
      <c r="L902" s="600"/>
      <c r="M902" s="600"/>
      <c r="N902" s="600"/>
      <c r="O902" s="600">
        <f t="shared" si="150" ref="O902:O903">SUM(D902,I902:N902)</f>
        <v>86500</v>
      </c>
      <c r="P902" s="601">
        <f t="shared" si="138"/>
        <v>0.5</v>
      </c>
      <c r="Q902" s="600">
        <f t="shared" si="139"/>
        <v>43250</v>
      </c>
      <c r="T902" s="679"/>
    </row>
    <row r="903" spans="1:20" s="598" customFormat="1" ht="15">
      <c r="A903" s="566">
        <f>A902</f>
        <v>3914</v>
      </c>
      <c r="B903" s="490" t="str">
        <f>B900&amp;" - Retirements"</f>
        <v>Sys Sftwr - Retirements</v>
      </c>
      <c r="C903" s="490">
        <v>2022</v>
      </c>
      <c r="D903" s="567">
        <f>-'Sch. F 2022'!AU90</f>
        <v>0</v>
      </c>
      <c r="E903" s="601">
        <f>'Sch. F 2022'!AU92</f>
        <v>0</v>
      </c>
      <c r="F903" s="600">
        <f>D903*E903</f>
        <v>0</v>
      </c>
      <c r="G903" s="600"/>
      <c r="H903" s="317"/>
      <c r="I903" s="600"/>
      <c r="J903" s="600"/>
      <c r="K903" s="600"/>
      <c r="L903" s="600"/>
      <c r="M903" s="600"/>
      <c r="N903" s="600"/>
      <c r="O903" s="600">
        <f t="shared" si="150"/>
        <v>0</v>
      </c>
      <c r="P903" s="601">
        <f t="shared" si="138"/>
        <v>0</v>
      </c>
      <c r="Q903" s="600">
        <f t="shared" si="139"/>
        <v>0</v>
      </c>
      <c r="T903" s="679"/>
    </row>
    <row r="904" spans="1:20" s="598" customFormat="1" ht="13.5" thickBot="1">
      <c r="A904" s="566"/>
      <c r="B904" s="564" t="s">
        <v>557</v>
      </c>
      <c r="C904" s="490"/>
      <c r="D904" s="568">
        <f>SUM(D901:D903)</f>
        <v>7283949.1099999985</v>
      </c>
      <c r="E904" s="565">
        <f>ROUND(F904/D904,1)</f>
        <v>6.2999999999999998</v>
      </c>
      <c r="F904" s="569">
        <f>SUM(F901:F903)</f>
        <v>46072924.824999988</v>
      </c>
      <c r="G904" s="570"/>
      <c r="H904" s="372"/>
      <c r="I904" s="568">
        <f>SUM(I901:I903)</f>
        <v>0</v>
      </c>
      <c r="J904" s="568">
        <f>SUM(J901:J903)</f>
        <v>0</v>
      </c>
      <c r="K904" s="568">
        <f t="shared" si="151" ref="K904:N904">SUM(K901:K903)</f>
        <v>0</v>
      </c>
      <c r="L904" s="568">
        <f t="shared" si="151"/>
        <v>0</v>
      </c>
      <c r="M904" s="568">
        <f t="shared" si="151"/>
        <v>0</v>
      </c>
      <c r="N904" s="568">
        <f t="shared" si="151"/>
        <v>0</v>
      </c>
      <c r="O904" s="568">
        <f>SUM(O901:O903)</f>
        <v>7283949.1099999985</v>
      </c>
      <c r="P904" s="565">
        <f>ROUND(Q904/O904,1)</f>
        <v>6.2999999999999998</v>
      </c>
      <c r="Q904" s="569">
        <f>SUM(Q901:Q903)</f>
        <v>46072924.824999988</v>
      </c>
      <c r="S904" s="604">
        <f>'Sch. G 2022'!H36</f>
        <v>7283950</v>
      </c>
      <c r="T904" s="679">
        <f>O904-S904</f>
        <v>-0.89000000152736902</v>
      </c>
    </row>
    <row r="905" spans="1:20" s="598" customFormat="1" ht="13.5" thickTop="1">
      <c r="A905" s="563"/>
      <c r="B905" s="571"/>
      <c r="D905" s="358"/>
      <c r="E905" s="572"/>
      <c r="F905" s="358"/>
      <c r="G905" s="358"/>
      <c r="H905" s="318"/>
      <c r="I905" s="358"/>
      <c r="J905" s="358"/>
      <c r="K905" s="358"/>
      <c r="L905" s="358"/>
      <c r="M905" s="358"/>
      <c r="N905" s="358"/>
      <c r="O905" s="358"/>
      <c r="P905" s="572"/>
      <c r="Q905" s="358"/>
      <c r="T905" s="679"/>
    </row>
    <row r="906" spans="1:17" s="598" customFormat="1" ht="15" outlineLevel="1">
      <c r="A906" s="597">
        <v>3930</v>
      </c>
      <c r="B906" s="598" t="s">
        <v>543</v>
      </c>
      <c r="C906" s="598">
        <v>1996</v>
      </c>
      <c r="D906" s="599">
        <v>524.38999999999999</v>
      </c>
      <c r="E906" s="601">
        <f>Input!$C$14-C906+0.5</f>
        <v>26.5</v>
      </c>
      <c r="F906" s="600">
        <f t="shared" si="152" ref="F906:F914">D906*E906</f>
        <v>13896.334999999999</v>
      </c>
      <c r="G906" s="600"/>
      <c r="H906" s="317"/>
      <c r="I906" s="600"/>
      <c r="J906" s="600"/>
      <c r="K906" s="600"/>
      <c r="L906" s="600"/>
      <c r="M906" s="600"/>
      <c r="N906" s="600"/>
      <c r="O906" s="600">
        <f t="shared" si="153" ref="O906:O914">SUM(D906,I906:N906)</f>
        <v>524.38999999999999</v>
      </c>
      <c r="P906" s="601">
        <f t="shared" si="138"/>
        <v>26.5</v>
      </c>
      <c r="Q906" s="600">
        <f t="shared" si="139"/>
        <v>13896.334999999999</v>
      </c>
    </row>
    <row r="907" spans="1:17" s="598" customFormat="1" ht="15" outlineLevel="1">
      <c r="A907" s="597">
        <v>3930</v>
      </c>
      <c r="B907" s="598" t="s">
        <v>543</v>
      </c>
      <c r="C907" s="598">
        <v>2000</v>
      </c>
      <c r="D907" s="599">
        <v>1921.0799999999999</v>
      </c>
      <c r="E907" s="601">
        <f>Input!$C$14-C907+0.5</f>
        <v>22.5</v>
      </c>
      <c r="F907" s="600">
        <f t="shared" si="152"/>
        <v>43224.299999999996</v>
      </c>
      <c r="G907" s="600"/>
      <c r="H907" s="317"/>
      <c r="I907" s="600"/>
      <c r="J907" s="600"/>
      <c r="K907" s="600"/>
      <c r="L907" s="600"/>
      <c r="M907" s="600"/>
      <c r="N907" s="600"/>
      <c r="O907" s="600">
        <f t="shared" si="153"/>
        <v>1921.0799999999999</v>
      </c>
      <c r="P907" s="601">
        <f t="shared" si="138"/>
        <v>22.5</v>
      </c>
      <c r="Q907" s="600">
        <f t="shared" si="139"/>
        <v>43224.299999999996</v>
      </c>
    </row>
    <row r="908" spans="1:17" s="598" customFormat="1" ht="15" outlineLevel="1">
      <c r="A908" s="597">
        <v>3930</v>
      </c>
      <c r="B908" s="598" t="s">
        <v>543</v>
      </c>
      <c r="C908" s="598">
        <v>2008</v>
      </c>
      <c r="D908" s="599">
        <v>1861.49</v>
      </c>
      <c r="E908" s="601">
        <f>Input!$C$14-C908+0.5</f>
        <v>14.5</v>
      </c>
      <c r="F908" s="600">
        <f t="shared" si="152"/>
        <v>26991.605</v>
      </c>
      <c r="G908" s="600"/>
      <c r="H908" s="317"/>
      <c r="I908" s="600"/>
      <c r="J908" s="600"/>
      <c r="K908" s="600"/>
      <c r="L908" s="600"/>
      <c r="M908" s="600"/>
      <c r="N908" s="600"/>
      <c r="O908" s="600">
        <f t="shared" si="153"/>
        <v>1861.49</v>
      </c>
      <c r="P908" s="601">
        <f t="shared" si="138"/>
        <v>14.5</v>
      </c>
      <c r="Q908" s="600">
        <f t="shared" si="139"/>
        <v>26991.605</v>
      </c>
    </row>
    <row r="909" spans="1:17" s="598" customFormat="1" ht="15" outlineLevel="1">
      <c r="A909" s="597">
        <v>3930</v>
      </c>
      <c r="B909" s="598" t="s">
        <v>543</v>
      </c>
      <c r="C909" s="598">
        <v>2012</v>
      </c>
      <c r="D909" s="599">
        <v>5361.21</v>
      </c>
      <c r="E909" s="601">
        <f>Input!$C$14-C909+0.5</f>
        <v>10.5</v>
      </c>
      <c r="F909" s="600">
        <f t="shared" si="152"/>
        <v>56292.705000000002</v>
      </c>
      <c r="G909" s="600"/>
      <c r="H909" s="317"/>
      <c r="I909" s="600"/>
      <c r="J909" s="600"/>
      <c r="K909" s="600"/>
      <c r="L909" s="600"/>
      <c r="M909" s="600"/>
      <c r="N909" s="600"/>
      <c r="O909" s="600">
        <f t="shared" si="153"/>
        <v>5361.21</v>
      </c>
      <c r="P909" s="601">
        <f t="shared" si="138"/>
        <v>10.5</v>
      </c>
      <c r="Q909" s="600">
        <f t="shared" si="139"/>
        <v>56292.705000000002</v>
      </c>
    </row>
    <row r="910" spans="1:17" s="598" customFormat="1" ht="15" outlineLevel="1">
      <c r="A910" s="597">
        <v>3930</v>
      </c>
      <c r="B910" s="598" t="s">
        <v>543</v>
      </c>
      <c r="C910" s="598">
        <v>2015</v>
      </c>
      <c r="D910" s="599">
        <v>4123.1100000000006</v>
      </c>
      <c r="E910" s="601">
        <f>Input!$C$14-C910+0.5</f>
        <v>7.5</v>
      </c>
      <c r="F910" s="600">
        <f t="shared" si="152"/>
        <v>30923.325000000004</v>
      </c>
      <c r="G910" s="600"/>
      <c r="H910" s="317"/>
      <c r="I910" s="600"/>
      <c r="J910" s="600"/>
      <c r="K910" s="600"/>
      <c r="L910" s="600"/>
      <c r="M910" s="600"/>
      <c r="N910" s="600"/>
      <c r="O910" s="600">
        <f t="shared" si="153"/>
        <v>4123.1100000000006</v>
      </c>
      <c r="P910" s="601">
        <f t="shared" si="138"/>
        <v>7.5</v>
      </c>
      <c r="Q910" s="600">
        <f t="shared" si="139"/>
        <v>30923.325000000004</v>
      </c>
    </row>
    <row r="911" spans="1:17" s="598" customFormat="1" ht="15" outlineLevel="1">
      <c r="A911" s="597">
        <v>3930</v>
      </c>
      <c r="B911" s="598" t="s">
        <v>543</v>
      </c>
      <c r="C911" s="598">
        <v>2016</v>
      </c>
      <c r="D911" s="599">
        <v>880.58000000000004</v>
      </c>
      <c r="E911" s="601">
        <f>Input!$C$14-C911+0.5</f>
        <v>6.5</v>
      </c>
      <c r="F911" s="600">
        <f t="shared" si="152"/>
        <v>5723.7700000000004</v>
      </c>
      <c r="G911" s="600"/>
      <c r="H911" s="317"/>
      <c r="I911" s="600"/>
      <c r="J911" s="600"/>
      <c r="K911" s="600"/>
      <c r="L911" s="600"/>
      <c r="M911" s="600"/>
      <c r="N911" s="600"/>
      <c r="O911" s="600">
        <f t="shared" si="153"/>
        <v>880.58000000000004</v>
      </c>
      <c r="P911" s="601">
        <f t="shared" si="138"/>
        <v>6.5</v>
      </c>
      <c r="Q911" s="600">
        <f t="shared" si="139"/>
        <v>5723.7700000000004</v>
      </c>
    </row>
    <row r="912" spans="1:17" s="598" customFormat="1" ht="15" outlineLevel="1">
      <c r="A912" s="597">
        <v>3930</v>
      </c>
      <c r="B912" s="598" t="s">
        <v>543</v>
      </c>
      <c r="C912" s="598">
        <v>2017</v>
      </c>
      <c r="D912" s="599">
        <v>10909.52</v>
      </c>
      <c r="E912" s="601">
        <f>Input!$C$14-C912+0.5</f>
        <v>5.5</v>
      </c>
      <c r="F912" s="600">
        <f t="shared" si="152"/>
        <v>60002.360000000001</v>
      </c>
      <c r="G912" s="600"/>
      <c r="H912" s="317"/>
      <c r="I912" s="600"/>
      <c r="J912" s="600"/>
      <c r="K912" s="600"/>
      <c r="L912" s="600"/>
      <c r="M912" s="600"/>
      <c r="N912" s="600"/>
      <c r="O912" s="600">
        <f t="shared" si="153"/>
        <v>10909.52</v>
      </c>
      <c r="P912" s="601">
        <f t="shared" si="138"/>
        <v>5.5</v>
      </c>
      <c r="Q912" s="600">
        <f t="shared" si="139"/>
        <v>60002.360000000001</v>
      </c>
    </row>
    <row r="913" spans="1:17" s="598" customFormat="1" ht="15" outlineLevel="1">
      <c r="A913" s="597">
        <v>3930</v>
      </c>
      <c r="B913" s="598" t="s">
        <v>543</v>
      </c>
      <c r="C913" s="598">
        <v>2019</v>
      </c>
      <c r="D913" s="599">
        <v>2928.75</v>
      </c>
      <c r="E913" s="601">
        <f>Input!$C$14-C913+0.5</f>
        <v>3.5</v>
      </c>
      <c r="F913" s="600">
        <f t="shared" si="152"/>
        <v>10250.625</v>
      </c>
      <c r="G913" s="600"/>
      <c r="H913" s="317"/>
      <c r="I913" s="600"/>
      <c r="J913" s="600"/>
      <c r="K913" s="600"/>
      <c r="L913" s="600"/>
      <c r="M913" s="600"/>
      <c r="N913" s="600"/>
      <c r="O913" s="600">
        <f t="shared" si="153"/>
        <v>2928.75</v>
      </c>
      <c r="P913" s="601">
        <f t="shared" si="138"/>
        <v>3.5</v>
      </c>
      <c r="Q913" s="600">
        <f t="shared" si="139"/>
        <v>10250.625</v>
      </c>
    </row>
    <row r="914" spans="1:17" s="598" customFormat="1" ht="15" outlineLevel="1">
      <c r="A914" s="597">
        <v>3930</v>
      </c>
      <c r="B914" s="598" t="s">
        <v>543</v>
      </c>
      <c r="C914" s="598">
        <v>2021</v>
      </c>
      <c r="D914" s="599">
        <v>1472.3199999999999</v>
      </c>
      <c r="E914" s="601">
        <f>Input!$C$14-C914+0.5</f>
        <v>1.5</v>
      </c>
      <c r="F914" s="600">
        <f t="shared" si="152"/>
        <v>2208.48</v>
      </c>
      <c r="G914" s="600"/>
      <c r="H914" s="317"/>
      <c r="I914" s="600"/>
      <c r="J914" s="600"/>
      <c r="K914" s="600"/>
      <c r="L914" s="600"/>
      <c r="M914" s="600"/>
      <c r="N914" s="600"/>
      <c r="O914" s="600">
        <f t="shared" si="153"/>
        <v>1472.3199999999999</v>
      </c>
      <c r="P914" s="601">
        <f t="shared" si="138"/>
        <v>1.5</v>
      </c>
      <c r="Q914" s="600">
        <f t="shared" si="139"/>
        <v>2208.48</v>
      </c>
    </row>
    <row r="915" spans="1:20" s="598" customFormat="1" ht="13.5" thickBot="1">
      <c r="A915" s="563">
        <f>A914</f>
        <v>3930</v>
      </c>
      <c r="B915" s="564" t="s">
        <v>496</v>
      </c>
      <c r="D915" s="357">
        <f>SUM(D906:D914)</f>
        <v>29982.450000000001</v>
      </c>
      <c r="E915" s="565">
        <f>ROUND(F915/D915,1)</f>
        <v>8.3000000000000007</v>
      </c>
      <c r="F915" s="357">
        <f>SUM(F906:F914)</f>
        <v>249513.50500000003</v>
      </c>
      <c r="G915" s="358"/>
      <c r="H915" s="318"/>
      <c r="I915" s="357">
        <f>SUM(I906:I914)</f>
        <v>0</v>
      </c>
      <c r="J915" s="357">
        <f>SUM(J906:J914)</f>
        <v>0</v>
      </c>
      <c r="K915" s="357">
        <f t="shared" si="154" ref="K915:N915">SUM(K906:K914)</f>
        <v>0</v>
      </c>
      <c r="L915" s="357">
        <f t="shared" si="154"/>
        <v>0</v>
      </c>
      <c r="M915" s="357">
        <f t="shared" si="154"/>
        <v>0</v>
      </c>
      <c r="N915" s="357">
        <f t="shared" si="154"/>
        <v>0</v>
      </c>
      <c r="O915" s="357">
        <f>SUM(O906:O914)</f>
        <v>29982.450000000001</v>
      </c>
      <c r="P915" s="565">
        <f>ROUND(Q915/O915,1)</f>
        <v>8.3000000000000007</v>
      </c>
      <c r="Q915" s="357">
        <f>SUM(Q906:Q914)</f>
        <v>249513.50500000003</v>
      </c>
      <c r="S915" s="604">
        <f>'Sch. G 2021'!H41</f>
        <v>29982</v>
      </c>
      <c r="T915" s="679">
        <f>D915-S915</f>
        <v>0.4500000000007276</v>
      </c>
    </row>
    <row r="916" spans="1:20" s="598" customFormat="1" ht="15.75" thickTop="1">
      <c r="A916" s="566">
        <f>A914</f>
        <v>3930</v>
      </c>
      <c r="B916" s="490" t="str">
        <f>B914&amp;" - Additions"</f>
        <v>Stores Equip - Additions</v>
      </c>
      <c r="C916" s="490">
        <v>2022</v>
      </c>
      <c r="D916" s="567">
        <f>'Sch. H'!N41</f>
        <v>0</v>
      </c>
      <c r="E916" s="601">
        <f>Input!$C$14-C916+0.5</f>
        <v>0.5</v>
      </c>
      <c r="F916" s="600">
        <f>D916*E916</f>
        <v>0</v>
      </c>
      <c r="G916" s="600"/>
      <c r="H916" s="317"/>
      <c r="I916" s="600"/>
      <c r="J916" s="600"/>
      <c r="K916" s="600"/>
      <c r="L916" s="600"/>
      <c r="M916" s="600"/>
      <c r="N916" s="600"/>
      <c r="O916" s="600">
        <f t="shared" si="155" ref="O916:O917">SUM(D916,I916:N916)</f>
        <v>0</v>
      </c>
      <c r="P916" s="601">
        <f t="shared" si="138"/>
        <v>0.5</v>
      </c>
      <c r="Q916" s="600">
        <f t="shared" si="139"/>
        <v>0</v>
      </c>
      <c r="T916" s="679"/>
    </row>
    <row r="917" spans="1:20" s="598" customFormat="1" ht="15">
      <c r="A917" s="566">
        <f>A916</f>
        <v>3930</v>
      </c>
      <c r="B917" s="490" t="str">
        <f>B914&amp;" - Retirements"</f>
        <v>Stores Equip - Retirements</v>
      </c>
      <c r="C917" s="490">
        <v>2022</v>
      </c>
      <c r="D917" s="567">
        <f>-'Sch. F 2022'!BE90</f>
        <v>-524.38999999999999</v>
      </c>
      <c r="E917" s="601">
        <f>'Sch. F 2022'!BE92</f>
        <v>26.5</v>
      </c>
      <c r="F917" s="600">
        <f>D917*E917</f>
        <v>-13896.334999999999</v>
      </c>
      <c r="G917" s="600"/>
      <c r="H917" s="317"/>
      <c r="I917" s="600"/>
      <c r="J917" s="600"/>
      <c r="K917" s="600"/>
      <c r="L917" s="600"/>
      <c r="M917" s="600"/>
      <c r="N917" s="600"/>
      <c r="O917" s="600">
        <f t="shared" si="155"/>
        <v>-524.38999999999999</v>
      </c>
      <c r="P917" s="601">
        <f t="shared" si="138"/>
        <v>26.5</v>
      </c>
      <c r="Q917" s="600">
        <f t="shared" si="139"/>
        <v>-13896.334999999999</v>
      </c>
      <c r="T917" s="679"/>
    </row>
    <row r="918" spans="1:20" s="598" customFormat="1" ht="13.5" thickBot="1">
      <c r="A918" s="566"/>
      <c r="B918" s="564" t="s">
        <v>557</v>
      </c>
      <c r="C918" s="490"/>
      <c r="D918" s="568">
        <f>SUM(D915:D917)</f>
        <v>29458.060000000001</v>
      </c>
      <c r="E918" s="565">
        <f>ROUND(F918/D918,1)</f>
        <v>8</v>
      </c>
      <c r="F918" s="569">
        <f>SUM(F915:F917)</f>
        <v>235617.17000000004</v>
      </c>
      <c r="G918" s="570"/>
      <c r="H918" s="372"/>
      <c r="I918" s="568">
        <f>SUM(I915:I917)</f>
        <v>0</v>
      </c>
      <c r="J918" s="568">
        <f>SUM(J915:J917)</f>
        <v>0</v>
      </c>
      <c r="K918" s="568">
        <f t="shared" si="156" ref="K918:N918">SUM(K915:K917)</f>
        <v>0</v>
      </c>
      <c r="L918" s="568">
        <f t="shared" si="156"/>
        <v>0</v>
      </c>
      <c r="M918" s="568">
        <f t="shared" si="156"/>
        <v>0</v>
      </c>
      <c r="N918" s="568">
        <f t="shared" si="156"/>
        <v>0</v>
      </c>
      <c r="O918" s="568">
        <f>SUM(O915:O917)</f>
        <v>29458.060000000001</v>
      </c>
      <c r="P918" s="565">
        <f>ROUND(Q918/O918,1)</f>
        <v>8</v>
      </c>
      <c r="Q918" s="569">
        <f>SUM(Q915:Q917)</f>
        <v>235617.17000000004</v>
      </c>
      <c r="S918" s="604">
        <f>'Sch. G 2022'!H41</f>
        <v>29458</v>
      </c>
      <c r="T918" s="679">
        <f>O918-S918</f>
        <v>0.060000000001309672</v>
      </c>
    </row>
    <row r="919" spans="1:20" s="598" customFormat="1" ht="13.5" thickTop="1">
      <c r="A919" s="563"/>
      <c r="B919" s="571"/>
      <c r="D919" s="358"/>
      <c r="E919" s="572"/>
      <c r="F919" s="358"/>
      <c r="G919" s="358"/>
      <c r="H919" s="318"/>
      <c r="I919" s="358"/>
      <c r="J919" s="358"/>
      <c r="K919" s="358"/>
      <c r="L919" s="358"/>
      <c r="M919" s="358"/>
      <c r="N919" s="358"/>
      <c r="O919" s="358"/>
      <c r="P919" s="572"/>
      <c r="Q919" s="358"/>
      <c r="T919" s="679"/>
    </row>
    <row r="920" spans="1:17" s="598" customFormat="1" ht="15" outlineLevel="1">
      <c r="A920" s="597">
        <v>3940</v>
      </c>
      <c r="B920" s="598" t="s">
        <v>544</v>
      </c>
      <c r="C920" s="598" t="s">
        <v>485</v>
      </c>
      <c r="D920" s="599">
        <v>29475.090000000004</v>
      </c>
      <c r="E920" s="601">
        <f>Input!$C$14-C920+0.5</f>
        <v>15.5</v>
      </c>
      <c r="F920" s="600">
        <f t="shared" si="157" ref="F920:F934">D920*E920</f>
        <v>456863.89500000008</v>
      </c>
      <c r="G920" s="600"/>
      <c r="H920" s="317"/>
      <c r="I920" s="600"/>
      <c r="J920" s="600"/>
      <c r="K920" s="600"/>
      <c r="L920" s="600"/>
      <c r="M920" s="600"/>
      <c r="N920" s="600"/>
      <c r="O920" s="600">
        <f t="shared" si="158" ref="O920:O934">SUM(D920,I920:N920)</f>
        <v>29475.090000000004</v>
      </c>
      <c r="P920" s="601">
        <f t="shared" si="138"/>
        <v>15.5</v>
      </c>
      <c r="Q920" s="600">
        <f t="shared" si="139"/>
        <v>456863.89500000008</v>
      </c>
    </row>
    <row r="921" spans="1:17" s="598" customFormat="1" ht="15" outlineLevel="1">
      <c r="A921" s="597">
        <v>3940</v>
      </c>
      <c r="B921" s="598" t="s">
        <v>544</v>
      </c>
      <c r="C921" s="598" t="s">
        <v>514</v>
      </c>
      <c r="D921" s="599">
        <v>13584.250000000002</v>
      </c>
      <c r="E921" s="601">
        <f>Input!$C$14-C921+0.5</f>
        <v>14.5</v>
      </c>
      <c r="F921" s="600">
        <f t="shared" si="157"/>
        <v>196971.62500000003</v>
      </c>
      <c r="G921" s="600"/>
      <c r="H921" s="317"/>
      <c r="I921" s="600"/>
      <c r="J921" s="600"/>
      <c r="K921" s="600"/>
      <c r="L921" s="600"/>
      <c r="M921" s="600"/>
      <c r="N921" s="600"/>
      <c r="O921" s="600">
        <f t="shared" si="158"/>
        <v>13584.250000000002</v>
      </c>
      <c r="P921" s="601">
        <f t="shared" si="138"/>
        <v>14.5</v>
      </c>
      <c r="Q921" s="600">
        <f t="shared" si="139"/>
        <v>196971.62500000003</v>
      </c>
    </row>
    <row r="922" spans="1:17" s="598" customFormat="1" ht="15" outlineLevel="1">
      <c r="A922" s="597">
        <v>3940</v>
      </c>
      <c r="B922" s="598" t="s">
        <v>544</v>
      </c>
      <c r="C922" s="598" t="s">
        <v>515</v>
      </c>
      <c r="D922" s="599">
        <f>14662.57+13438</f>
        <v>28100.57</v>
      </c>
      <c r="E922" s="601">
        <f>Input!$C$14-C922+0.5</f>
        <v>13.5</v>
      </c>
      <c r="F922" s="600">
        <f t="shared" si="157"/>
        <v>379357.69500000001</v>
      </c>
      <c r="G922" s="600"/>
      <c r="H922" s="317"/>
      <c r="I922" s="600"/>
      <c r="J922" s="600"/>
      <c r="K922" s="600"/>
      <c r="L922" s="600"/>
      <c r="M922" s="600"/>
      <c r="N922" s="600"/>
      <c r="O922" s="600">
        <f t="shared" si="158"/>
        <v>28100.57</v>
      </c>
      <c r="P922" s="601">
        <f t="shared" si="138"/>
        <v>13.5</v>
      </c>
      <c r="Q922" s="600">
        <f t="shared" si="139"/>
        <v>379357.69500000001</v>
      </c>
    </row>
    <row r="923" spans="1:17" s="598" customFormat="1" ht="15" outlineLevel="1">
      <c r="A923" s="597">
        <v>3940</v>
      </c>
      <c r="B923" s="598" t="s">
        <v>544</v>
      </c>
      <c r="C923" s="598" t="s">
        <v>516</v>
      </c>
      <c r="D923" s="599">
        <f>42991-13438</f>
        <v>29553</v>
      </c>
      <c r="E923" s="601">
        <f>Input!$C$14-C923+0.5</f>
        <v>12.5</v>
      </c>
      <c r="F923" s="600">
        <f t="shared" si="157"/>
        <v>369412.5</v>
      </c>
      <c r="G923" s="600"/>
      <c r="H923" s="317"/>
      <c r="I923" s="600"/>
      <c r="J923" s="600"/>
      <c r="K923" s="600"/>
      <c r="L923" s="600"/>
      <c r="M923" s="600"/>
      <c r="N923" s="600"/>
      <c r="O923" s="600">
        <f t="shared" si="158"/>
        <v>29553</v>
      </c>
      <c r="P923" s="601">
        <f t="shared" si="138"/>
        <v>12.5</v>
      </c>
      <c r="Q923" s="600">
        <f t="shared" si="139"/>
        <v>369412.5</v>
      </c>
    </row>
    <row r="924" spans="1:17" s="598" customFormat="1" ht="15" outlineLevel="1">
      <c r="A924" s="597">
        <v>3940</v>
      </c>
      <c r="B924" s="598" t="s">
        <v>544</v>
      </c>
      <c r="C924" s="598" t="s">
        <v>517</v>
      </c>
      <c r="D924" s="599">
        <v>58964.430000000008</v>
      </c>
      <c r="E924" s="601">
        <f>Input!$C$14-C924+0.5</f>
        <v>11.5</v>
      </c>
      <c r="F924" s="600">
        <f t="shared" si="157"/>
        <v>678090.94500000007</v>
      </c>
      <c r="G924" s="600"/>
      <c r="H924" s="317"/>
      <c r="I924" s="600"/>
      <c r="J924" s="600"/>
      <c r="K924" s="600"/>
      <c r="L924" s="600"/>
      <c r="M924" s="600"/>
      <c r="N924" s="600"/>
      <c r="O924" s="600">
        <f t="shared" si="158"/>
        <v>58964.430000000008</v>
      </c>
      <c r="P924" s="601">
        <f t="shared" si="138"/>
        <v>11.5</v>
      </c>
      <c r="Q924" s="600">
        <f t="shared" si="139"/>
        <v>678090.94500000007</v>
      </c>
    </row>
    <row r="925" spans="1:17" s="598" customFormat="1" ht="15" outlineLevel="1">
      <c r="A925" s="597">
        <v>3940</v>
      </c>
      <c r="B925" s="598" t="s">
        <v>544</v>
      </c>
      <c r="C925" s="598" t="s">
        <v>518</v>
      </c>
      <c r="D925" s="599">
        <v>23249.34</v>
      </c>
      <c r="E925" s="601">
        <f>Input!$C$14-C925+0.5</f>
        <v>10.5</v>
      </c>
      <c r="F925" s="600">
        <f t="shared" si="157"/>
        <v>244118.07000000001</v>
      </c>
      <c r="G925" s="600"/>
      <c r="H925" s="317"/>
      <c r="I925" s="600"/>
      <c r="J925" s="600"/>
      <c r="K925" s="600"/>
      <c r="L925" s="600"/>
      <c r="M925" s="600"/>
      <c r="N925" s="600"/>
      <c r="O925" s="600">
        <f t="shared" si="158"/>
        <v>23249.34</v>
      </c>
      <c r="P925" s="601">
        <f t="shared" si="138"/>
        <v>10.5</v>
      </c>
      <c r="Q925" s="600">
        <f t="shared" si="139"/>
        <v>244118.07000000001</v>
      </c>
    </row>
    <row r="926" spans="1:17" s="598" customFormat="1" ht="15" outlineLevel="1">
      <c r="A926" s="597">
        <v>3940</v>
      </c>
      <c r="B926" s="598" t="s">
        <v>544</v>
      </c>
      <c r="C926" s="598" t="s">
        <v>519</v>
      </c>
      <c r="D926" s="599">
        <v>34054.010000000002</v>
      </c>
      <c r="E926" s="601">
        <f>Input!$C$14-C926+0.5</f>
        <v>9.5</v>
      </c>
      <c r="F926" s="600">
        <f t="shared" si="157"/>
        <v>323513.09500000003</v>
      </c>
      <c r="G926" s="600"/>
      <c r="H926" s="317"/>
      <c r="I926" s="600"/>
      <c r="J926" s="600"/>
      <c r="K926" s="600"/>
      <c r="L926" s="600"/>
      <c r="M926" s="600"/>
      <c r="N926" s="600"/>
      <c r="O926" s="600">
        <f t="shared" si="158"/>
        <v>34054.010000000002</v>
      </c>
      <c r="P926" s="601">
        <f t="shared" si="138"/>
        <v>9.5</v>
      </c>
      <c r="Q926" s="600">
        <f t="shared" si="139"/>
        <v>323513.09500000003</v>
      </c>
    </row>
    <row r="927" spans="1:17" s="598" customFormat="1" ht="15" outlineLevel="1">
      <c r="A927" s="597">
        <v>3940</v>
      </c>
      <c r="B927" s="598" t="s">
        <v>544</v>
      </c>
      <c r="C927" s="598" t="s">
        <v>520</v>
      </c>
      <c r="D927" s="599">
        <v>98192.880000000005</v>
      </c>
      <c r="E927" s="601">
        <f>Input!$C$14-C927+0.5</f>
        <v>8.5</v>
      </c>
      <c r="F927" s="600">
        <f t="shared" si="157"/>
        <v>834639.47999999998</v>
      </c>
      <c r="G927" s="600"/>
      <c r="H927" s="317"/>
      <c r="I927" s="600"/>
      <c r="J927" s="600"/>
      <c r="K927" s="600"/>
      <c r="L927" s="600"/>
      <c r="M927" s="600"/>
      <c r="N927" s="600"/>
      <c r="O927" s="600">
        <f t="shared" si="158"/>
        <v>98192.880000000005</v>
      </c>
      <c r="P927" s="601">
        <f t="shared" si="138"/>
        <v>8.5</v>
      </c>
      <c r="Q927" s="600">
        <f t="shared" si="139"/>
        <v>834639.47999999998</v>
      </c>
    </row>
    <row r="928" spans="1:17" s="598" customFormat="1" ht="15" outlineLevel="1">
      <c r="A928" s="597">
        <v>3940</v>
      </c>
      <c r="B928" s="598" t="s">
        <v>544</v>
      </c>
      <c r="C928" s="598" t="s">
        <v>521</v>
      </c>
      <c r="D928" s="599">
        <v>89329.830000000002</v>
      </c>
      <c r="E928" s="601">
        <f>Input!$C$14-C928+0.5</f>
        <v>7.5</v>
      </c>
      <c r="F928" s="600">
        <f t="shared" si="157"/>
        <v>669973.72499999998</v>
      </c>
      <c r="G928" s="600"/>
      <c r="H928" s="317"/>
      <c r="I928" s="600"/>
      <c r="J928" s="600"/>
      <c r="K928" s="600"/>
      <c r="L928" s="600"/>
      <c r="M928" s="600"/>
      <c r="N928" s="600"/>
      <c r="O928" s="600">
        <f t="shared" si="158"/>
        <v>89329.830000000002</v>
      </c>
      <c r="P928" s="601">
        <f t="shared" si="138"/>
        <v>7.5</v>
      </c>
      <c r="Q928" s="600">
        <f t="shared" si="139"/>
        <v>669973.72499999998</v>
      </c>
    </row>
    <row r="929" spans="1:17" s="598" customFormat="1" ht="15" outlineLevel="1">
      <c r="A929" s="597">
        <v>3940</v>
      </c>
      <c r="B929" s="598" t="s">
        <v>544</v>
      </c>
      <c r="C929" s="598" t="s">
        <v>522</v>
      </c>
      <c r="D929" s="599">
        <v>126303.94</v>
      </c>
      <c r="E929" s="601">
        <f>Input!$C$14-C929+0.5</f>
        <v>6.5</v>
      </c>
      <c r="F929" s="600">
        <f t="shared" si="157"/>
        <v>820975.60999999999</v>
      </c>
      <c r="G929" s="600"/>
      <c r="H929" s="317"/>
      <c r="I929" s="600"/>
      <c r="J929" s="600"/>
      <c r="K929" s="600"/>
      <c r="L929" s="600"/>
      <c r="M929" s="600"/>
      <c r="N929" s="600"/>
      <c r="O929" s="600">
        <f t="shared" si="158"/>
        <v>126303.94</v>
      </c>
      <c r="P929" s="601">
        <f t="shared" si="138"/>
        <v>6.5</v>
      </c>
      <c r="Q929" s="600">
        <f t="shared" si="139"/>
        <v>820975.60999999999</v>
      </c>
    </row>
    <row r="930" spans="1:17" s="598" customFormat="1" ht="15" outlineLevel="1">
      <c r="A930" s="597">
        <v>3940</v>
      </c>
      <c r="B930" s="598" t="s">
        <v>544</v>
      </c>
      <c r="C930" s="598" t="s">
        <v>523</v>
      </c>
      <c r="D930" s="599">
        <v>156938.24000000002</v>
      </c>
      <c r="E930" s="601">
        <f>Input!$C$14-C930+0.5</f>
        <v>5.5</v>
      </c>
      <c r="F930" s="600">
        <f t="shared" si="157"/>
        <v>863160.32000000007</v>
      </c>
      <c r="G930" s="600"/>
      <c r="H930" s="317"/>
      <c r="I930" s="600"/>
      <c r="J930" s="600"/>
      <c r="K930" s="600"/>
      <c r="L930" s="600"/>
      <c r="M930" s="600"/>
      <c r="N930" s="600"/>
      <c r="O930" s="600">
        <f t="shared" si="158"/>
        <v>156938.24000000002</v>
      </c>
      <c r="P930" s="601">
        <f t="shared" si="138"/>
        <v>5.5</v>
      </c>
      <c r="Q930" s="600">
        <f t="shared" si="139"/>
        <v>863160.32000000007</v>
      </c>
    </row>
    <row r="931" spans="1:17" s="598" customFormat="1" ht="15" outlineLevel="1">
      <c r="A931" s="597">
        <v>3940</v>
      </c>
      <c r="B931" s="598" t="s">
        <v>544</v>
      </c>
      <c r="C931" s="598" t="s">
        <v>524</v>
      </c>
      <c r="D931" s="599">
        <v>121915.36999999998</v>
      </c>
      <c r="E931" s="601">
        <f>Input!$C$14-C931+0.5</f>
        <v>4.5</v>
      </c>
      <c r="F931" s="600">
        <f t="shared" si="157"/>
        <v>548619.16499999992</v>
      </c>
      <c r="G931" s="600"/>
      <c r="H931" s="317"/>
      <c r="I931" s="600"/>
      <c r="J931" s="600"/>
      <c r="K931" s="600"/>
      <c r="L931" s="600"/>
      <c r="M931" s="600"/>
      <c r="N931" s="600"/>
      <c r="O931" s="600">
        <f t="shared" si="158"/>
        <v>121915.36999999998</v>
      </c>
      <c r="P931" s="601">
        <f t="shared" si="138"/>
        <v>4.5</v>
      </c>
      <c r="Q931" s="600">
        <f t="shared" si="139"/>
        <v>548619.16499999992</v>
      </c>
    </row>
    <row r="932" spans="1:17" s="598" customFormat="1" ht="15" outlineLevel="1">
      <c r="A932" s="597">
        <v>3940</v>
      </c>
      <c r="B932" s="598" t="s">
        <v>544</v>
      </c>
      <c r="C932" s="598" t="s">
        <v>525</v>
      </c>
      <c r="D932" s="599">
        <v>134561.09</v>
      </c>
      <c r="E932" s="601">
        <f>Input!$C$14-C932+0.5</f>
        <v>3.5</v>
      </c>
      <c r="F932" s="600">
        <f t="shared" si="157"/>
        <v>470963.815</v>
      </c>
      <c r="G932" s="600"/>
      <c r="H932" s="317"/>
      <c r="I932" s="600"/>
      <c r="J932" s="600"/>
      <c r="K932" s="600">
        <v>9737</v>
      </c>
      <c r="L932" s="600"/>
      <c r="M932" s="600"/>
      <c r="N932" s="600"/>
      <c r="O932" s="600">
        <f t="shared" si="158"/>
        <v>144298.09</v>
      </c>
      <c r="P932" s="601">
        <f t="shared" si="138"/>
        <v>3.5</v>
      </c>
      <c r="Q932" s="600">
        <f t="shared" si="139"/>
        <v>505043.315</v>
      </c>
    </row>
    <row r="933" spans="1:17" s="598" customFormat="1" ht="15" outlineLevel="1">
      <c r="A933" s="597">
        <v>3940</v>
      </c>
      <c r="B933" s="598" t="s">
        <v>544</v>
      </c>
      <c r="C933" s="598" t="s">
        <v>526</v>
      </c>
      <c r="D933" s="599">
        <v>83479.799999999988</v>
      </c>
      <c r="E933" s="601">
        <f>Input!$C$14-C933+0.5</f>
        <v>2.5</v>
      </c>
      <c r="F933" s="600">
        <f t="shared" si="157"/>
        <v>208699.49999999997</v>
      </c>
      <c r="G933" s="600"/>
      <c r="H933" s="317"/>
      <c r="I933" s="600"/>
      <c r="J933" s="600"/>
      <c r="K933" s="600"/>
      <c r="L933" s="600"/>
      <c r="M933" s="600"/>
      <c r="N933" s="600"/>
      <c r="O933" s="600">
        <f t="shared" si="158"/>
        <v>83479.799999999988</v>
      </c>
      <c r="P933" s="601">
        <f t="shared" si="138"/>
        <v>2.5</v>
      </c>
      <c r="Q933" s="600">
        <f t="shared" si="139"/>
        <v>208699.49999999997</v>
      </c>
    </row>
    <row r="934" spans="1:17" s="598" customFormat="1" ht="15" outlineLevel="1">
      <c r="A934" s="597">
        <v>3940</v>
      </c>
      <c r="B934" s="598" t="s">
        <v>544</v>
      </c>
      <c r="C934" s="598" t="s">
        <v>527</v>
      </c>
      <c r="D934" s="599">
        <v>87341.630000000005</v>
      </c>
      <c r="E934" s="601">
        <f>Input!$C$14-C934+0.5</f>
        <v>1.5</v>
      </c>
      <c r="F934" s="600">
        <f t="shared" si="157"/>
        <v>131012.44500000001</v>
      </c>
      <c r="G934" s="600"/>
      <c r="H934" s="317"/>
      <c r="I934" s="600"/>
      <c r="J934" s="600"/>
      <c r="K934" s="600"/>
      <c r="L934" s="600"/>
      <c r="M934" s="600"/>
      <c r="N934" s="600"/>
      <c r="O934" s="600">
        <f t="shared" si="158"/>
        <v>87341.630000000005</v>
      </c>
      <c r="P934" s="601">
        <f t="shared" si="138"/>
        <v>1.5</v>
      </c>
      <c r="Q934" s="600">
        <f t="shared" si="139"/>
        <v>131012.44500000001</v>
      </c>
    </row>
    <row r="935" spans="1:26" s="598" customFormat="1" ht="13.5" thickBot="1">
      <c r="A935" s="563">
        <f>A934</f>
        <v>3940</v>
      </c>
      <c r="B935" s="564" t="s">
        <v>496</v>
      </c>
      <c r="D935" s="357">
        <f>SUM(D920:D934)</f>
        <v>1115043.4700000002</v>
      </c>
      <c r="E935" s="565">
        <f>ROUND(F935/D935,1)</f>
        <v>6.5</v>
      </c>
      <c r="F935" s="357">
        <f>SUM(F920:F934)</f>
        <v>7196371.8850000016</v>
      </c>
      <c r="G935" s="358"/>
      <c r="H935" s="318"/>
      <c r="I935" s="357">
        <f>SUM(I920:I934)</f>
        <v>0</v>
      </c>
      <c r="J935" s="357">
        <f>SUM(J920:J934)</f>
        <v>0</v>
      </c>
      <c r="K935" s="357">
        <f t="shared" si="159" ref="K935:N935">SUM(K920:K934)</f>
        <v>9737</v>
      </c>
      <c r="L935" s="357">
        <f t="shared" si="159"/>
        <v>0</v>
      </c>
      <c r="M935" s="357">
        <f t="shared" si="159"/>
        <v>0</v>
      </c>
      <c r="N935" s="357">
        <f t="shared" si="159"/>
        <v>0</v>
      </c>
      <c r="O935" s="357">
        <f>SUM(O920:O934)</f>
        <v>1124780.4700000002</v>
      </c>
      <c r="P935" s="565">
        <f>ROUND(Q935/O935,1)</f>
        <v>6.4000000000000004</v>
      </c>
      <c r="Q935" s="357">
        <f>SUM(Q920:Q934)</f>
        <v>7230451.3850000016</v>
      </c>
      <c r="S935" s="604">
        <f>'Sch. G 2021'!H42</f>
        <v>1115043</v>
      </c>
      <c r="T935" s="679">
        <f>D935-S935</f>
        <v>0.47000000020489097</v>
      </c>
      <c r="V935" s="604"/>
      <c r="W935" s="604"/>
      <c r="X935" s="604"/>
      <c r="Y935" s="604"/>
      <c r="Z935" s="604"/>
    </row>
    <row r="936" spans="1:26" s="598" customFormat="1" ht="15.75" thickTop="1">
      <c r="A936" s="566">
        <f>A934</f>
        <v>3940</v>
      </c>
      <c r="B936" s="490" t="str">
        <f>B934&amp;" - Additions"</f>
        <v>Tools/Shop Eq - Additions</v>
      </c>
      <c r="C936" s="490">
        <v>2022</v>
      </c>
      <c r="D936" s="567">
        <f>'Sch. H'!N42</f>
        <v>271503.66999999998</v>
      </c>
      <c r="E936" s="601">
        <f>Input!$C$14-C936+0.5</f>
        <v>0.5</v>
      </c>
      <c r="F936" s="600">
        <f>D936*E936</f>
        <v>135751.83499999999</v>
      </c>
      <c r="G936" s="600"/>
      <c r="H936" s="317"/>
      <c r="I936" s="600"/>
      <c r="J936" s="600"/>
      <c r="K936" s="600"/>
      <c r="L936" s="600"/>
      <c r="M936" s="600"/>
      <c r="N936" s="600"/>
      <c r="O936" s="600">
        <f t="shared" si="160" ref="O936:O937">SUM(D936,I936:N936)</f>
        <v>271503.66999999998</v>
      </c>
      <c r="P936" s="601">
        <f t="shared" si="138"/>
        <v>0.5</v>
      </c>
      <c r="Q936" s="600">
        <f t="shared" si="139"/>
        <v>135751.83499999999</v>
      </c>
      <c r="T936" s="679"/>
      <c r="V936" s="604"/>
      <c r="W936" s="604"/>
      <c r="X936" s="604"/>
      <c r="Y936" s="604"/>
      <c r="Z936" s="604"/>
    </row>
    <row r="937" spans="1:26" s="598" customFormat="1" ht="15">
      <c r="A937" s="566">
        <f>A936</f>
        <v>3940</v>
      </c>
      <c r="B937" s="490" t="str">
        <f>B934&amp;" - Retirements"</f>
        <v>Tools/Shop Eq - Retirements</v>
      </c>
      <c r="C937" s="490">
        <v>2022</v>
      </c>
      <c r="D937" s="567">
        <f>-'Sch. F 2022'!BG90</f>
        <v>-29475.090000000004</v>
      </c>
      <c r="E937" s="601">
        <f>'Sch. F 2022'!BG92</f>
        <v>15.5</v>
      </c>
      <c r="F937" s="600">
        <f>D937*E937</f>
        <v>-456863.89500000008</v>
      </c>
      <c r="G937" s="600"/>
      <c r="H937" s="317"/>
      <c r="I937" s="600"/>
      <c r="J937" s="600"/>
      <c r="K937" s="600"/>
      <c r="L937" s="600"/>
      <c r="M937" s="600"/>
      <c r="N937" s="600"/>
      <c r="O937" s="600">
        <f t="shared" si="160"/>
        <v>-29475.090000000004</v>
      </c>
      <c r="P937" s="601">
        <f t="shared" si="138"/>
        <v>15.5</v>
      </c>
      <c r="Q937" s="600">
        <f t="shared" si="139"/>
        <v>-456863.89500000008</v>
      </c>
      <c r="T937" s="679"/>
      <c r="V937" s="604"/>
      <c r="W937" s="604"/>
      <c r="X937" s="604"/>
      <c r="Y937" s="604"/>
      <c r="Z937" s="604"/>
    </row>
    <row r="938" spans="1:26" s="598" customFormat="1" ht="13.5" thickBot="1">
      <c r="A938" s="566"/>
      <c r="B938" s="564" t="s">
        <v>557</v>
      </c>
      <c r="C938" s="490"/>
      <c r="D938" s="568">
        <f>SUM(D935:D937)</f>
        <v>1357072.05</v>
      </c>
      <c r="E938" s="565">
        <f>ROUND(F938/D938,1)</f>
        <v>5.0999999999999996</v>
      </c>
      <c r="F938" s="569">
        <f>SUM(F935:F937)</f>
        <v>6875259.8250000011</v>
      </c>
      <c r="G938" s="570"/>
      <c r="H938" s="372"/>
      <c r="I938" s="568">
        <f>SUM(I935:I937)</f>
        <v>0</v>
      </c>
      <c r="J938" s="568">
        <f>SUM(J935:J937)</f>
        <v>0</v>
      </c>
      <c r="K938" s="568">
        <f t="shared" si="161" ref="K938:N938">SUM(K935:K937)</f>
        <v>9737</v>
      </c>
      <c r="L938" s="568">
        <f t="shared" si="161"/>
        <v>0</v>
      </c>
      <c r="M938" s="568">
        <f t="shared" si="161"/>
        <v>0</v>
      </c>
      <c r="N938" s="568">
        <f t="shared" si="161"/>
        <v>0</v>
      </c>
      <c r="O938" s="568">
        <f>SUM(O935:O937)</f>
        <v>1366809.05</v>
      </c>
      <c r="P938" s="565">
        <f>ROUND(Q938/O938,1)</f>
        <v>5.0999999999999996</v>
      </c>
      <c r="Q938" s="569">
        <f>SUM(Q935:Q937)</f>
        <v>6909339.3250000011</v>
      </c>
      <c r="S938" s="604">
        <f>'Sch. G 2022'!H42</f>
        <v>1366809</v>
      </c>
      <c r="T938" s="679">
        <f>O938-S938</f>
        <v>0.050000000046566129</v>
      </c>
      <c r="V938" s="604"/>
      <c r="W938" s="604"/>
      <c r="X938" s="604"/>
      <c r="Y938" s="604"/>
      <c r="Z938" s="604"/>
    </row>
    <row r="939" spans="1:20" s="598" customFormat="1" ht="13.5" thickTop="1">
      <c r="A939" s="563"/>
      <c r="B939" s="571"/>
      <c r="D939" s="358"/>
      <c r="E939" s="572"/>
      <c r="F939" s="358"/>
      <c r="G939" s="358"/>
      <c r="H939" s="318"/>
      <c r="I939" s="358"/>
      <c r="J939" s="358"/>
      <c r="K939" s="358"/>
      <c r="L939" s="358"/>
      <c r="M939" s="358"/>
      <c r="N939" s="358"/>
      <c r="O939" s="358"/>
      <c r="P939" s="572"/>
      <c r="Q939" s="358"/>
      <c r="T939" s="679"/>
    </row>
    <row r="940" spans="1:20" s="598" customFormat="1" ht="15" outlineLevel="1">
      <c r="A940" s="597">
        <v>3960</v>
      </c>
      <c r="B940" s="598" t="s">
        <v>545</v>
      </c>
      <c r="C940" s="598">
        <v>1992</v>
      </c>
      <c r="D940" s="599">
        <v>35671.279999999999</v>
      </c>
      <c r="E940" s="601">
        <f>Input!$C$14-C940+0.5</f>
        <v>30.5</v>
      </c>
      <c r="F940" s="600">
        <f t="shared" si="162" ref="F940:F967">D940*E940</f>
        <v>1087974.04</v>
      </c>
      <c r="G940" s="600"/>
      <c r="H940" s="317"/>
      <c r="I940" s="600"/>
      <c r="J940" s="600"/>
      <c r="K940" s="600"/>
      <c r="L940" s="600"/>
      <c r="M940" s="600"/>
      <c r="N940" s="600"/>
      <c r="O940" s="600">
        <f t="shared" si="163" ref="O940:O967">SUM(D940,I940:N940)</f>
        <v>35671.279999999999</v>
      </c>
      <c r="P940" s="601">
        <f t="shared" si="164" ref="P940:P997">E940</f>
        <v>30.5</v>
      </c>
      <c r="Q940" s="600">
        <f t="shared" si="165" ref="Q940:Q997">O940*P940</f>
        <v>1087974.04</v>
      </c>
      <c r="T940" s="679"/>
    </row>
    <row r="941" spans="1:20" s="598" customFormat="1" ht="15" outlineLevel="1">
      <c r="A941" s="597">
        <v>3960</v>
      </c>
      <c r="B941" s="598" t="s">
        <v>545</v>
      </c>
      <c r="C941" s="598">
        <v>1993</v>
      </c>
      <c r="D941" s="599">
        <v>59179.480000000003</v>
      </c>
      <c r="E941" s="601">
        <f>Input!$C$14-C941+0.5</f>
        <v>29.5</v>
      </c>
      <c r="F941" s="600">
        <f t="shared" si="162"/>
        <v>1745794.6600000001</v>
      </c>
      <c r="G941" s="600"/>
      <c r="H941" s="317"/>
      <c r="I941" s="600"/>
      <c r="J941" s="600"/>
      <c r="K941" s="600"/>
      <c r="L941" s="600"/>
      <c r="M941" s="600"/>
      <c r="N941" s="600"/>
      <c r="O941" s="600">
        <f t="shared" si="163"/>
        <v>59179.480000000003</v>
      </c>
      <c r="P941" s="601">
        <f t="shared" si="164"/>
        <v>29.5</v>
      </c>
      <c r="Q941" s="600">
        <f t="shared" si="165"/>
        <v>1745794.6600000001</v>
      </c>
      <c r="T941" s="679"/>
    </row>
    <row r="942" spans="1:20" s="598" customFormat="1" ht="15" outlineLevel="1">
      <c r="A942" s="597">
        <v>3960</v>
      </c>
      <c r="B942" s="598" t="s">
        <v>545</v>
      </c>
      <c r="C942" s="598">
        <v>1994</v>
      </c>
      <c r="D942" s="599">
        <v>863</v>
      </c>
      <c r="E942" s="601">
        <f>Input!$C$14-C942+0.5</f>
        <v>28.5</v>
      </c>
      <c r="F942" s="600">
        <f t="shared" si="162"/>
        <v>24595.5</v>
      </c>
      <c r="G942" s="600"/>
      <c r="H942" s="317"/>
      <c r="I942" s="600"/>
      <c r="J942" s="600"/>
      <c r="K942" s="600"/>
      <c r="L942" s="600"/>
      <c r="M942" s="600"/>
      <c r="N942" s="600"/>
      <c r="O942" s="600">
        <f t="shared" si="163"/>
        <v>863</v>
      </c>
      <c r="P942" s="601">
        <f t="shared" si="164"/>
        <v>28.5</v>
      </c>
      <c r="Q942" s="600">
        <f t="shared" si="165"/>
        <v>24595.5</v>
      </c>
      <c r="T942" s="679"/>
    </row>
    <row r="943" spans="1:20" s="598" customFormat="1" ht="15" outlineLevel="1">
      <c r="A943" s="597">
        <v>3960</v>
      </c>
      <c r="B943" s="598" t="s">
        <v>545</v>
      </c>
      <c r="C943" s="598">
        <v>1995</v>
      </c>
      <c r="D943" s="599">
        <v>7075.2400000000007</v>
      </c>
      <c r="E943" s="601">
        <f>Input!$C$14-C943+0.5</f>
        <v>27.5</v>
      </c>
      <c r="F943" s="600">
        <f t="shared" si="162"/>
        <v>194569.10000000001</v>
      </c>
      <c r="G943" s="600"/>
      <c r="H943" s="317"/>
      <c r="I943" s="600"/>
      <c r="J943" s="600"/>
      <c r="K943" s="600"/>
      <c r="L943" s="600"/>
      <c r="M943" s="600"/>
      <c r="N943" s="600"/>
      <c r="O943" s="600">
        <f t="shared" si="163"/>
        <v>7075.2400000000007</v>
      </c>
      <c r="P943" s="601">
        <f t="shared" si="164"/>
        <v>27.5</v>
      </c>
      <c r="Q943" s="600">
        <f t="shared" si="165"/>
        <v>194569.10000000001</v>
      </c>
      <c r="T943" s="679"/>
    </row>
    <row r="944" spans="1:20" s="598" customFormat="1" ht="15" outlineLevel="1">
      <c r="A944" s="597">
        <v>3960</v>
      </c>
      <c r="B944" s="598" t="s">
        <v>545</v>
      </c>
      <c r="C944" s="598">
        <v>1996</v>
      </c>
      <c r="D944" s="599">
        <v>69060.240000000005</v>
      </c>
      <c r="E944" s="601">
        <f>Input!$C$14-C944+0.5</f>
        <v>26.5</v>
      </c>
      <c r="F944" s="600">
        <f t="shared" si="162"/>
        <v>1830096.3600000001</v>
      </c>
      <c r="G944" s="600"/>
      <c r="H944" s="317"/>
      <c r="I944" s="600"/>
      <c r="J944" s="600"/>
      <c r="K944" s="600"/>
      <c r="L944" s="600"/>
      <c r="M944" s="600"/>
      <c r="N944" s="600"/>
      <c r="O944" s="600">
        <f t="shared" si="163"/>
        <v>69060.240000000005</v>
      </c>
      <c r="P944" s="601">
        <f t="shared" si="164"/>
        <v>26.5</v>
      </c>
      <c r="Q944" s="600">
        <f t="shared" si="165"/>
        <v>1830096.3600000001</v>
      </c>
      <c r="T944" s="679"/>
    </row>
    <row r="945" spans="1:20" s="598" customFormat="1" ht="15" outlineLevel="1">
      <c r="A945" s="597">
        <v>3960</v>
      </c>
      <c r="B945" s="598" t="s">
        <v>545</v>
      </c>
      <c r="C945" s="598">
        <v>1997</v>
      </c>
      <c r="D945" s="599">
        <v>1564.5599999999999</v>
      </c>
      <c r="E945" s="601">
        <f>Input!$C$14-C945+0.5</f>
        <v>25.5</v>
      </c>
      <c r="F945" s="600">
        <f t="shared" si="162"/>
        <v>39896.279999999999</v>
      </c>
      <c r="G945" s="600"/>
      <c r="H945" s="317"/>
      <c r="I945" s="600"/>
      <c r="J945" s="600"/>
      <c r="K945" s="600"/>
      <c r="L945" s="600"/>
      <c r="M945" s="600"/>
      <c r="N945" s="600"/>
      <c r="O945" s="600">
        <f t="shared" si="163"/>
        <v>1564.5599999999999</v>
      </c>
      <c r="P945" s="601">
        <f t="shared" si="164"/>
        <v>25.5</v>
      </c>
      <c r="Q945" s="600">
        <f t="shared" si="165"/>
        <v>39896.279999999999</v>
      </c>
      <c r="T945" s="679"/>
    </row>
    <row r="946" spans="1:20" s="598" customFormat="1" ht="15" outlineLevel="1">
      <c r="A946" s="597">
        <v>3960</v>
      </c>
      <c r="B946" s="598" t="s">
        <v>545</v>
      </c>
      <c r="C946" s="598">
        <v>1998</v>
      </c>
      <c r="D946" s="599">
        <v>45132.68</v>
      </c>
      <c r="E946" s="601">
        <f>Input!$C$14-C946+0.5</f>
        <v>24.5</v>
      </c>
      <c r="F946" s="600">
        <f t="shared" si="162"/>
        <v>1105750.6599999999</v>
      </c>
      <c r="G946" s="600"/>
      <c r="H946" s="317"/>
      <c r="I946" s="600"/>
      <c r="J946" s="600"/>
      <c r="K946" s="600"/>
      <c r="L946" s="600"/>
      <c r="M946" s="600"/>
      <c r="N946" s="600"/>
      <c r="O946" s="600">
        <f t="shared" si="163"/>
        <v>45132.68</v>
      </c>
      <c r="P946" s="601">
        <f t="shared" si="164"/>
        <v>24.5</v>
      </c>
      <c r="Q946" s="600">
        <f t="shared" si="165"/>
        <v>1105750.6599999999</v>
      </c>
      <c r="T946" s="679"/>
    </row>
    <row r="947" spans="1:20" s="598" customFormat="1" ht="15" outlineLevel="1">
      <c r="A947" s="597">
        <v>3960</v>
      </c>
      <c r="B947" s="598" t="s">
        <v>545</v>
      </c>
      <c r="C947" s="598">
        <v>1999</v>
      </c>
      <c r="D947" s="599">
        <v>51134.290000000001</v>
      </c>
      <c r="E947" s="601">
        <f>Input!$C$14-C947+0.5</f>
        <v>23.5</v>
      </c>
      <c r="F947" s="600">
        <f t="shared" si="162"/>
        <v>1201655.8149999999</v>
      </c>
      <c r="G947" s="600"/>
      <c r="H947" s="317"/>
      <c r="I947" s="600"/>
      <c r="J947" s="600"/>
      <c r="K947" s="600"/>
      <c r="L947" s="600"/>
      <c r="M947" s="600"/>
      <c r="N947" s="600"/>
      <c r="O947" s="600">
        <f t="shared" si="163"/>
        <v>51134.290000000001</v>
      </c>
      <c r="P947" s="601">
        <f t="shared" si="164"/>
        <v>23.5</v>
      </c>
      <c r="Q947" s="600">
        <f t="shared" si="165"/>
        <v>1201655.8149999999</v>
      </c>
      <c r="T947" s="679"/>
    </row>
    <row r="948" spans="1:20" s="598" customFormat="1" ht="15" outlineLevel="1">
      <c r="A948" s="597">
        <v>3960</v>
      </c>
      <c r="B948" s="598" t="s">
        <v>545</v>
      </c>
      <c r="C948" s="598">
        <v>2000</v>
      </c>
      <c r="D948" s="599">
        <v>76047.050000000003</v>
      </c>
      <c r="E948" s="601">
        <f>Input!$C$14-C948+0.5</f>
        <v>22.5</v>
      </c>
      <c r="F948" s="600">
        <f t="shared" si="162"/>
        <v>1711058.625</v>
      </c>
      <c r="G948" s="600"/>
      <c r="H948" s="317"/>
      <c r="I948" s="600"/>
      <c r="J948" s="600"/>
      <c r="K948" s="600"/>
      <c r="L948" s="600"/>
      <c r="M948" s="600"/>
      <c r="N948" s="600"/>
      <c r="O948" s="600">
        <f t="shared" si="163"/>
        <v>76047.050000000003</v>
      </c>
      <c r="P948" s="601">
        <f t="shared" si="164"/>
        <v>22.5</v>
      </c>
      <c r="Q948" s="600">
        <f t="shared" si="165"/>
        <v>1711058.625</v>
      </c>
      <c r="T948" s="679"/>
    </row>
    <row r="949" spans="1:20" s="598" customFormat="1" ht="15" outlineLevel="1">
      <c r="A949" s="597">
        <v>3960</v>
      </c>
      <c r="B949" s="598" t="s">
        <v>545</v>
      </c>
      <c r="C949" s="598">
        <v>2001</v>
      </c>
      <c r="D949" s="599">
        <v>66906</v>
      </c>
      <c r="E949" s="601">
        <f>Input!$C$14-C949+0.5</f>
        <v>21.5</v>
      </c>
      <c r="F949" s="600">
        <f t="shared" si="162"/>
        <v>1438479</v>
      </c>
      <c r="G949" s="600"/>
      <c r="H949" s="317"/>
      <c r="I949" s="600"/>
      <c r="J949" s="600"/>
      <c r="K949" s="600"/>
      <c r="L949" s="600"/>
      <c r="M949" s="600"/>
      <c r="N949" s="600"/>
      <c r="O949" s="600">
        <f t="shared" si="163"/>
        <v>66906</v>
      </c>
      <c r="P949" s="601">
        <f t="shared" si="164"/>
        <v>21.5</v>
      </c>
      <c r="Q949" s="600">
        <f t="shared" si="165"/>
        <v>1438479</v>
      </c>
      <c r="T949" s="679"/>
    </row>
    <row r="950" spans="1:20" s="598" customFormat="1" ht="15" outlineLevel="1">
      <c r="A950" s="597">
        <v>3960</v>
      </c>
      <c r="B950" s="598" t="s">
        <v>545</v>
      </c>
      <c r="C950" s="598">
        <v>2002</v>
      </c>
      <c r="D950" s="599">
        <v>108868.58</v>
      </c>
      <c r="E950" s="601">
        <f>Input!$C$14-C950+0.5</f>
        <v>20.5</v>
      </c>
      <c r="F950" s="600">
        <f t="shared" si="162"/>
        <v>2231805.8900000001</v>
      </c>
      <c r="G950" s="600"/>
      <c r="H950" s="317"/>
      <c r="I950" s="600"/>
      <c r="J950" s="600"/>
      <c r="K950" s="600"/>
      <c r="L950" s="600"/>
      <c r="M950" s="600"/>
      <c r="N950" s="600"/>
      <c r="O950" s="600">
        <f t="shared" si="163"/>
        <v>108868.58</v>
      </c>
      <c r="P950" s="601">
        <f t="shared" si="164"/>
        <v>20.5</v>
      </c>
      <c r="Q950" s="600">
        <f t="shared" si="165"/>
        <v>2231805.8900000001</v>
      </c>
      <c r="T950" s="679"/>
    </row>
    <row r="951" spans="1:20" s="598" customFormat="1" ht="15" outlineLevel="1">
      <c r="A951" s="597">
        <v>3960</v>
      </c>
      <c r="B951" s="598" t="s">
        <v>545</v>
      </c>
      <c r="C951" s="598">
        <v>2003</v>
      </c>
      <c r="D951" s="599">
        <v>9484.6399999999994</v>
      </c>
      <c r="E951" s="601">
        <f>Input!$C$14-C951+0.5</f>
        <v>19.5</v>
      </c>
      <c r="F951" s="600">
        <f t="shared" si="162"/>
        <v>184950.47999999998</v>
      </c>
      <c r="G951" s="600"/>
      <c r="H951" s="317"/>
      <c r="I951" s="600"/>
      <c r="J951" s="600"/>
      <c r="K951" s="600"/>
      <c r="L951" s="600"/>
      <c r="M951" s="600"/>
      <c r="N951" s="600"/>
      <c r="O951" s="600">
        <f t="shared" si="163"/>
        <v>9484.6399999999994</v>
      </c>
      <c r="P951" s="601">
        <f t="shared" si="164"/>
        <v>19.5</v>
      </c>
      <c r="Q951" s="600">
        <f t="shared" si="165"/>
        <v>184950.47999999998</v>
      </c>
      <c r="T951" s="679"/>
    </row>
    <row r="952" spans="1:20" s="598" customFormat="1" ht="15" outlineLevel="1">
      <c r="A952" s="597">
        <v>3960</v>
      </c>
      <c r="B952" s="598" t="s">
        <v>545</v>
      </c>
      <c r="C952" s="598">
        <v>2004</v>
      </c>
      <c r="D952" s="599">
        <v>69069.239999999991</v>
      </c>
      <c r="E952" s="601">
        <f>Input!$C$14-C952+0.5</f>
        <v>18.5</v>
      </c>
      <c r="F952" s="600">
        <f t="shared" si="162"/>
        <v>1277780.9399999999</v>
      </c>
      <c r="G952" s="600"/>
      <c r="H952" s="317"/>
      <c r="I952" s="600"/>
      <c r="J952" s="600"/>
      <c r="K952" s="600"/>
      <c r="L952" s="600"/>
      <c r="M952" s="600"/>
      <c r="N952" s="600"/>
      <c r="O952" s="600">
        <f t="shared" si="163"/>
        <v>69069.239999999991</v>
      </c>
      <c r="P952" s="601">
        <f t="shared" si="164"/>
        <v>18.5</v>
      </c>
      <c r="Q952" s="600">
        <f t="shared" si="165"/>
        <v>1277780.9399999999</v>
      </c>
      <c r="T952" s="679"/>
    </row>
    <row r="953" spans="1:20" s="598" customFormat="1" ht="15" outlineLevel="1">
      <c r="A953" s="597">
        <v>3960</v>
      </c>
      <c r="B953" s="598" t="s">
        <v>545</v>
      </c>
      <c r="C953" s="598">
        <v>2005</v>
      </c>
      <c r="D953" s="599">
        <v>19380.670000000002</v>
      </c>
      <c r="E953" s="601">
        <f>Input!$C$14-C953+0.5</f>
        <v>17.5</v>
      </c>
      <c r="F953" s="600">
        <f t="shared" si="162"/>
        <v>339161.72500000003</v>
      </c>
      <c r="G953" s="600"/>
      <c r="H953" s="317"/>
      <c r="I953" s="600"/>
      <c r="J953" s="600"/>
      <c r="K953" s="600"/>
      <c r="L953" s="600"/>
      <c r="M953" s="600"/>
      <c r="N953" s="600"/>
      <c r="O953" s="600">
        <f t="shared" si="163"/>
        <v>19380.670000000002</v>
      </c>
      <c r="P953" s="601">
        <f t="shared" si="164"/>
        <v>17.5</v>
      </c>
      <c r="Q953" s="600">
        <f t="shared" si="165"/>
        <v>339161.72500000003</v>
      </c>
      <c r="T953" s="679"/>
    </row>
    <row r="954" spans="1:20" s="598" customFormat="1" ht="15" outlineLevel="1">
      <c r="A954" s="597">
        <v>3960</v>
      </c>
      <c r="B954" s="598" t="s">
        <v>545</v>
      </c>
      <c r="C954" s="598">
        <v>2006</v>
      </c>
      <c r="D954" s="599">
        <f>69885.64+25970</f>
        <v>95855.639999999999</v>
      </c>
      <c r="E954" s="601">
        <f>Input!$C$14-C954+0.5</f>
        <v>16.5</v>
      </c>
      <c r="F954" s="600">
        <f t="shared" si="162"/>
        <v>1581618.0600000001</v>
      </c>
      <c r="G954" s="600"/>
      <c r="H954" s="317"/>
      <c r="I954" s="600"/>
      <c r="J954" s="600"/>
      <c r="K954" s="600"/>
      <c r="L954" s="600"/>
      <c r="M954" s="600"/>
      <c r="N954" s="600"/>
      <c r="O954" s="600">
        <f t="shared" si="163"/>
        <v>95855.639999999999</v>
      </c>
      <c r="P954" s="601">
        <f t="shared" si="164"/>
        <v>16.5</v>
      </c>
      <c r="Q954" s="600">
        <f t="shared" si="165"/>
        <v>1581618.0600000001</v>
      </c>
      <c r="T954" s="679"/>
    </row>
    <row r="955" spans="1:20" s="598" customFormat="1" ht="15" outlineLevel="1">
      <c r="A955" s="597">
        <v>3960</v>
      </c>
      <c r="B955" s="598" t="s">
        <v>545</v>
      </c>
      <c r="C955" s="598">
        <v>2007</v>
      </c>
      <c r="D955" s="599">
        <v>3734.9500000000003</v>
      </c>
      <c r="E955" s="601">
        <f>Input!$C$14-C955+0.5</f>
        <v>15.5</v>
      </c>
      <c r="F955" s="600">
        <f t="shared" si="162"/>
        <v>57891.725000000006</v>
      </c>
      <c r="G955" s="600"/>
      <c r="H955" s="317"/>
      <c r="I955" s="600"/>
      <c r="J955" s="600"/>
      <c r="K955" s="600"/>
      <c r="L955" s="600"/>
      <c r="M955" s="600"/>
      <c r="N955" s="600"/>
      <c r="O955" s="600">
        <f t="shared" si="163"/>
        <v>3734.9500000000003</v>
      </c>
      <c r="P955" s="601">
        <f t="shared" si="164"/>
        <v>15.5</v>
      </c>
      <c r="Q955" s="600">
        <f t="shared" si="165"/>
        <v>57891.725000000006</v>
      </c>
      <c r="T955" s="679"/>
    </row>
    <row r="956" spans="1:20" s="598" customFormat="1" ht="15" outlineLevel="1">
      <c r="A956" s="597">
        <v>3960</v>
      </c>
      <c r="B956" s="598" t="s">
        <v>545</v>
      </c>
      <c r="C956" s="598">
        <v>2008</v>
      </c>
      <c r="D956" s="599">
        <v>12004.469999999999</v>
      </c>
      <c r="E956" s="601">
        <f>Input!$C$14-C956+0.5</f>
        <v>14.5</v>
      </c>
      <c r="F956" s="600">
        <f t="shared" si="162"/>
        <v>174064.815</v>
      </c>
      <c r="G956" s="600"/>
      <c r="H956" s="317"/>
      <c r="I956" s="600"/>
      <c r="J956" s="600"/>
      <c r="K956" s="600"/>
      <c r="L956" s="600"/>
      <c r="M956" s="600"/>
      <c r="N956" s="600"/>
      <c r="O956" s="600">
        <f t="shared" si="163"/>
        <v>12004.469999999999</v>
      </c>
      <c r="P956" s="601">
        <f t="shared" si="164"/>
        <v>14.5</v>
      </c>
      <c r="Q956" s="600">
        <f t="shared" si="165"/>
        <v>174064.815</v>
      </c>
      <c r="T956" s="679"/>
    </row>
    <row r="957" spans="1:20" s="598" customFormat="1" ht="15" outlineLevel="1">
      <c r="A957" s="597">
        <v>3960</v>
      </c>
      <c r="B957" s="598" t="s">
        <v>545</v>
      </c>
      <c r="C957" s="598">
        <v>2009</v>
      </c>
      <c r="D957" s="599">
        <v>24178.639999999999</v>
      </c>
      <c r="E957" s="601">
        <f>Input!$C$14-C957+0.5</f>
        <v>13.5</v>
      </c>
      <c r="F957" s="600">
        <f t="shared" si="162"/>
        <v>326411.64000000001</v>
      </c>
      <c r="G957" s="600"/>
      <c r="H957" s="317"/>
      <c r="I957" s="600"/>
      <c r="J957" s="600"/>
      <c r="K957" s="600"/>
      <c r="L957" s="600"/>
      <c r="M957" s="600"/>
      <c r="N957" s="600"/>
      <c r="O957" s="600">
        <f t="shared" si="163"/>
        <v>24178.639999999999</v>
      </c>
      <c r="P957" s="601">
        <f t="shared" si="164"/>
        <v>13.5</v>
      </c>
      <c r="Q957" s="600">
        <f t="shared" si="165"/>
        <v>326411.64000000001</v>
      </c>
      <c r="T957" s="679"/>
    </row>
    <row r="958" spans="1:20" s="598" customFormat="1" ht="15" outlineLevel="1">
      <c r="A958" s="597">
        <v>3960</v>
      </c>
      <c r="B958" s="598" t="s">
        <v>545</v>
      </c>
      <c r="C958" s="598">
        <v>2010</v>
      </c>
      <c r="D958" s="599">
        <f>93363.37-25970</f>
        <v>67393.369999999995</v>
      </c>
      <c r="E958" s="601">
        <f>Input!$C$14-C958+0.5</f>
        <v>12.5</v>
      </c>
      <c r="F958" s="600">
        <f t="shared" si="162"/>
        <v>842417.125</v>
      </c>
      <c r="G958" s="600"/>
      <c r="H958" s="317"/>
      <c r="I958" s="600"/>
      <c r="J958" s="600"/>
      <c r="K958" s="600"/>
      <c r="L958" s="600"/>
      <c r="M958" s="600"/>
      <c r="N958" s="600"/>
      <c r="O958" s="600">
        <f t="shared" si="163"/>
        <v>67393.369999999995</v>
      </c>
      <c r="P958" s="601">
        <f t="shared" si="164"/>
        <v>12.5</v>
      </c>
      <c r="Q958" s="600">
        <f t="shared" si="165"/>
        <v>842417.125</v>
      </c>
      <c r="T958" s="679"/>
    </row>
    <row r="959" spans="1:20" s="598" customFormat="1" ht="15" outlineLevel="1">
      <c r="A959" s="597">
        <v>3960</v>
      </c>
      <c r="B959" s="598" t="s">
        <v>545</v>
      </c>
      <c r="C959" s="598">
        <v>2011</v>
      </c>
      <c r="D959" s="599">
        <v>25066.52</v>
      </c>
      <c r="E959" s="601">
        <f>Input!$C$14-C959+0.5</f>
        <v>11.5</v>
      </c>
      <c r="F959" s="600">
        <f t="shared" si="162"/>
        <v>288264.97999999998</v>
      </c>
      <c r="G959" s="600"/>
      <c r="H959" s="317"/>
      <c r="I959" s="600"/>
      <c r="J959" s="600"/>
      <c r="K959" s="600"/>
      <c r="L959" s="600"/>
      <c r="M959" s="600"/>
      <c r="N959" s="600"/>
      <c r="O959" s="600">
        <f t="shared" si="163"/>
        <v>25066.52</v>
      </c>
      <c r="P959" s="601">
        <f t="shared" si="164"/>
        <v>11.5</v>
      </c>
      <c r="Q959" s="600">
        <f t="shared" si="165"/>
        <v>288264.97999999998</v>
      </c>
      <c r="T959" s="679"/>
    </row>
    <row r="960" spans="1:20" s="598" customFormat="1" ht="15" outlineLevel="1">
      <c r="A960" s="597">
        <v>3960</v>
      </c>
      <c r="B960" s="598" t="s">
        <v>545</v>
      </c>
      <c r="C960" s="598">
        <v>2012</v>
      </c>
      <c r="D960" s="599">
        <v>37139.760000000002</v>
      </c>
      <c r="E960" s="601">
        <f>Input!$C$14-C960+0.5</f>
        <v>10.5</v>
      </c>
      <c r="F960" s="600">
        <f t="shared" si="162"/>
        <v>389967.48000000004</v>
      </c>
      <c r="G960" s="600"/>
      <c r="H960" s="317"/>
      <c r="I960" s="598">
        <v>3200</v>
      </c>
      <c r="J960" s="600">
        <v>-3200</v>
      </c>
      <c r="K960" s="600">
        <f>-3200+3200</f>
        <v>0</v>
      </c>
      <c r="L960" s="600"/>
      <c r="M960" s="600"/>
      <c r="N960" s="600"/>
      <c r="O960" s="600">
        <f t="shared" si="163"/>
        <v>37139.760000000002</v>
      </c>
      <c r="P960" s="601">
        <f t="shared" si="164"/>
        <v>10.5</v>
      </c>
      <c r="Q960" s="600">
        <f t="shared" si="165"/>
        <v>389967.48000000004</v>
      </c>
      <c r="T960" s="679"/>
    </row>
    <row r="961" spans="1:20" s="598" customFormat="1" ht="15" outlineLevel="1">
      <c r="A961" s="597">
        <v>3960</v>
      </c>
      <c r="B961" s="598" t="s">
        <v>545</v>
      </c>
      <c r="C961" s="598">
        <v>2013</v>
      </c>
      <c r="D961" s="599">
        <v>13121.33</v>
      </c>
      <c r="E961" s="601">
        <f>Input!$C$14-C961+0.5</f>
        <v>9.5</v>
      </c>
      <c r="F961" s="600">
        <f t="shared" si="162"/>
        <v>124652.63499999999</v>
      </c>
      <c r="G961" s="600"/>
      <c r="H961" s="317"/>
      <c r="I961" s="600"/>
      <c r="J961" s="600"/>
      <c r="K961" s="600"/>
      <c r="L961" s="600"/>
      <c r="M961" s="600"/>
      <c r="N961" s="600"/>
      <c r="O961" s="600">
        <f t="shared" si="163"/>
        <v>13121.33</v>
      </c>
      <c r="P961" s="601">
        <f t="shared" si="164"/>
        <v>9.5</v>
      </c>
      <c r="Q961" s="600">
        <f t="shared" si="165"/>
        <v>124652.63499999999</v>
      </c>
      <c r="T961" s="679"/>
    </row>
    <row r="962" spans="1:20" s="598" customFormat="1" ht="15" outlineLevel="1">
      <c r="A962" s="597">
        <v>3960</v>
      </c>
      <c r="B962" s="598" t="s">
        <v>545</v>
      </c>
      <c r="C962" s="598">
        <v>2014</v>
      </c>
      <c r="D962" s="599">
        <v>194616.72</v>
      </c>
      <c r="E962" s="601">
        <f>Input!$C$14-C962+0.5</f>
        <v>8.5</v>
      </c>
      <c r="F962" s="600">
        <f t="shared" si="162"/>
        <v>1654242.1200000001</v>
      </c>
      <c r="G962" s="600"/>
      <c r="H962" s="317"/>
      <c r="I962" s="600"/>
      <c r="J962" s="600"/>
      <c r="K962" s="600"/>
      <c r="L962" s="600"/>
      <c r="M962" s="600"/>
      <c r="N962" s="600"/>
      <c r="O962" s="600">
        <f t="shared" si="163"/>
        <v>194616.72</v>
      </c>
      <c r="P962" s="601">
        <f t="shared" si="164"/>
        <v>8.5</v>
      </c>
      <c r="Q962" s="600">
        <f t="shared" si="165"/>
        <v>1654242.1200000001</v>
      </c>
      <c r="T962" s="679"/>
    </row>
    <row r="963" spans="1:20" s="598" customFormat="1" ht="15" outlineLevel="1">
      <c r="A963" s="597">
        <v>3960</v>
      </c>
      <c r="B963" s="598" t="s">
        <v>545</v>
      </c>
      <c r="C963" s="598">
        <v>2015</v>
      </c>
      <c r="D963" s="599">
        <v>152567.76999999999</v>
      </c>
      <c r="E963" s="601">
        <f>Input!$C$14-C963+0.5</f>
        <v>7.5</v>
      </c>
      <c r="F963" s="600">
        <f t="shared" si="162"/>
        <v>1144258.2749999999</v>
      </c>
      <c r="G963" s="600"/>
      <c r="H963" s="317"/>
      <c r="I963" s="600"/>
      <c r="J963" s="600"/>
      <c r="K963" s="600"/>
      <c r="L963" s="600"/>
      <c r="M963" s="600"/>
      <c r="N963" s="600"/>
      <c r="O963" s="600">
        <f t="shared" si="163"/>
        <v>152567.76999999999</v>
      </c>
      <c r="P963" s="601">
        <f t="shared" si="164"/>
        <v>7.5</v>
      </c>
      <c r="Q963" s="600">
        <f t="shared" si="165"/>
        <v>1144258.2749999999</v>
      </c>
      <c r="T963" s="679"/>
    </row>
    <row r="964" spans="1:20" s="598" customFormat="1" ht="15" outlineLevel="1">
      <c r="A964" s="597">
        <v>3960</v>
      </c>
      <c r="B964" s="598" t="s">
        <v>545</v>
      </c>
      <c r="C964" s="598">
        <v>2016</v>
      </c>
      <c r="D964" s="599">
        <v>114392.74000000001</v>
      </c>
      <c r="E964" s="601">
        <f>Input!$C$14-C964+0.5</f>
        <v>6.5</v>
      </c>
      <c r="F964" s="600">
        <f t="shared" si="162"/>
        <v>743552.81000000006</v>
      </c>
      <c r="G964" s="600"/>
      <c r="H964" s="317"/>
      <c r="I964" s="600"/>
      <c r="J964" s="600"/>
      <c r="K964" s="600"/>
      <c r="L964" s="600"/>
      <c r="M964" s="600"/>
      <c r="N964" s="600"/>
      <c r="O964" s="600">
        <f t="shared" si="163"/>
        <v>114392.74000000001</v>
      </c>
      <c r="P964" s="601">
        <f t="shared" si="164"/>
        <v>6.5</v>
      </c>
      <c r="Q964" s="600">
        <f t="shared" si="165"/>
        <v>743552.81000000006</v>
      </c>
      <c r="T964" s="679"/>
    </row>
    <row r="965" spans="1:20" s="598" customFormat="1" ht="15" outlineLevel="1">
      <c r="A965" s="597">
        <v>3960</v>
      </c>
      <c r="B965" s="598" t="s">
        <v>545</v>
      </c>
      <c r="C965" s="598">
        <v>2017</v>
      </c>
      <c r="D965" s="599">
        <v>43162.950000000004</v>
      </c>
      <c r="E965" s="601">
        <f>Input!$C$14-C965+0.5</f>
        <v>5.5</v>
      </c>
      <c r="F965" s="600">
        <f t="shared" si="162"/>
        <v>237396.22500000003</v>
      </c>
      <c r="G965" s="600"/>
      <c r="H965" s="317"/>
      <c r="I965" s="600"/>
      <c r="J965" s="600"/>
      <c r="K965" s="600"/>
      <c r="L965" s="600"/>
      <c r="M965" s="600"/>
      <c r="N965" s="600"/>
      <c r="O965" s="600">
        <f t="shared" si="163"/>
        <v>43162.950000000004</v>
      </c>
      <c r="P965" s="601">
        <f t="shared" si="164"/>
        <v>5.5</v>
      </c>
      <c r="Q965" s="600">
        <f t="shared" si="165"/>
        <v>237396.22500000003</v>
      </c>
      <c r="T965" s="679"/>
    </row>
    <row r="966" spans="1:20" s="598" customFormat="1" ht="15" outlineLevel="1">
      <c r="A966" s="597">
        <v>3960</v>
      </c>
      <c r="B966" s="598" t="s">
        <v>545</v>
      </c>
      <c r="C966" s="598">
        <v>2019</v>
      </c>
      <c r="D966" s="599">
        <v>4318.8999999999996</v>
      </c>
      <c r="E966" s="601">
        <f>Input!$C$14-C966+0.5</f>
        <v>3.5</v>
      </c>
      <c r="F966" s="600">
        <f t="shared" si="162"/>
        <v>15116.149999999998</v>
      </c>
      <c r="G966" s="600"/>
      <c r="H966" s="317"/>
      <c r="I966" s="600"/>
      <c r="J966" s="600"/>
      <c r="K966" s="600"/>
      <c r="L966" s="600"/>
      <c r="M966" s="600"/>
      <c r="N966" s="600"/>
      <c r="O966" s="600">
        <f t="shared" si="163"/>
        <v>4318.8999999999996</v>
      </c>
      <c r="P966" s="601">
        <f t="shared" si="164"/>
        <v>3.5</v>
      </c>
      <c r="Q966" s="600">
        <f t="shared" si="165"/>
        <v>15116.149999999998</v>
      </c>
      <c r="T966" s="679"/>
    </row>
    <row r="967" spans="1:20" s="598" customFormat="1" ht="15" outlineLevel="1">
      <c r="A967" s="597">
        <v>3960</v>
      </c>
      <c r="B967" s="598" t="s">
        <v>545</v>
      </c>
      <c r="C967" s="598">
        <v>2021</v>
      </c>
      <c r="D967" s="599">
        <v>5168.0299999999997</v>
      </c>
      <c r="E967" s="601">
        <f>Input!$C$14-C967+0.5</f>
        <v>1.5</v>
      </c>
      <c r="F967" s="600">
        <f t="shared" si="162"/>
        <v>7752.0450000000001</v>
      </c>
      <c r="G967" s="600"/>
      <c r="H967" s="317"/>
      <c r="I967" s="600"/>
      <c r="J967" s="600"/>
      <c r="K967" s="600">
        <v>18988</v>
      </c>
      <c r="L967" s="600"/>
      <c r="M967" s="600"/>
      <c r="N967" s="600"/>
      <c r="O967" s="600">
        <f t="shared" si="163"/>
        <v>24156.029999999999</v>
      </c>
      <c r="P967" s="601">
        <f t="shared" si="164"/>
        <v>1.5</v>
      </c>
      <c r="Q967" s="600">
        <f t="shared" si="165"/>
        <v>36234.044999999998</v>
      </c>
      <c r="T967" s="679"/>
    </row>
    <row r="968" spans="1:20" s="598" customFormat="1" ht="13.5" thickBot="1">
      <c r="A968" s="563">
        <f>A967</f>
        <v>3960</v>
      </c>
      <c r="B968" s="564" t="s">
        <v>496</v>
      </c>
      <c r="D968" s="357">
        <f>SUM(D940:D967)</f>
        <v>1412158.74</v>
      </c>
      <c r="E968" s="565">
        <f>ROUND(F968/D968,1)</f>
        <v>15.6</v>
      </c>
      <c r="F968" s="357">
        <f>SUM(F940:F967)</f>
        <v>22001175.160000004</v>
      </c>
      <c r="G968" s="358"/>
      <c r="H968" s="318"/>
      <c r="I968" s="357">
        <f>SUM(I940:I967)</f>
        <v>3200</v>
      </c>
      <c r="J968" s="357">
        <f>SUM(J940:J967)</f>
        <v>-3200</v>
      </c>
      <c r="K968" s="357">
        <f t="shared" si="166" ref="K968:N968">SUM(K940:K967)</f>
        <v>18988</v>
      </c>
      <c r="L968" s="357">
        <f t="shared" si="166"/>
        <v>0</v>
      </c>
      <c r="M968" s="357">
        <f t="shared" si="166"/>
        <v>0</v>
      </c>
      <c r="N968" s="357">
        <f t="shared" si="166"/>
        <v>0</v>
      </c>
      <c r="O968" s="357">
        <f>SUM(O940:O967)</f>
        <v>1431146.74</v>
      </c>
      <c r="P968" s="565">
        <f>ROUND(Q968/O968,1)</f>
        <v>15.4</v>
      </c>
      <c r="Q968" s="357">
        <f>SUM(Q940:Q967)</f>
        <v>22029657.160000004</v>
      </c>
      <c r="S968" s="604">
        <f>'Sch. G 2021'!H44</f>
        <v>1412159</v>
      </c>
      <c r="T968" s="679">
        <f>D968-S968</f>
        <v>-0.26000000000931323</v>
      </c>
    </row>
    <row r="969" spans="1:20" s="598" customFormat="1" ht="15.75" thickTop="1">
      <c r="A969" s="566">
        <f>A967</f>
        <v>3960</v>
      </c>
      <c r="B969" s="490" t="str">
        <f>B967&amp;" - Additions"</f>
        <v>Pwr Op Equip - Additions</v>
      </c>
      <c r="C969" s="490">
        <v>2022</v>
      </c>
      <c r="D969" s="567">
        <f>'Sch. H'!N44</f>
        <v>357895</v>
      </c>
      <c r="E969" s="601">
        <f>Input!$C$14-C969+0.5</f>
        <v>0.5</v>
      </c>
      <c r="F969" s="600">
        <f>D969*E969</f>
        <v>178947.5</v>
      </c>
      <c r="G969" s="600"/>
      <c r="H969" s="317"/>
      <c r="I969" s="600"/>
      <c r="J969" s="600"/>
      <c r="K969" s="600"/>
      <c r="L969" s="600"/>
      <c r="M969" s="600"/>
      <c r="N969" s="600"/>
      <c r="O969" s="600">
        <f t="shared" si="167" ref="O969:O970">SUM(D969,I969:N969)</f>
        <v>357895</v>
      </c>
      <c r="P969" s="601">
        <f t="shared" si="164"/>
        <v>0.5</v>
      </c>
      <c r="Q969" s="600">
        <f t="shared" si="165"/>
        <v>178947.5</v>
      </c>
      <c r="T969" s="679"/>
    </row>
    <row r="970" spans="1:20" s="598" customFormat="1" ht="15">
      <c r="A970" s="566">
        <f>A969</f>
        <v>3960</v>
      </c>
      <c r="B970" s="490" t="str">
        <f>B967&amp;" - Retirements"</f>
        <v>Pwr Op Equip - Retirements</v>
      </c>
      <c r="C970" s="490">
        <v>2022</v>
      </c>
      <c r="D970" s="567">
        <f>-'Sch. F 2022'!BK90</f>
        <v>0</v>
      </c>
      <c r="E970" s="601">
        <f>'Sch. F 2022'!BK92</f>
        <v>0</v>
      </c>
      <c r="F970" s="600">
        <f>D970*E970</f>
        <v>0</v>
      </c>
      <c r="G970" s="600"/>
      <c r="H970" s="317"/>
      <c r="I970" s="600"/>
      <c r="J970" s="600"/>
      <c r="K970" s="600"/>
      <c r="L970" s="600"/>
      <c r="M970" s="600"/>
      <c r="N970" s="600"/>
      <c r="O970" s="600">
        <f t="shared" si="167"/>
        <v>0</v>
      </c>
      <c r="P970" s="601">
        <f t="shared" si="164"/>
        <v>0</v>
      </c>
      <c r="Q970" s="600">
        <f t="shared" si="165"/>
        <v>0</v>
      </c>
      <c r="T970" s="679"/>
    </row>
    <row r="971" spans="1:20" s="598" customFormat="1" ht="13.5" thickBot="1">
      <c r="A971" s="566"/>
      <c r="B971" s="564" t="s">
        <v>557</v>
      </c>
      <c r="C971" s="490"/>
      <c r="D971" s="568">
        <f>SUM(D968:D970)</f>
        <v>1770053.74</v>
      </c>
      <c r="E971" s="565">
        <f>ROUND(F971/D971,1)</f>
        <v>12.5</v>
      </c>
      <c r="F971" s="569">
        <f>SUM(F968:F970)</f>
        <v>22180122.660000004</v>
      </c>
      <c r="G971" s="570"/>
      <c r="H971" s="372"/>
      <c r="I971" s="568">
        <f>SUM(I968:I970)</f>
        <v>3200</v>
      </c>
      <c r="J971" s="568">
        <f>SUM(J968:J970)</f>
        <v>-3200</v>
      </c>
      <c r="K971" s="568">
        <f t="shared" si="168" ref="K971:N971">SUM(K968:K970)</f>
        <v>18988</v>
      </c>
      <c r="L971" s="568">
        <f t="shared" si="168"/>
        <v>0</v>
      </c>
      <c r="M971" s="568">
        <f t="shared" si="168"/>
        <v>0</v>
      </c>
      <c r="N971" s="568">
        <f t="shared" si="168"/>
        <v>0</v>
      </c>
      <c r="O971" s="568">
        <f>SUM(O968:O970)</f>
        <v>1789041.74</v>
      </c>
      <c r="P971" s="565">
        <f>ROUND(Q971/O971,1)</f>
        <v>12.4</v>
      </c>
      <c r="Q971" s="569">
        <f>SUM(Q968:Q970)</f>
        <v>22208604.660000004</v>
      </c>
      <c r="S971" s="604">
        <f>'Sch. G 2022'!H44</f>
        <v>1789042</v>
      </c>
      <c r="T971" s="679">
        <f>O971-S971</f>
        <v>-0.26000000000931323</v>
      </c>
    </row>
    <row r="972" spans="1:20" s="598" customFormat="1" ht="13.5" thickTop="1">
      <c r="A972" s="563"/>
      <c r="B972" s="571"/>
      <c r="D972" s="358"/>
      <c r="E972" s="572"/>
      <c r="F972" s="358"/>
      <c r="G972" s="358"/>
      <c r="H972" s="318"/>
      <c r="I972" s="358"/>
      <c r="J972" s="358"/>
      <c r="K972" s="358"/>
      <c r="L972" s="358"/>
      <c r="M972" s="358"/>
      <c r="N972" s="358"/>
      <c r="O972" s="358"/>
      <c r="P972" s="572"/>
      <c r="Q972" s="358"/>
      <c r="T972" s="679"/>
    </row>
    <row r="973" spans="1:17" s="598" customFormat="1" ht="15" outlineLevel="1">
      <c r="A973" s="597">
        <v>3970</v>
      </c>
      <c r="B973" s="598" t="s">
        <v>546</v>
      </c>
      <c r="C973" s="598">
        <v>2009</v>
      </c>
      <c r="D973" s="599">
        <v>296215.89999999997</v>
      </c>
      <c r="E973" s="601">
        <f>Input!$C$14-C973+0.5</f>
        <v>13.5</v>
      </c>
      <c r="F973" s="600">
        <f t="shared" si="169" ref="F973:F985">D973*E973</f>
        <v>3998914.6499999994</v>
      </c>
      <c r="G973" s="600"/>
      <c r="H973" s="317"/>
      <c r="I973" s="600"/>
      <c r="J973" s="600"/>
      <c r="K973" s="600"/>
      <c r="L973" s="600"/>
      <c r="M973" s="600"/>
      <c r="N973" s="600"/>
      <c r="O973" s="600">
        <f t="shared" si="170" ref="O973:O985">SUM(D973,I973:N973)</f>
        <v>296215.89999999997</v>
      </c>
      <c r="P973" s="601">
        <f t="shared" si="164"/>
        <v>13.5</v>
      </c>
      <c r="Q973" s="600">
        <f t="shared" si="165"/>
        <v>3998914.6499999994</v>
      </c>
    </row>
    <row r="974" spans="1:17" s="598" customFormat="1" ht="15" outlineLevel="1">
      <c r="A974" s="597">
        <v>3970</v>
      </c>
      <c r="B974" s="598" t="s">
        <v>546</v>
      </c>
      <c r="C974" s="598">
        <v>2010</v>
      </c>
      <c r="D974" s="599">
        <v>12053.189999999999</v>
      </c>
      <c r="E974" s="601">
        <f>Input!$C$14-C974+0.5</f>
        <v>12.5</v>
      </c>
      <c r="F974" s="600">
        <f t="shared" si="169"/>
        <v>150664.87499999997</v>
      </c>
      <c r="G974" s="600"/>
      <c r="H974" s="317"/>
      <c r="I974" s="600"/>
      <c r="J974" s="600"/>
      <c r="K974" s="600"/>
      <c r="L974" s="600"/>
      <c r="M974" s="600"/>
      <c r="N974" s="600"/>
      <c r="O974" s="600">
        <f t="shared" si="170"/>
        <v>12053.189999999999</v>
      </c>
      <c r="P974" s="601">
        <f t="shared" si="164"/>
        <v>12.5</v>
      </c>
      <c r="Q974" s="600">
        <f t="shared" si="165"/>
        <v>150664.87499999997</v>
      </c>
    </row>
    <row r="975" spans="1:17" s="598" customFormat="1" ht="15" outlineLevel="1">
      <c r="A975" s="597">
        <v>3970</v>
      </c>
      <c r="B975" s="598" t="s">
        <v>546</v>
      </c>
      <c r="C975" s="598">
        <v>2011</v>
      </c>
      <c r="D975" s="599">
        <v>86287.940000000017</v>
      </c>
      <c r="E975" s="601">
        <f>Input!$C$14-C975+0.5</f>
        <v>11.5</v>
      </c>
      <c r="F975" s="600">
        <f t="shared" si="169"/>
        <v>992311.31000000017</v>
      </c>
      <c r="G975" s="600"/>
      <c r="H975" s="317"/>
      <c r="I975" s="600"/>
      <c r="J975" s="600"/>
      <c r="K975" s="600"/>
      <c r="L975" s="600"/>
      <c r="M975" s="600"/>
      <c r="N975" s="600"/>
      <c r="O975" s="600">
        <f t="shared" si="170"/>
        <v>86287.940000000017</v>
      </c>
      <c r="P975" s="601">
        <f t="shared" si="164"/>
        <v>11.5</v>
      </c>
      <c r="Q975" s="600">
        <f t="shared" si="165"/>
        <v>992311.31000000017</v>
      </c>
    </row>
    <row r="976" spans="1:17" s="598" customFormat="1" ht="15" outlineLevel="1">
      <c r="A976" s="597">
        <v>3970</v>
      </c>
      <c r="B976" s="598" t="s">
        <v>546</v>
      </c>
      <c r="C976" s="598">
        <v>2012</v>
      </c>
      <c r="D976" s="599">
        <v>119557.24000000001</v>
      </c>
      <c r="E976" s="601">
        <f>Input!$C$14-C976+0.5</f>
        <v>10.5</v>
      </c>
      <c r="F976" s="600">
        <f t="shared" si="169"/>
        <v>1255351.02</v>
      </c>
      <c r="G976" s="600"/>
      <c r="H976" s="317"/>
      <c r="I976" s="600"/>
      <c r="J976" s="600"/>
      <c r="K976" s="600"/>
      <c r="L976" s="600"/>
      <c r="M976" s="600"/>
      <c r="N976" s="600"/>
      <c r="O976" s="600">
        <f t="shared" si="170"/>
        <v>119557.24000000001</v>
      </c>
      <c r="P976" s="601">
        <f t="shared" si="164"/>
        <v>10.5</v>
      </c>
      <c r="Q976" s="600">
        <f t="shared" si="165"/>
        <v>1255351.02</v>
      </c>
    </row>
    <row r="977" spans="1:17" s="598" customFormat="1" ht="15" outlineLevel="1">
      <c r="A977" s="597">
        <v>3970</v>
      </c>
      <c r="B977" s="598" t="s">
        <v>546</v>
      </c>
      <c r="C977" s="598">
        <v>2013</v>
      </c>
      <c r="D977" s="599">
        <v>44866.730000000003</v>
      </c>
      <c r="E977" s="601">
        <f>Input!$C$14-C977+0.5</f>
        <v>9.5</v>
      </c>
      <c r="F977" s="600">
        <f t="shared" si="169"/>
        <v>426233.93500000006</v>
      </c>
      <c r="G977" s="600"/>
      <c r="H977" s="317"/>
      <c r="I977" s="600"/>
      <c r="J977" s="600"/>
      <c r="K977" s="600"/>
      <c r="L977" s="600"/>
      <c r="M977" s="600"/>
      <c r="N977" s="600">
        <v>7783.6999999999998</v>
      </c>
      <c r="O977" s="600">
        <f t="shared" si="170"/>
        <v>52650.43</v>
      </c>
      <c r="P977" s="601">
        <f t="shared" si="164"/>
        <v>9.5</v>
      </c>
      <c r="Q977" s="600">
        <f t="shared" si="165"/>
        <v>500179.08500000002</v>
      </c>
    </row>
    <row r="978" spans="1:17" s="598" customFormat="1" ht="15" outlineLevel="1">
      <c r="A978" s="597">
        <v>3970</v>
      </c>
      <c r="B978" s="598" t="s">
        <v>546</v>
      </c>
      <c r="C978" s="598">
        <v>2014</v>
      </c>
      <c r="D978" s="599">
        <v>314610.42999999999</v>
      </c>
      <c r="E978" s="601">
        <f>Input!$C$14-C978+0.5</f>
        <v>8.5</v>
      </c>
      <c r="F978" s="600">
        <f t="shared" si="169"/>
        <v>2674188.6549999998</v>
      </c>
      <c r="G978" s="600"/>
      <c r="H978" s="317"/>
      <c r="I978" s="600"/>
      <c r="J978" s="600"/>
      <c r="K978" s="600"/>
      <c r="L978" s="600"/>
      <c r="M978" s="600"/>
      <c r="N978" s="600"/>
      <c r="O978" s="600">
        <f t="shared" si="170"/>
        <v>314610.42999999999</v>
      </c>
      <c r="P978" s="601">
        <f t="shared" si="164"/>
        <v>8.5</v>
      </c>
      <c r="Q978" s="600">
        <f t="shared" si="165"/>
        <v>2674188.6549999998</v>
      </c>
    </row>
    <row r="979" spans="1:17" s="598" customFormat="1" ht="15" outlineLevel="1">
      <c r="A979" s="597">
        <v>3970</v>
      </c>
      <c r="B979" s="598" t="s">
        <v>546</v>
      </c>
      <c r="C979" s="598">
        <v>2015</v>
      </c>
      <c r="D979" s="599">
        <v>123428.17999999999</v>
      </c>
      <c r="E979" s="601">
        <f>Input!$C$14-C979+0.5</f>
        <v>7.5</v>
      </c>
      <c r="F979" s="600">
        <f t="shared" si="169"/>
        <v>925711.34999999998</v>
      </c>
      <c r="G979" s="600"/>
      <c r="H979" s="317"/>
      <c r="I979" s="600"/>
      <c r="J979" s="600"/>
      <c r="K979" s="600"/>
      <c r="L979" s="600"/>
      <c r="M979" s="600"/>
      <c r="N979" s="600"/>
      <c r="O979" s="600">
        <f t="shared" si="170"/>
        <v>123428.17999999999</v>
      </c>
      <c r="P979" s="601">
        <f t="shared" si="164"/>
        <v>7.5</v>
      </c>
      <c r="Q979" s="600">
        <f t="shared" si="165"/>
        <v>925711.34999999998</v>
      </c>
    </row>
    <row r="980" spans="1:17" s="598" customFormat="1" ht="15" outlineLevel="1">
      <c r="A980" s="597">
        <v>3970</v>
      </c>
      <c r="B980" s="598" t="s">
        <v>546</v>
      </c>
      <c r="C980" s="598">
        <v>2016</v>
      </c>
      <c r="D980" s="599">
        <v>231466.40999999997</v>
      </c>
      <c r="E980" s="601">
        <f>Input!$C$14-C980+0.5</f>
        <v>6.5</v>
      </c>
      <c r="F980" s="600">
        <f t="shared" si="169"/>
        <v>1504531.6649999998</v>
      </c>
      <c r="G980" s="600"/>
      <c r="H980" s="317"/>
      <c r="I980" s="600"/>
      <c r="J980" s="600"/>
      <c r="K980" s="600"/>
      <c r="L980" s="600"/>
      <c r="M980" s="600"/>
      <c r="N980" s="600"/>
      <c r="O980" s="600">
        <f t="shared" si="170"/>
        <v>231466.40999999997</v>
      </c>
      <c r="P980" s="601">
        <f t="shared" si="164"/>
        <v>6.5</v>
      </c>
      <c r="Q980" s="600">
        <f t="shared" si="165"/>
        <v>1504531.6649999998</v>
      </c>
    </row>
    <row r="981" spans="1:17" s="598" customFormat="1" ht="15" outlineLevel="1">
      <c r="A981" s="597">
        <v>3970</v>
      </c>
      <c r="B981" s="598" t="s">
        <v>546</v>
      </c>
      <c r="C981" s="598">
        <v>2017</v>
      </c>
      <c r="D981" s="599">
        <v>213573.65999999997</v>
      </c>
      <c r="E981" s="601">
        <f>Input!$C$14-C981+0.5</f>
        <v>5.5</v>
      </c>
      <c r="F981" s="600">
        <f t="shared" si="169"/>
        <v>1174655.1299999999</v>
      </c>
      <c r="G981" s="600"/>
      <c r="H981" s="317"/>
      <c r="I981" s="600"/>
      <c r="J981" s="600"/>
      <c r="K981" s="600"/>
      <c r="L981" s="600"/>
      <c r="M981" s="600"/>
      <c r="N981" s="600"/>
      <c r="O981" s="600">
        <f t="shared" si="170"/>
        <v>213573.65999999997</v>
      </c>
      <c r="P981" s="601">
        <f t="shared" si="164"/>
        <v>5.5</v>
      </c>
      <c r="Q981" s="600">
        <f t="shared" si="165"/>
        <v>1174655.1299999999</v>
      </c>
    </row>
    <row r="982" spans="1:17" s="598" customFormat="1" ht="15" outlineLevel="1">
      <c r="A982" s="597">
        <v>3970</v>
      </c>
      <c r="B982" s="598" t="s">
        <v>546</v>
      </c>
      <c r="C982" s="598">
        <v>2018</v>
      </c>
      <c r="D982" s="599">
        <v>465774.93999999994</v>
      </c>
      <c r="E982" s="601">
        <f>Input!$C$14-C982+0.5</f>
        <v>4.5</v>
      </c>
      <c r="F982" s="600">
        <f t="shared" si="169"/>
        <v>2095987.2299999997</v>
      </c>
      <c r="G982" s="600"/>
      <c r="H982" s="317"/>
      <c r="I982" s="600"/>
      <c r="J982" s="600"/>
      <c r="K982" s="600"/>
      <c r="L982" s="600"/>
      <c r="M982" s="600"/>
      <c r="N982" s="600"/>
      <c r="O982" s="600">
        <f t="shared" si="170"/>
        <v>465774.93999999994</v>
      </c>
      <c r="P982" s="601">
        <f t="shared" si="164"/>
        <v>4.5</v>
      </c>
      <c r="Q982" s="600">
        <f t="shared" si="165"/>
        <v>2095987.2299999997</v>
      </c>
    </row>
    <row r="983" spans="1:17" s="598" customFormat="1" ht="15" outlineLevel="1">
      <c r="A983" s="597">
        <v>3970</v>
      </c>
      <c r="B983" s="598" t="s">
        <v>546</v>
      </c>
      <c r="C983" s="598">
        <v>2019</v>
      </c>
      <c r="D983" s="599">
        <v>404813.93000000005</v>
      </c>
      <c r="E983" s="601">
        <f>Input!$C$14-C983+0.5</f>
        <v>3.5</v>
      </c>
      <c r="F983" s="600">
        <f t="shared" si="169"/>
        <v>1416848.7550000001</v>
      </c>
      <c r="G983" s="600"/>
      <c r="H983" s="317"/>
      <c r="I983" s="600"/>
      <c r="J983" s="600"/>
      <c r="K983" s="600"/>
      <c r="L983" s="600"/>
      <c r="M983" s="600"/>
      <c r="N983" s="600"/>
      <c r="O983" s="600">
        <f t="shared" si="170"/>
        <v>404813.93000000005</v>
      </c>
      <c r="P983" s="601">
        <f t="shared" si="164"/>
        <v>3.5</v>
      </c>
      <c r="Q983" s="600">
        <f t="shared" si="165"/>
        <v>1416848.7550000001</v>
      </c>
    </row>
    <row r="984" spans="1:17" s="598" customFormat="1" ht="15" outlineLevel="1">
      <c r="A984" s="597">
        <v>3970</v>
      </c>
      <c r="B984" s="598" t="s">
        <v>546</v>
      </c>
      <c r="C984" s="598">
        <v>2020</v>
      </c>
      <c r="D984" s="599">
        <v>233045.76000000001</v>
      </c>
      <c r="E984" s="601">
        <f>Input!$C$14-C984+0.5</f>
        <v>2.5</v>
      </c>
      <c r="F984" s="600">
        <f t="shared" si="169"/>
        <v>582614.40000000002</v>
      </c>
      <c r="G984" s="600"/>
      <c r="H984" s="317"/>
      <c r="I984" s="600"/>
      <c r="J984" s="600"/>
      <c r="K984" s="600"/>
      <c r="L984" s="600"/>
      <c r="M984" s="600"/>
      <c r="N984" s="600"/>
      <c r="O984" s="600">
        <f t="shared" si="170"/>
        <v>233045.76000000001</v>
      </c>
      <c r="P984" s="601">
        <f t="shared" si="164"/>
        <v>2.5</v>
      </c>
      <c r="Q984" s="600">
        <f t="shared" si="165"/>
        <v>582614.40000000002</v>
      </c>
    </row>
    <row r="985" spans="1:17" s="598" customFormat="1" ht="15" outlineLevel="1">
      <c r="A985" s="597">
        <v>3970</v>
      </c>
      <c r="B985" s="598" t="s">
        <v>546</v>
      </c>
      <c r="C985" s="598">
        <v>2021</v>
      </c>
      <c r="D985" s="599">
        <v>82785.910000000003</v>
      </c>
      <c r="E985" s="601">
        <f>Input!$C$14-C985+0.5</f>
        <v>1.5</v>
      </c>
      <c r="F985" s="600">
        <f t="shared" si="169"/>
        <v>124178.86500000001</v>
      </c>
      <c r="G985" s="600"/>
      <c r="H985" s="317"/>
      <c r="I985" s="600"/>
      <c r="J985" s="600"/>
      <c r="K985" s="600"/>
      <c r="L985" s="600"/>
      <c r="M985" s="600"/>
      <c r="N985" s="600"/>
      <c r="O985" s="600">
        <f t="shared" si="170"/>
        <v>82785.910000000003</v>
      </c>
      <c r="P985" s="601">
        <f t="shared" si="164"/>
        <v>1.5</v>
      </c>
      <c r="Q985" s="600">
        <f t="shared" si="165"/>
        <v>124178.86500000001</v>
      </c>
    </row>
    <row r="986" spans="1:20" s="598" customFormat="1" ht="13.5" thickBot="1">
      <c r="A986" s="563">
        <f>A985</f>
        <v>3970</v>
      </c>
      <c r="B986" s="564" t="s">
        <v>496</v>
      </c>
      <c r="D986" s="357">
        <f>SUM(D973:D985)</f>
        <v>2628480.2199999997</v>
      </c>
      <c r="E986" s="565">
        <f>ROUND(F986/D986,1)</f>
        <v>6.5999999999999996</v>
      </c>
      <c r="F986" s="357">
        <f>SUM(F973:F985)</f>
        <v>17322191.84</v>
      </c>
      <c r="G986" s="358"/>
      <c r="H986" s="318"/>
      <c r="I986" s="357">
        <f>SUM(I973:I985)</f>
        <v>0</v>
      </c>
      <c r="J986" s="357">
        <f>SUM(J973:J985)</f>
        <v>0</v>
      </c>
      <c r="K986" s="357">
        <f t="shared" si="171" ref="K986:N986">SUM(K973:K985)</f>
        <v>0</v>
      </c>
      <c r="L986" s="357">
        <f t="shared" si="171"/>
        <v>0</v>
      </c>
      <c r="M986" s="357">
        <f t="shared" si="171"/>
        <v>0</v>
      </c>
      <c r="N986" s="357">
        <f t="shared" si="171"/>
        <v>7783.6999999999998</v>
      </c>
      <c r="O986" s="357">
        <f>SUM(O973:O985)</f>
        <v>2636263.9199999999</v>
      </c>
      <c r="P986" s="565">
        <f>ROUND(Q986/O986,1)</f>
        <v>6.5999999999999996</v>
      </c>
      <c r="Q986" s="357">
        <f>SUM(Q973:Q985)</f>
        <v>17396136.989999998</v>
      </c>
      <c r="S986" s="604">
        <f>'Sch. G 2021'!H45</f>
        <v>2628479</v>
      </c>
      <c r="T986" s="679">
        <f>D986-S986</f>
        <v>1.2199999997392297</v>
      </c>
    </row>
    <row r="987" spans="1:20" s="598" customFormat="1" ht="15.75" thickTop="1">
      <c r="A987" s="566">
        <f>A985</f>
        <v>3970</v>
      </c>
      <c r="B987" s="490" t="str">
        <f>B985&amp;" - Additions"</f>
        <v>Comm Eq - Additions</v>
      </c>
      <c r="C987" s="490">
        <v>2022</v>
      </c>
      <c r="D987" s="567">
        <f>'Sch. H'!N45</f>
        <v>11000</v>
      </c>
      <c r="E987" s="601">
        <f>Input!$C$14-C987+0.5</f>
        <v>0.5</v>
      </c>
      <c r="F987" s="600">
        <f>D987*E987</f>
        <v>5500</v>
      </c>
      <c r="G987" s="600"/>
      <c r="H987" s="317"/>
      <c r="I987" s="600"/>
      <c r="J987" s="600"/>
      <c r="K987" s="600"/>
      <c r="L987" s="600"/>
      <c r="M987" s="600"/>
      <c r="N987" s="600"/>
      <c r="O987" s="600">
        <f t="shared" si="172" ref="O987:O988">SUM(D987,I987:N987)</f>
        <v>11000</v>
      </c>
      <c r="P987" s="601">
        <f t="shared" si="164"/>
        <v>0.5</v>
      </c>
      <c r="Q987" s="600">
        <f t="shared" si="165"/>
        <v>5500</v>
      </c>
      <c r="T987" s="679"/>
    </row>
    <row r="988" spans="1:20" s="598" customFormat="1" ht="15">
      <c r="A988" s="566">
        <f>A987</f>
        <v>3970</v>
      </c>
      <c r="B988" s="490" t="str">
        <f>B985&amp;" - Retirements"</f>
        <v>Comm Eq - Retirements</v>
      </c>
      <c r="C988" s="490">
        <v>2022</v>
      </c>
      <c r="D988" s="567">
        <f>-'Sch. F 2022'!BM90</f>
        <v>-296215.89999999997</v>
      </c>
      <c r="E988" s="601">
        <f>'Sch. F 2022'!BM92</f>
        <v>13.5</v>
      </c>
      <c r="F988" s="600">
        <f>D988*E988</f>
        <v>-3998914.6499999994</v>
      </c>
      <c r="G988" s="600"/>
      <c r="H988" s="317"/>
      <c r="I988" s="600"/>
      <c r="J988" s="600"/>
      <c r="K988" s="600"/>
      <c r="L988" s="600"/>
      <c r="M988" s="600"/>
      <c r="N988" s="600"/>
      <c r="O988" s="600">
        <f t="shared" si="172"/>
        <v>-296215.89999999997</v>
      </c>
      <c r="P988" s="601">
        <f t="shared" si="164"/>
        <v>13.5</v>
      </c>
      <c r="Q988" s="600">
        <f t="shared" si="165"/>
        <v>-3998914.6499999994</v>
      </c>
      <c r="T988" s="679"/>
    </row>
    <row r="989" spans="1:20" s="598" customFormat="1" ht="13.5" thickBot="1">
      <c r="A989" s="566"/>
      <c r="B989" s="564" t="s">
        <v>557</v>
      </c>
      <c r="C989" s="490"/>
      <c r="D989" s="568">
        <f>SUM(D986:D988)</f>
        <v>2343264.3199999998</v>
      </c>
      <c r="E989" s="565">
        <f>ROUND(F989/D989,1)</f>
        <v>5.7000000000000002</v>
      </c>
      <c r="F989" s="569">
        <f>SUM(F986:F988)</f>
        <v>13328777.190000001</v>
      </c>
      <c r="G989" s="570"/>
      <c r="H989" s="372"/>
      <c r="I989" s="568">
        <f>SUM(I986:I988)</f>
        <v>0</v>
      </c>
      <c r="J989" s="568">
        <f>SUM(J986:J988)</f>
        <v>0</v>
      </c>
      <c r="K989" s="568">
        <f t="shared" si="173" ref="K989:N989">SUM(K986:K988)</f>
        <v>0</v>
      </c>
      <c r="L989" s="568">
        <f t="shared" si="173"/>
        <v>0</v>
      </c>
      <c r="M989" s="568">
        <f t="shared" si="173"/>
        <v>0</v>
      </c>
      <c r="N989" s="568">
        <f t="shared" si="173"/>
        <v>7783.6999999999998</v>
      </c>
      <c r="O989" s="568">
        <f>SUM(O986:O988)</f>
        <v>2351048.02</v>
      </c>
      <c r="P989" s="565">
        <f>ROUND(Q989/O989,1)</f>
        <v>5.7000000000000002</v>
      </c>
      <c r="Q989" s="569">
        <f>SUM(Q986:Q988)</f>
        <v>13402722.34</v>
      </c>
      <c r="S989" s="604">
        <f>'Sch. G 2022'!H45</f>
        <v>2351047</v>
      </c>
      <c r="T989" s="679">
        <f>O989-S989</f>
        <v>1.0200000000186265</v>
      </c>
    </row>
    <row r="990" spans="1:20" s="598" customFormat="1" ht="13.5" thickTop="1">
      <c r="A990" s="563"/>
      <c r="B990" s="571"/>
      <c r="D990" s="358"/>
      <c r="E990" s="572"/>
      <c r="F990" s="358"/>
      <c r="G990" s="358"/>
      <c r="H990" s="318"/>
      <c r="I990" s="358"/>
      <c r="J990" s="358"/>
      <c r="K990" s="358"/>
      <c r="L990" s="358"/>
      <c r="M990" s="358"/>
      <c r="N990" s="358"/>
      <c r="O990" s="358"/>
      <c r="P990" s="572"/>
      <c r="Q990" s="358"/>
      <c r="T990" s="679"/>
    </row>
    <row r="991" spans="1:20" s="598" customFormat="1" ht="15" outlineLevel="1">
      <c r="A991" s="597">
        <v>3980</v>
      </c>
      <c r="B991" s="598" t="s">
        <v>547</v>
      </c>
      <c r="C991" s="598">
        <v>2005</v>
      </c>
      <c r="D991" s="599">
        <f>13720.49+9472.24</f>
        <v>23192.73</v>
      </c>
      <c r="E991" s="601">
        <f>Input!$C$14-C991+0.5</f>
        <v>17.5</v>
      </c>
      <c r="F991" s="600">
        <f t="shared" si="174" ref="F991:F1002">D991*E991</f>
        <v>405872.77499999997</v>
      </c>
      <c r="G991" s="600"/>
      <c r="H991" s="317"/>
      <c r="I991" s="600"/>
      <c r="J991" s="600"/>
      <c r="K991" s="600"/>
      <c r="L991" s="600"/>
      <c r="M991" s="600"/>
      <c r="N991" s="600"/>
      <c r="O991" s="600">
        <f t="shared" si="175" ref="O991:O1002">SUM(D991,I991:N991)</f>
        <v>23192.73</v>
      </c>
      <c r="P991" s="601">
        <f t="shared" si="164"/>
        <v>17.5</v>
      </c>
      <c r="Q991" s="600">
        <f t="shared" si="165"/>
        <v>405872.77499999997</v>
      </c>
      <c r="T991" s="679"/>
    </row>
    <row r="992" spans="1:20" s="598" customFormat="1" ht="15" outlineLevel="1">
      <c r="A992" s="597">
        <v>3980</v>
      </c>
      <c r="B992" s="598" t="s">
        <v>547</v>
      </c>
      <c r="C992" s="598">
        <v>2006</v>
      </c>
      <c r="D992" s="599">
        <f>107870.95+4175</f>
        <v>112045.95</v>
      </c>
      <c r="E992" s="601">
        <f>Input!$C$14-C992+0.5</f>
        <v>16.5</v>
      </c>
      <c r="F992" s="600">
        <f t="shared" si="174"/>
        <v>1848758.175</v>
      </c>
      <c r="G992" s="600"/>
      <c r="H992" s="317"/>
      <c r="I992" s="600"/>
      <c r="J992" s="600"/>
      <c r="K992" s="600"/>
      <c r="L992" s="600"/>
      <c r="M992" s="600"/>
      <c r="N992" s="600"/>
      <c r="O992" s="600">
        <f t="shared" si="175"/>
        <v>112045.95</v>
      </c>
      <c r="P992" s="601">
        <f t="shared" si="164"/>
        <v>16.5</v>
      </c>
      <c r="Q992" s="600">
        <f t="shared" si="165"/>
        <v>1848758.175</v>
      </c>
      <c r="T992" s="679"/>
    </row>
    <row r="993" spans="1:20" s="598" customFormat="1" ht="15" outlineLevel="1">
      <c r="A993" s="597">
        <v>3980</v>
      </c>
      <c r="B993" s="598" t="s">
        <v>547</v>
      </c>
      <c r="C993" s="598">
        <v>2007</v>
      </c>
      <c r="D993" s="599">
        <v>12961.710000000001</v>
      </c>
      <c r="E993" s="601">
        <f>Input!$C$14-C993+0.5</f>
        <v>15.5</v>
      </c>
      <c r="F993" s="600">
        <f t="shared" si="174"/>
        <v>200906.505</v>
      </c>
      <c r="G993" s="600"/>
      <c r="H993" s="317"/>
      <c r="I993" s="600"/>
      <c r="J993" s="600"/>
      <c r="K993" s="600"/>
      <c r="L993" s="600"/>
      <c r="M993" s="600"/>
      <c r="N993" s="600"/>
      <c r="O993" s="600">
        <f t="shared" si="175"/>
        <v>12961.710000000001</v>
      </c>
      <c r="P993" s="601">
        <f t="shared" si="164"/>
        <v>15.5</v>
      </c>
      <c r="Q993" s="600">
        <f t="shared" si="165"/>
        <v>200906.505</v>
      </c>
      <c r="T993" s="679"/>
    </row>
    <row r="994" spans="1:20" s="598" customFormat="1" ht="15" outlineLevel="1">
      <c r="A994" s="597">
        <v>3980</v>
      </c>
      <c r="B994" s="598" t="s">
        <v>547</v>
      </c>
      <c r="C994" s="598">
        <v>2008</v>
      </c>
      <c r="D994" s="599">
        <v>41812.970000000008</v>
      </c>
      <c r="E994" s="601">
        <f>Input!$C$14-C994+0.5</f>
        <v>14.5</v>
      </c>
      <c r="F994" s="600">
        <f t="shared" si="174"/>
        <v>606288.06500000018</v>
      </c>
      <c r="G994" s="600"/>
      <c r="H994" s="317"/>
      <c r="I994" s="600"/>
      <c r="J994" s="600"/>
      <c r="K994" s="600"/>
      <c r="L994" s="600"/>
      <c r="M994" s="600"/>
      <c r="N994" s="600"/>
      <c r="O994" s="600">
        <f t="shared" si="175"/>
        <v>41812.970000000008</v>
      </c>
      <c r="P994" s="601">
        <f t="shared" si="164"/>
        <v>14.5</v>
      </c>
      <c r="Q994" s="600">
        <f t="shared" si="165"/>
        <v>606288.06500000018</v>
      </c>
      <c r="T994" s="679"/>
    </row>
    <row r="995" spans="1:20" s="598" customFormat="1" ht="15" outlineLevel="1">
      <c r="A995" s="597">
        <v>3980</v>
      </c>
      <c r="B995" s="598" t="s">
        <v>547</v>
      </c>
      <c r="C995" s="598">
        <v>2009</v>
      </c>
      <c r="D995" s="599">
        <v>438.68999999999983</v>
      </c>
      <c r="E995" s="601">
        <f>Input!$C$14-C995+0.5</f>
        <v>13.5</v>
      </c>
      <c r="F995" s="600">
        <f t="shared" si="174"/>
        <v>5922.3149999999978</v>
      </c>
      <c r="G995" s="600"/>
      <c r="H995" s="317"/>
      <c r="I995" s="600"/>
      <c r="J995" s="600"/>
      <c r="K995" s="600"/>
      <c r="L995" s="600"/>
      <c r="M995" s="600"/>
      <c r="N995" s="600"/>
      <c r="O995" s="600">
        <f t="shared" si="175"/>
        <v>438.68999999999983</v>
      </c>
      <c r="P995" s="601">
        <f t="shared" si="164"/>
        <v>13.5</v>
      </c>
      <c r="Q995" s="600">
        <f t="shared" si="165"/>
        <v>5922.3149999999978</v>
      </c>
      <c r="T995" s="679"/>
    </row>
    <row r="996" spans="1:20" s="598" customFormat="1" ht="15" outlineLevel="1">
      <c r="A996" s="597">
        <v>3980</v>
      </c>
      <c r="B996" s="598" t="s">
        <v>547</v>
      </c>
      <c r="C996" s="598">
        <v>2010</v>
      </c>
      <c r="D996" s="599">
        <f>14858.56-13647.24</f>
        <v>1211.3199999999997</v>
      </c>
      <c r="E996" s="601">
        <f>Input!$C$14-C996+0.5</f>
        <v>12.5</v>
      </c>
      <c r="F996" s="600">
        <f t="shared" si="174"/>
        <v>15141.499999999996</v>
      </c>
      <c r="G996" s="600"/>
      <c r="H996" s="317"/>
      <c r="I996" s="600"/>
      <c r="J996" s="600"/>
      <c r="K996" s="600"/>
      <c r="L996" s="600"/>
      <c r="M996" s="600"/>
      <c r="N996" s="600"/>
      <c r="O996" s="600">
        <f t="shared" si="175"/>
        <v>1211.3199999999997</v>
      </c>
      <c r="P996" s="601">
        <f t="shared" si="164"/>
        <v>12.5</v>
      </c>
      <c r="Q996" s="600">
        <f t="shared" si="165"/>
        <v>15141.499999999996</v>
      </c>
      <c r="T996" s="679"/>
    </row>
    <row r="997" spans="1:20" s="598" customFormat="1" ht="15" outlineLevel="1">
      <c r="A997" s="597">
        <v>3980</v>
      </c>
      <c r="B997" s="598" t="s">
        <v>547</v>
      </c>
      <c r="C997" s="598">
        <v>2011</v>
      </c>
      <c r="D997" s="599">
        <v>4713.7000000000007</v>
      </c>
      <c r="E997" s="601">
        <f>Input!$C$14-C997+0.5</f>
        <v>11.5</v>
      </c>
      <c r="F997" s="600">
        <f t="shared" si="174"/>
        <v>54207.55000000001</v>
      </c>
      <c r="G997" s="600"/>
      <c r="H997" s="317"/>
      <c r="I997" s="600"/>
      <c r="J997" s="600"/>
      <c r="K997" s="600"/>
      <c r="L997" s="600"/>
      <c r="M997" s="600"/>
      <c r="N997" s="600"/>
      <c r="O997" s="600">
        <f t="shared" si="175"/>
        <v>4713.7000000000007</v>
      </c>
      <c r="P997" s="601">
        <f t="shared" si="164"/>
        <v>11.5</v>
      </c>
      <c r="Q997" s="600">
        <f t="shared" si="165"/>
        <v>54207.55000000001</v>
      </c>
      <c r="T997" s="679"/>
    </row>
    <row r="998" spans="1:20" s="598" customFormat="1" ht="15" outlineLevel="1">
      <c r="A998" s="597">
        <v>3980</v>
      </c>
      <c r="B998" s="598" t="s">
        <v>547</v>
      </c>
      <c r="C998" s="598">
        <v>2012</v>
      </c>
      <c r="D998" s="599">
        <v>10537.67</v>
      </c>
      <c r="E998" s="601">
        <f>Input!$C$14-C998+0.5</f>
        <v>10.5</v>
      </c>
      <c r="F998" s="600">
        <f t="shared" si="174"/>
        <v>110645.535</v>
      </c>
      <c r="G998" s="600"/>
      <c r="H998" s="317"/>
      <c r="I998" s="600"/>
      <c r="J998" s="600"/>
      <c r="K998" s="600"/>
      <c r="L998" s="600"/>
      <c r="M998" s="600"/>
      <c r="N998" s="600"/>
      <c r="O998" s="600">
        <f t="shared" si="175"/>
        <v>10537.67</v>
      </c>
      <c r="P998" s="601">
        <f t="shared" si="176" ref="P998:P1010">E998</f>
        <v>10.5</v>
      </c>
      <c r="Q998" s="600">
        <f t="shared" si="177" ref="Q998:Q1005">O998*P998</f>
        <v>110645.535</v>
      </c>
      <c r="T998" s="679"/>
    </row>
    <row r="999" spans="1:20" s="598" customFormat="1" ht="15" outlineLevel="1">
      <c r="A999" s="597">
        <v>3980</v>
      </c>
      <c r="B999" s="598" t="s">
        <v>547</v>
      </c>
      <c r="C999" s="598">
        <v>2013</v>
      </c>
      <c r="D999" s="599">
        <v>9440.5100000000002</v>
      </c>
      <c r="E999" s="601">
        <f>Input!$C$14-C999+0.5</f>
        <v>9.5</v>
      </c>
      <c r="F999" s="600">
        <f t="shared" si="174"/>
        <v>89684.845000000001</v>
      </c>
      <c r="G999" s="600"/>
      <c r="H999" s="317"/>
      <c r="I999" s="600"/>
      <c r="J999" s="600"/>
      <c r="K999" s="600"/>
      <c r="L999" s="600"/>
      <c r="M999" s="600"/>
      <c r="N999" s="600">
        <v>16476.720000000001</v>
      </c>
      <c r="O999" s="600">
        <f t="shared" si="175"/>
        <v>25917.230000000003</v>
      </c>
      <c r="P999" s="601">
        <f t="shared" si="176"/>
        <v>9.5</v>
      </c>
      <c r="Q999" s="600">
        <f t="shared" si="177"/>
        <v>246213.68500000003</v>
      </c>
      <c r="T999" s="679"/>
    </row>
    <row r="1000" spans="1:20" s="598" customFormat="1" ht="15" outlineLevel="1">
      <c r="A1000" s="597">
        <v>3980</v>
      </c>
      <c r="B1000" s="598" t="s">
        <v>547</v>
      </c>
      <c r="C1000" s="598">
        <v>2014</v>
      </c>
      <c r="D1000" s="599">
        <v>88100.149999999994</v>
      </c>
      <c r="E1000" s="601">
        <f>Input!$C$14-C1000+0.5</f>
        <v>8.5</v>
      </c>
      <c r="F1000" s="600">
        <f t="shared" si="174"/>
        <v>748851.27499999991</v>
      </c>
      <c r="G1000" s="600"/>
      <c r="H1000" s="317"/>
      <c r="I1000" s="600"/>
      <c r="J1000" s="600"/>
      <c r="K1000" s="600"/>
      <c r="L1000" s="600"/>
      <c r="M1000" s="600"/>
      <c r="N1000" s="600"/>
      <c r="O1000" s="600">
        <f t="shared" si="175"/>
        <v>88100.149999999994</v>
      </c>
      <c r="P1000" s="601">
        <f t="shared" si="176"/>
        <v>8.5</v>
      </c>
      <c r="Q1000" s="600">
        <f t="shared" si="177"/>
        <v>748851.27499999991</v>
      </c>
      <c r="T1000" s="679"/>
    </row>
    <row r="1001" spans="1:20" s="598" customFormat="1" ht="15" outlineLevel="1">
      <c r="A1001" s="597">
        <v>3980</v>
      </c>
      <c r="B1001" s="598" t="s">
        <v>547</v>
      </c>
      <c r="C1001" s="598">
        <v>2015</v>
      </c>
      <c r="D1001" s="599">
        <v>21465.070000000003</v>
      </c>
      <c r="E1001" s="601">
        <f>Input!$C$14-C1001+0.5</f>
        <v>7.5</v>
      </c>
      <c r="F1001" s="600">
        <f t="shared" si="174"/>
        <v>160988.02500000002</v>
      </c>
      <c r="G1001" s="600"/>
      <c r="H1001" s="317"/>
      <c r="I1001" s="600"/>
      <c r="J1001" s="600"/>
      <c r="K1001" s="600"/>
      <c r="L1001" s="600"/>
      <c r="M1001" s="600"/>
      <c r="N1001" s="600"/>
      <c r="O1001" s="600">
        <f t="shared" si="175"/>
        <v>21465.070000000003</v>
      </c>
      <c r="P1001" s="601">
        <f t="shared" si="176"/>
        <v>7.5</v>
      </c>
      <c r="Q1001" s="600">
        <f t="shared" si="177"/>
        <v>160988.02500000002</v>
      </c>
      <c r="T1001" s="679"/>
    </row>
    <row r="1002" spans="1:20" s="598" customFormat="1" ht="15" outlineLevel="1">
      <c r="A1002" s="597">
        <v>3980</v>
      </c>
      <c r="B1002" s="598" t="s">
        <v>547</v>
      </c>
      <c r="C1002" s="598">
        <v>2019</v>
      </c>
      <c r="D1002" s="599">
        <v>46185.080000000002</v>
      </c>
      <c r="E1002" s="601">
        <f>Input!$C$14-C1002+0.5</f>
        <v>3.5</v>
      </c>
      <c r="F1002" s="600">
        <f t="shared" si="174"/>
        <v>161647.78</v>
      </c>
      <c r="G1002" s="600"/>
      <c r="H1002" s="317"/>
      <c r="I1002" s="600"/>
      <c r="J1002" s="600"/>
      <c r="K1002" s="600"/>
      <c r="L1002" s="600"/>
      <c r="M1002" s="600"/>
      <c r="N1002" s="600"/>
      <c r="O1002" s="600">
        <f t="shared" si="175"/>
        <v>46185.080000000002</v>
      </c>
      <c r="P1002" s="601">
        <f t="shared" si="176"/>
        <v>3.5</v>
      </c>
      <c r="Q1002" s="600">
        <f t="shared" si="177"/>
        <v>161647.78</v>
      </c>
      <c r="T1002" s="679"/>
    </row>
    <row r="1003" spans="1:20" s="598" customFormat="1" ht="13.5" thickBot="1">
      <c r="A1003" s="563">
        <f>A1002</f>
        <v>3980</v>
      </c>
      <c r="B1003" s="564" t="s">
        <v>496</v>
      </c>
      <c r="D1003" s="357">
        <f>SUM(D991:D1002)</f>
        <v>372105.55000000005</v>
      </c>
      <c r="E1003" s="565">
        <f>ROUND(F1003/D1003,1)</f>
        <v>11.800000000000001</v>
      </c>
      <c r="F1003" s="357">
        <f>SUM(F991:F1002)</f>
        <v>4408914.3450000007</v>
      </c>
      <c r="G1003" s="358"/>
      <c r="H1003" s="318"/>
      <c r="I1003" s="357">
        <f>SUM(I991:I1002)</f>
        <v>0</v>
      </c>
      <c r="J1003" s="357">
        <f>SUM(J991:J1002)</f>
        <v>0</v>
      </c>
      <c r="K1003" s="357">
        <f t="shared" si="178" ref="K1003:N1003">SUM(K991:K1002)</f>
        <v>0</v>
      </c>
      <c r="L1003" s="357">
        <f t="shared" si="178"/>
        <v>0</v>
      </c>
      <c r="M1003" s="357">
        <f t="shared" si="178"/>
        <v>0</v>
      </c>
      <c r="N1003" s="357">
        <f t="shared" si="178"/>
        <v>16476.720000000001</v>
      </c>
      <c r="O1003" s="357">
        <f>SUM(O991:O1002)</f>
        <v>388582.27000000002</v>
      </c>
      <c r="P1003" s="565">
        <f>ROUND(Q1003/O1003,1)</f>
        <v>11.699999999999999</v>
      </c>
      <c r="Q1003" s="357">
        <f>SUM(Q991:Q1002)</f>
        <v>4565443.1850000015</v>
      </c>
      <c r="S1003" s="604">
        <f>'Sch. G 2021'!H46</f>
        <v>372105</v>
      </c>
      <c r="T1003" s="679">
        <f>D1003-S1003</f>
        <v>0.55000000004656613</v>
      </c>
    </row>
    <row r="1004" spans="1:20" s="598" customFormat="1" ht="15.75" thickTop="1">
      <c r="A1004" s="566">
        <f>A1002</f>
        <v>3980</v>
      </c>
      <c r="B1004" s="490" t="str">
        <f>B1002&amp;" - Additions"</f>
        <v>Misc Equip - Additions</v>
      </c>
      <c r="C1004" s="490">
        <v>2022</v>
      </c>
      <c r="D1004" s="567">
        <f>'Sch. H'!N46</f>
        <v>500</v>
      </c>
      <c r="E1004" s="601">
        <f>Input!$C$14-C1004+0.5</f>
        <v>0.5</v>
      </c>
      <c r="F1004" s="600">
        <f>D1004*E1004</f>
        <v>250</v>
      </c>
      <c r="G1004" s="600"/>
      <c r="H1004" s="317"/>
      <c r="I1004" s="600"/>
      <c r="J1004" s="600"/>
      <c r="K1004" s="600"/>
      <c r="L1004" s="600"/>
      <c r="M1004" s="600"/>
      <c r="N1004" s="600"/>
      <c r="O1004" s="600">
        <f t="shared" si="179" ref="O1004:O1005">SUM(D1004,I1004:N1004)</f>
        <v>500</v>
      </c>
      <c r="P1004" s="601">
        <f t="shared" si="176"/>
        <v>0.5</v>
      </c>
      <c r="Q1004" s="600">
        <f t="shared" si="177"/>
        <v>250</v>
      </c>
      <c r="T1004" s="679"/>
    </row>
    <row r="1005" spans="1:20" s="598" customFormat="1" ht="15">
      <c r="A1005" s="566">
        <f>A1004</f>
        <v>3980</v>
      </c>
      <c r="B1005" s="490" t="str">
        <f>B1002&amp;" - Retirements"</f>
        <v>Misc Equip - Retirements</v>
      </c>
      <c r="C1005" s="490">
        <v>2022</v>
      </c>
      <c r="D1005" s="567">
        <f>-'Sch. F 2022'!BO90</f>
        <v>-20177.709999999999</v>
      </c>
      <c r="E1005" s="601">
        <f>'Sch. F 2022'!BO92</f>
        <v>17.5</v>
      </c>
      <c r="F1005" s="600">
        <f>D1005*E1005</f>
        <v>-353109.92499999999</v>
      </c>
      <c r="G1005" s="600"/>
      <c r="H1005" s="317"/>
      <c r="I1005" s="600"/>
      <c r="J1005" s="600"/>
      <c r="K1005" s="600"/>
      <c r="L1005" s="600"/>
      <c r="M1005" s="600"/>
      <c r="N1005" s="600"/>
      <c r="O1005" s="600">
        <f t="shared" si="179"/>
        <v>-20177.709999999999</v>
      </c>
      <c r="P1005" s="601">
        <f t="shared" si="176"/>
        <v>17.5</v>
      </c>
      <c r="Q1005" s="600">
        <f t="shared" si="177"/>
        <v>-353109.92499999999</v>
      </c>
      <c r="T1005" s="679"/>
    </row>
    <row r="1006" spans="1:20" s="598" customFormat="1" ht="13.5" thickBot="1">
      <c r="A1006" s="566"/>
      <c r="B1006" s="564" t="s">
        <v>557</v>
      </c>
      <c r="C1006" s="490"/>
      <c r="D1006" s="568">
        <f>SUM(D1003:D1005)</f>
        <v>352427.84000000003</v>
      </c>
      <c r="E1006" s="565">
        <f>ROUND(F1006/D1006,1)</f>
        <v>11.5</v>
      </c>
      <c r="F1006" s="569">
        <f>SUM(F1003:F1005)</f>
        <v>4056054.4200000009</v>
      </c>
      <c r="G1006" s="570"/>
      <c r="H1006" s="372"/>
      <c r="I1006" s="568">
        <f>SUM(I1003:I1005)</f>
        <v>0</v>
      </c>
      <c r="J1006" s="568">
        <f>SUM(J1003:J1005)</f>
        <v>0</v>
      </c>
      <c r="K1006" s="568">
        <f t="shared" si="180" ref="K1006:N1006">SUM(K1003:K1005)</f>
        <v>0</v>
      </c>
      <c r="L1006" s="568">
        <f t="shared" si="180"/>
        <v>0</v>
      </c>
      <c r="M1006" s="568">
        <f t="shared" si="180"/>
        <v>0</v>
      </c>
      <c r="N1006" s="568">
        <f t="shared" si="180"/>
        <v>16476.720000000001</v>
      </c>
      <c r="O1006" s="568">
        <f>SUM(O1003:O1005)</f>
        <v>368904.56</v>
      </c>
      <c r="P1006" s="565">
        <f>ROUND(Q1006/O1006,1)</f>
        <v>11.4</v>
      </c>
      <c r="Q1006" s="569">
        <f>SUM(Q1003:Q1005)</f>
        <v>4212583.2600000016</v>
      </c>
      <c r="S1006" s="604">
        <f>'Sch. G 2022'!H46</f>
        <v>368904</v>
      </c>
      <c r="T1006" s="679">
        <f>O1006-S1006</f>
        <v>0.55999999999767169</v>
      </c>
    </row>
    <row r="1007" spans="1:20" s="598" customFormat="1" ht="13.5" thickTop="1">
      <c r="A1007" s="563"/>
      <c r="B1007" s="571"/>
      <c r="D1007" s="358"/>
      <c r="E1007" s="572"/>
      <c r="F1007" s="358"/>
      <c r="G1007" s="358"/>
      <c r="H1007" s="318"/>
      <c r="I1007" s="358"/>
      <c r="J1007" s="358"/>
      <c r="K1007" s="358"/>
      <c r="L1007" s="358"/>
      <c r="M1007" s="358"/>
      <c r="N1007" s="358"/>
      <c r="O1007" s="358"/>
      <c r="P1007" s="572"/>
      <c r="Q1007" s="358"/>
      <c r="T1007" s="679"/>
    </row>
    <row r="1008" spans="1:20" s="598" customFormat="1" ht="13.5" thickBot="1">
      <c r="A1008" s="597"/>
      <c r="B1008" s="564" t="s">
        <v>496</v>
      </c>
      <c r="D1008" s="357">
        <f>D1003+D986+D968+D935+D915+D901+D887+D868+D853+D836+D810+D759+D720+D659+D605+D599+D521+D512+D455+D440+D357+D303+D253+D200+D185+D97+D44+D11</f>
        <v>534900956.21081811</v>
      </c>
      <c r="E1008" s="565">
        <f>ROUND(F1008/D1008,1)</f>
        <v>10.699999999999999</v>
      </c>
      <c r="F1008" s="357">
        <f>F1006+F989+F971+F938+F918+F904+F890+F871+F856+F839+F813+F762+F723+F662+F608+F602+F524+F515+F458+F443+F360+F306+F256+F203+F188+F100+F47+F14</f>
        <v>5732443473.2845078</v>
      </c>
      <c r="G1008" s="358"/>
      <c r="H1008" s="318"/>
      <c r="I1008" s="357">
        <f>I1003+I986+I968+I935+I915+I901+I887+I868+I853+I836+I810+I759+I720+I659+I605+I599+I521+I512+I455+I440+I357+I303+I253+I200+I185+I97+I44+I11</f>
        <v>3200.0000000000036</v>
      </c>
      <c r="J1008" s="357">
        <f>J1003+J986+J968+J935+J915+J901+J887+J868+J853+J836+J810+J759+J720+J659+J605+J599+J521+J512+J455+J440+J357+J303+J253+J200+J185+J97+J44+J11</f>
        <v>-3200</v>
      </c>
      <c r="K1008" s="357">
        <f t="shared" si="181" ref="K1008:N1008">K1003+K986+K968+K935+K915+K901+K887+K868+K853+K836+K810+K759+K720+K659+K605+K599+K521+K512+K455+K440+K357+K303+K253+K200+K185+K97+K44+K11</f>
        <v>28725</v>
      </c>
      <c r="L1008" s="357">
        <f t="shared" si="181"/>
        <v>-145894.16</v>
      </c>
      <c r="M1008" s="357">
        <f t="shared" si="181"/>
        <v>4080685.5600000005</v>
      </c>
      <c r="N1008" s="357">
        <f t="shared" si="181"/>
        <v>-1.1823431123048067E-11</v>
      </c>
      <c r="O1008" s="357">
        <f>O1003+O986+O968+O935+O915+O901+O887+O868+O853+O836+O810+O759+O720+O659+O605+O599+O521+O512+O455+O440+O357+O303+O253+O200+O185+O97+O44+O11</f>
        <v>538864472.61081815</v>
      </c>
      <c r="P1008" s="565">
        <f>ROUND(Q1008/O1008,1)</f>
        <v>10.6</v>
      </c>
      <c r="Q1008" s="357">
        <f>Q1006+Q989+Q971+Q938+Q918+Q904+Q890+Q871+Q856+Q839+Q813+Q762+Q723+Q662+Q608+Q602+Q524+Q515+Q458+Q443+Q360+Q306+Q256+Q203+Q188+Q100+Q47+Q14</f>
        <v>5733350964.124507</v>
      </c>
      <c r="T1008" s="679"/>
    </row>
    <row r="1009" spans="1:20" s="598" customFormat="1" ht="15" thickTop="1">
      <c r="A1009" s="566"/>
      <c r="B1009" s="490" t="s">
        <v>497</v>
      </c>
      <c r="C1009" s="490">
        <v>2022</v>
      </c>
      <c r="D1009" s="567">
        <f>D1004+D987+D969+D936+D916+D902+D888+D869+D854+D837+D811+D760+D721+D660+D606+D600+D522+D513+D456+D441+D358+D304+D254+D201+D186+D98+D45+D12</f>
        <v>34136014.708531827</v>
      </c>
      <c r="E1009" s="601">
        <f>Input!$C$14-C1009+0.5</f>
        <v>0.5</v>
      </c>
      <c r="F1009" s="567">
        <f>F1004+F987+F969+F936+F916+F902+F888+F869+F854+F837+F811+F760+F721+F660+F606+F600+F522+F513+F456+F441+F358+F304+F254+F201+F186+F98+F45+F12</f>
        <v>17068007.354265913</v>
      </c>
      <c r="G1009" s="567"/>
      <c r="H1009" s="359"/>
      <c r="I1009" s="567"/>
      <c r="J1009" s="567"/>
      <c r="K1009" s="567"/>
      <c r="L1009" s="567"/>
      <c r="M1009" s="567"/>
      <c r="N1009" s="567"/>
      <c r="O1009" s="600">
        <f t="shared" si="182" ref="O1009:O1010">SUM(D1009,I1009:N1009)</f>
        <v>34136014.708531827</v>
      </c>
      <c r="P1009" s="601">
        <f t="shared" si="176"/>
        <v>0.5</v>
      </c>
      <c r="Q1009" s="567">
        <f>Q1004+Q987+Q969+Q936+Q916+Q902+Q888+Q869+Q854+Q837+Q811+Q760+Q721+Q660+Q606+Q600+Q522+Q513+Q456+Q441+Q358+Q304+Q254+Q201+Q186+Q98+Q45+Q12</f>
        <v>17068007.354265913</v>
      </c>
      <c r="T1009" s="679"/>
    </row>
    <row r="1010" spans="1:20" s="598" customFormat="1" ht="14.25">
      <c r="A1010" s="566"/>
      <c r="B1010" s="490" t="s">
        <v>498</v>
      </c>
      <c r="C1010" s="490">
        <v>2022</v>
      </c>
      <c r="D1010" s="567">
        <f>D1005+D988+D970+D937+D917+D903+D889+D870+D855+D838+D812+D761+D722+D661+D607+D601+D523+D514+D457+D442+D359+D305+D255+D202+D187+D99+D46+D13</f>
        <v>-3591526.8799999999</v>
      </c>
      <c r="E1010" s="601">
        <f>IFERROR(D1010/F1010,0)</f>
        <v>0.025899168214305449</v>
      </c>
      <c r="F1010" s="567">
        <f>F1005+F988+F970+F937+F917+F903+F889+F870+F855+F838+F812+F761+F722+F661+F607+F601+F523+F514+F457+F442+F359+F305+F255+F202+F187+F99+F46+F13</f>
        <v>-138673445.042</v>
      </c>
      <c r="G1010" s="567"/>
      <c r="H1010" s="359"/>
      <c r="I1010" s="567"/>
      <c r="J1010" s="567"/>
      <c r="K1010" s="567"/>
      <c r="L1010" s="567"/>
      <c r="M1010" s="567"/>
      <c r="N1010" s="567"/>
      <c r="O1010" s="600">
        <f t="shared" si="182"/>
        <v>-3591526.8799999999</v>
      </c>
      <c r="P1010" s="601">
        <f t="shared" si="176"/>
        <v>0.025899168214305449</v>
      </c>
      <c r="Q1010" s="567">
        <f>Q1005+Q988+Q970+Q937+Q917+Q903+Q889+Q870+Q855+Q838+Q812+Q761+Q722+Q661+Q607+Q601+Q523+Q514+Q457+Q442+Q359+Q305+Q255+Q202+Q187+Q99+Q46+Q13</f>
        <v>-138673445.042</v>
      </c>
      <c r="T1010" s="679"/>
    </row>
    <row r="1011" spans="1:20" s="598" customFormat="1" ht="13.5" thickBot="1">
      <c r="A1011" s="566"/>
      <c r="B1011" s="564" t="s">
        <v>557</v>
      </c>
      <c r="C1011" s="490"/>
      <c r="D1011" s="568">
        <f>D1006+D989+D971+D938+D918+D904+D890+D871+D856+D839+D813+D762+D723+D662+D608+D602+D524+D515+D458+D443+D360+D306+D256+D203+D188+D100+D47+D14</f>
        <v>565445444.03935003</v>
      </c>
      <c r="E1011" s="565">
        <f>ROUND(F1011/D1011,1)</f>
        <v>9.9000000000000004</v>
      </c>
      <c r="F1011" s="569">
        <f>SUM(F1008:F1010)</f>
        <v>5610838035.5967741</v>
      </c>
      <c r="G1011" s="570"/>
      <c r="H1011" s="372"/>
      <c r="I1011" s="568">
        <f>I1006+I989+I971+I938+I918+I904+I890+I871+I856+I839+I813+I762+I723+I662+I608+I602+I524+I515+I458+I443+I360+I306+I256+I203+I188+I100+I47+I14</f>
        <v>3200.0000000000036</v>
      </c>
      <c r="J1011" s="568">
        <f>J1006+J989+J971+J938+J918+J904+J890+J871+J856+J839+J813+J762+J723+J662+J608+J602+J524+J515+J458+J443+J360+J306+J256+J203+J188+J100+J47+J14</f>
        <v>-3200</v>
      </c>
      <c r="K1011" s="568">
        <f t="shared" si="183" ref="K1011:N1011">K1006+K989+K971+K938+K918+K904+K890+K871+K856+K839+K813+K762+K723+K662+K608+K602+K524+K515+K458+K443+K360+K306+K256+K203+K188+K100+K47+K14</f>
        <v>28725</v>
      </c>
      <c r="L1011" s="568">
        <f t="shared" si="183"/>
        <v>-145894.16</v>
      </c>
      <c r="M1011" s="568">
        <f t="shared" si="183"/>
        <v>4080685.5600000005</v>
      </c>
      <c r="N1011" s="568">
        <f t="shared" si="183"/>
        <v>-1.1823431123048067E-11</v>
      </c>
      <c r="O1011" s="568">
        <f>O1006+O989+O971+O938+O918+O904+O890+O871+O856+O839+O813+O762+O723+O662+O608+O602+O524+O515+O458+O443+O360+O306+O256+O203+O188+O100+O47+O14</f>
        <v>569408960.43935001</v>
      </c>
      <c r="P1011" s="565">
        <f>ROUND(Q1011/O1011,1)</f>
        <v>9.9000000000000004</v>
      </c>
      <c r="Q1011" s="569">
        <f>SUM(Q1008:Q1010)</f>
        <v>5611745526.4367733</v>
      </c>
      <c r="T1011" s="679"/>
    </row>
    <row r="1012" spans="1:20" s="598" customFormat="1" ht="15" thickTop="1">
      <c r="A1012" s="597"/>
      <c r="D1012" s="599"/>
      <c r="H1012" s="316"/>
      <c r="P1012" s="601"/>
      <c r="T1012" s="679"/>
    </row>
    <row r="1015" spans="15:16" ht="14.25">
      <c r="O1015" s="713"/>
      <c r="P1015" s="284"/>
    </row>
    <row r="1016" spans="15:15" ht="14.25">
      <c r="O1016" s="713"/>
    </row>
    <row r="1017" spans="15:15" ht="14.25">
      <c r="O1017" s="713"/>
    </row>
    <row r="1018" spans="15:15" ht="14.25">
      <c r="O1018" s="713"/>
    </row>
    <row r="1019" spans="15:15" ht="14.25">
      <c r="O1019" s="713"/>
    </row>
  </sheetData>
  <autoFilter ref="A6:F1040"/>
  <mergeCells count="4">
    <mergeCell ref="A2:Q2"/>
    <mergeCell ref="A3:Q3"/>
    <mergeCell ref="A4:Q4"/>
    <mergeCell ref="A1:Q1"/>
  </mergeCells>
  <printOptions horizontalCentered="1"/>
  <pageMargins left="0.5" right="0.5" top="0.94" bottom="0.5" header="0.5" footer="0.2"/>
  <pageSetup fitToHeight="0" orientation="landscape" scale="63" r:id="rId1"/>
  <headerFooter>
    <oddHeader xml:space="preserve">&amp;L&amp;"Arial,Bold"&amp;12Florida Public Utilities Natural Gas Division
2023 Consolidated Depreciation Study Workbook
Docket No. 20220067&amp;R&amp;"Arial,Bold"&amp;12Revised Exhibit PSL-2
Page &amp;P of 93
Schedule M </oddHeader>
    <oddFooter>&amp;C&amp;A</oddFooter>
  </headerFooter>
  <rowBreaks count="21" manualBreakCount="21">
    <brk id="51" max="16" man="1"/>
    <brk id="96" max="16" man="1"/>
    <brk id="142" max="16" man="1"/>
    <brk id="188" max="16" man="1"/>
    <brk id="234" max="16" man="1"/>
    <brk id="280" max="16" man="1"/>
    <brk id="325" max="16" man="1"/>
    <brk id="371" max="16" man="1"/>
    <brk id="416" max="16" man="1"/>
    <brk id="462" max="16" man="1"/>
    <brk id="507" max="16" man="1"/>
    <brk id="553" max="16" man="1"/>
    <brk id="598" max="16" man="1"/>
    <brk id="644" max="16" man="1"/>
    <brk id="690" max="16" man="1"/>
    <brk id="736" max="16" man="1"/>
    <brk id="782" max="16" man="1"/>
    <brk id="828" max="16" man="1"/>
    <brk id="874" max="16" man="1"/>
    <brk id="920" max="16" man="1"/>
    <brk id="966" max="16"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D51"/>
  <sheetViews>
    <sheetView zoomScale="82" zoomScaleNormal="82" workbookViewId="0" topLeftCell="A1">
      <selection pane="topLeft" activeCell="B4" sqref="B4"/>
    </sheetView>
  </sheetViews>
  <sheetFormatPr defaultColWidth="7.71428571428571" defaultRowHeight="14.25"/>
  <cols>
    <col min="1" max="1" width="6.42857142857143" style="7" bestFit="1" customWidth="1"/>
    <col min="2" max="2" width="32.8571428571429" style="7" bestFit="1" customWidth="1"/>
    <col min="3" max="3" width="13.8571428571429" style="7" bestFit="1" customWidth="1"/>
    <col min="4" max="4" width="10.5714285714286" style="7" bestFit="1" customWidth="1"/>
    <col min="5" max="7" width="9.57142857142857" style="7" bestFit="1" customWidth="1"/>
    <col min="8" max="9" width="10.5714285714286" style="7" bestFit="1" customWidth="1"/>
    <col min="10" max="12" width="9.57142857142857" style="7" bestFit="1" customWidth="1"/>
    <col min="13" max="14" width="10.5714285714286" style="7" bestFit="1" customWidth="1"/>
    <col min="15" max="16" width="8.42857142857143" style="7" bestFit="1" customWidth="1"/>
    <col min="17" max="17" width="8.85714285714286" style="7" bestFit="1" customWidth="1"/>
    <col min="18" max="18" width="9.57142857142857" style="7" bestFit="1" customWidth="1"/>
    <col min="19" max="21" width="7.14285714285714" style="7" bestFit="1" customWidth="1"/>
    <col min="22" max="23" width="8.42857142857143" style="7" bestFit="1" customWidth="1"/>
    <col min="24" max="26" width="9.57142857142857" style="7" bestFit="1" customWidth="1"/>
    <col min="27" max="27" width="8.14285714285714" style="7" bestFit="1" customWidth="1"/>
    <col min="28" max="28" width="9.57142857142857" style="7" bestFit="1" customWidth="1"/>
    <col min="29" max="29" width="10.5714285714286" style="7" bestFit="1" customWidth="1"/>
    <col min="30" max="30" width="13.5714285714286" style="7" bestFit="1" customWidth="1"/>
    <col min="31" max="16384" width="7.71428571428571" style="7"/>
  </cols>
  <sheetData>
    <row r="1" spans="1:30" s="577" customFormat="1" ht="18">
      <c r="A1" s="578"/>
      <c r="B1" s="578"/>
      <c r="C1" s="986" t="s">
        <v>56</v>
      </c>
      <c r="D1" s="986"/>
      <c r="E1" s="986"/>
      <c r="F1" s="986"/>
      <c r="G1" s="986"/>
      <c r="H1" s="986"/>
      <c r="I1" s="986"/>
      <c r="J1" s="986"/>
      <c r="K1" s="986"/>
      <c r="L1" s="986"/>
      <c r="M1" s="986"/>
      <c r="N1" s="986"/>
      <c r="O1" s="986"/>
      <c r="P1" s="986"/>
      <c r="Q1" s="986"/>
      <c r="R1" s="986"/>
      <c r="S1" s="986" t="str">
        <f>C1</f>
        <v>FLORIDA PUBLIC UTILITIES - CONSOLIDATED NATURAL GAS</v>
      </c>
      <c r="T1" s="986"/>
      <c r="U1" s="986"/>
      <c r="V1" s="986"/>
      <c r="W1" s="986"/>
      <c r="X1" s="986"/>
      <c r="Y1" s="986"/>
      <c r="Z1" s="986"/>
      <c r="AA1" s="986"/>
      <c r="AB1" s="986"/>
      <c r="AC1" s="986"/>
      <c r="AD1" s="986"/>
    </row>
    <row r="2" spans="2:30" s="575" customFormat="1" ht="12.75">
      <c r="B2" s="579"/>
      <c r="C2" s="985" t="str">
        <f>Input!B3</f>
        <v>FPUC, FPUC - Common, FPUC - Indiantown, Florida Division of Chesapeake Utilities Corporation, FPUC - Ft Meade</v>
      </c>
      <c r="D2" s="985"/>
      <c r="E2" s="985"/>
      <c r="F2" s="985"/>
      <c r="G2" s="985"/>
      <c r="H2" s="985"/>
      <c r="I2" s="985"/>
      <c r="J2" s="985"/>
      <c r="K2" s="985"/>
      <c r="L2" s="985"/>
      <c r="M2" s="985"/>
      <c r="N2" s="985"/>
      <c r="O2" s="985"/>
      <c r="P2" s="985"/>
      <c r="Q2" s="985"/>
      <c r="R2" s="985"/>
      <c r="S2" s="985" t="str">
        <f>C2</f>
        <v>FPUC, FPUC - Common, FPUC - Indiantown, Florida Division of Chesapeake Utilities Corporation, FPUC - Ft Meade</v>
      </c>
      <c r="T2" s="985"/>
      <c r="U2" s="985"/>
      <c r="V2" s="985"/>
      <c r="W2" s="985"/>
      <c r="X2" s="985"/>
      <c r="Y2" s="985"/>
      <c r="Z2" s="985"/>
      <c r="AA2" s="985"/>
      <c r="AB2" s="985"/>
      <c r="AC2" s="985"/>
      <c r="AD2" s="985"/>
    </row>
    <row r="3" spans="2:30" s="576" customFormat="1" ht="15.75">
      <c r="B3" s="580"/>
      <c r="C3" s="981" t="s">
        <v>558</v>
      </c>
      <c r="D3" s="981"/>
      <c r="E3" s="981"/>
      <c r="F3" s="981"/>
      <c r="G3" s="981"/>
      <c r="H3" s="981"/>
      <c r="I3" s="981"/>
      <c r="J3" s="981"/>
      <c r="K3" s="981"/>
      <c r="L3" s="981"/>
      <c r="M3" s="981"/>
      <c r="N3" s="981"/>
      <c r="O3" s="981"/>
      <c r="P3" s="981"/>
      <c r="Q3" s="981"/>
      <c r="R3" s="981"/>
      <c r="S3" s="981" t="str">
        <f>C3</f>
        <v>Prior Period Adjustments Included in Projected Reserves 2022 Balances</v>
      </c>
      <c r="T3" s="981"/>
      <c r="U3" s="981"/>
      <c r="V3" s="981"/>
      <c r="W3" s="981"/>
      <c r="X3" s="981"/>
      <c r="Y3" s="981"/>
      <c r="Z3" s="981"/>
      <c r="AA3" s="981"/>
      <c r="AB3" s="981"/>
      <c r="AC3" s="981"/>
      <c r="AD3" s="981"/>
    </row>
    <row r="4" spans="1:24" s="575" customFormat="1" ht="14.25">
      <c r="A4" s="581"/>
      <c r="D4" s="582"/>
      <c r="I4" s="582"/>
      <c r="N4" s="582"/>
      <c r="S4" s="582"/>
      <c r="X4" s="582"/>
    </row>
    <row r="5" spans="1:30" s="315" customFormat="1" ht="45.75" thickBot="1">
      <c r="A5" s="583" t="s">
        <v>333</v>
      </c>
      <c r="B5" s="584" t="s">
        <v>334</v>
      </c>
      <c r="C5" s="585" t="s">
        <v>559</v>
      </c>
      <c r="D5" s="586" t="s">
        <v>560</v>
      </c>
      <c r="E5" s="587" t="s">
        <v>561</v>
      </c>
      <c r="F5" s="587" t="s">
        <v>562</v>
      </c>
      <c r="G5" s="587" t="s">
        <v>563</v>
      </c>
      <c r="H5" s="588" t="s">
        <v>564</v>
      </c>
      <c r="I5" s="586" t="s">
        <v>565</v>
      </c>
      <c r="J5" s="587" t="s">
        <v>566</v>
      </c>
      <c r="K5" s="587" t="s">
        <v>567</v>
      </c>
      <c r="L5" s="587" t="s">
        <v>568</v>
      </c>
      <c r="M5" s="588" t="s">
        <v>569</v>
      </c>
      <c r="N5" s="586" t="s">
        <v>570</v>
      </c>
      <c r="O5" s="587" t="s">
        <v>571</v>
      </c>
      <c r="P5" s="587" t="s">
        <v>572</v>
      </c>
      <c r="Q5" s="587" t="s">
        <v>573</v>
      </c>
      <c r="R5" s="588" t="s">
        <v>574</v>
      </c>
      <c r="S5" s="586" t="s">
        <v>575</v>
      </c>
      <c r="T5" s="587" t="s">
        <v>576</v>
      </c>
      <c r="U5" s="587" t="s">
        <v>577</v>
      </c>
      <c r="V5" s="587" t="s">
        <v>578</v>
      </c>
      <c r="W5" s="588" t="s">
        <v>579</v>
      </c>
      <c r="X5" s="586" t="s">
        <v>580</v>
      </c>
      <c r="Y5" s="587" t="s">
        <v>581</v>
      </c>
      <c r="Z5" s="587" t="s">
        <v>582</v>
      </c>
      <c r="AA5" s="587" t="s">
        <v>583</v>
      </c>
      <c r="AB5" s="588" t="s">
        <v>584</v>
      </c>
      <c r="AC5" s="588" t="s">
        <v>585</v>
      </c>
      <c r="AD5" s="585" t="s">
        <v>586</v>
      </c>
    </row>
    <row r="6" spans="1:30" s="589" customFormat="1" ht="14.25">
      <c r="A6" s="715">
        <v>3010</v>
      </c>
      <c r="B6" s="716" t="s">
        <v>335</v>
      </c>
      <c r="C6" s="717">
        <f>'Sch. G 2021'!S9</f>
        <v>23328</v>
      </c>
      <c r="D6" s="590"/>
      <c r="E6" s="591"/>
      <c r="F6" s="591"/>
      <c r="G6" s="591"/>
      <c r="H6" s="592">
        <f>SUM(D6:G6)</f>
        <v>0</v>
      </c>
      <c r="I6" s="590"/>
      <c r="J6" s="591"/>
      <c r="K6" s="591"/>
      <c r="L6" s="591"/>
      <c r="M6" s="592">
        <f>SUM(I6:L6)</f>
        <v>0</v>
      </c>
      <c r="N6" s="590"/>
      <c r="O6" s="591"/>
      <c r="P6" s="591"/>
      <c r="Q6" s="591"/>
      <c r="R6" s="592">
        <f>SUM(N6:Q6)</f>
        <v>0</v>
      </c>
      <c r="S6" s="590"/>
      <c r="T6" s="591"/>
      <c r="U6" s="591"/>
      <c r="V6" s="591"/>
      <c r="W6" s="592">
        <f>SUM(S6:V6)</f>
        <v>0</v>
      </c>
      <c r="X6" s="590"/>
      <c r="Y6" s="591"/>
      <c r="Z6" s="591"/>
      <c r="AA6" s="591"/>
      <c r="AB6" s="592">
        <f>SUM(X6:AA6)</f>
        <v>0</v>
      </c>
      <c r="AC6" s="592">
        <f>H6+M6+R6+W6+AB6</f>
        <v>0</v>
      </c>
      <c r="AD6" s="717">
        <f t="shared" si="0" ref="AD6:AD44">SUM(C6,H6,M6,R6,W6,AB6)</f>
        <v>23328</v>
      </c>
    </row>
    <row r="7" spans="1:30" s="589" customFormat="1" ht="14.25">
      <c r="A7" s="718" t="s">
        <v>195</v>
      </c>
      <c r="B7" s="719" t="s">
        <v>336</v>
      </c>
      <c r="C7" s="720">
        <f>'Sch. G 2021'!S10</f>
        <v>14133</v>
      </c>
      <c r="D7" s="590"/>
      <c r="E7" s="591"/>
      <c r="F7" s="591"/>
      <c r="G7" s="591"/>
      <c r="H7" s="592">
        <f t="shared" si="1" ref="H7:H44">SUM(D7:G7)</f>
        <v>0</v>
      </c>
      <c r="I7" s="590"/>
      <c r="J7" s="591"/>
      <c r="K7" s="591"/>
      <c r="L7" s="591"/>
      <c r="M7" s="592">
        <f t="shared" si="2" ref="M7:M44">SUM(I7:L7)</f>
        <v>0</v>
      </c>
      <c r="N7" s="590"/>
      <c r="O7" s="591"/>
      <c r="P7" s="591"/>
      <c r="Q7" s="591"/>
      <c r="R7" s="592">
        <f t="shared" si="3" ref="R7:R44">SUM(N7:Q7)</f>
        <v>0</v>
      </c>
      <c r="S7" s="590"/>
      <c r="T7" s="591"/>
      <c r="U7" s="591"/>
      <c r="V7" s="591"/>
      <c r="W7" s="592">
        <f t="shared" si="4" ref="W7:W44">SUM(S7:V7)</f>
        <v>0</v>
      </c>
      <c r="X7" s="590"/>
      <c r="Y7" s="591"/>
      <c r="Z7" s="591"/>
      <c r="AA7" s="591"/>
      <c r="AB7" s="592">
        <f t="shared" si="5" ref="AB7:AB44">SUM(X7:AA7)</f>
        <v>0</v>
      </c>
      <c r="AC7" s="592">
        <f t="shared" si="6" ref="AC7:AC44">H7+M7+R7+W7+AB7</f>
        <v>0</v>
      </c>
      <c r="AD7" s="720">
        <f t="shared" si="0"/>
        <v>14133</v>
      </c>
    </row>
    <row r="8" spans="1:30" s="589" customFormat="1" ht="14.25">
      <c r="A8" s="718" t="s">
        <v>196</v>
      </c>
      <c r="B8" s="719" t="s">
        <v>336</v>
      </c>
      <c r="C8" s="720">
        <f>'Sch. G 2021'!S11</f>
        <v>127642</v>
      </c>
      <c r="D8" s="590"/>
      <c r="E8" s="591"/>
      <c r="F8" s="591"/>
      <c r="G8" s="591"/>
      <c r="H8" s="592">
        <f t="shared" si="1"/>
        <v>0</v>
      </c>
      <c r="I8" s="590"/>
      <c r="J8" s="591"/>
      <c r="K8" s="591"/>
      <c r="L8" s="591"/>
      <c r="M8" s="592">
        <f t="shared" si="2"/>
        <v>0</v>
      </c>
      <c r="N8" s="590"/>
      <c r="O8" s="591"/>
      <c r="P8" s="591"/>
      <c r="Q8" s="591"/>
      <c r="R8" s="592">
        <f t="shared" si="3"/>
        <v>0</v>
      </c>
      <c r="S8" s="590"/>
      <c r="T8" s="591"/>
      <c r="U8" s="591"/>
      <c r="V8" s="591"/>
      <c r="W8" s="592">
        <f t="shared" si="4"/>
        <v>0</v>
      </c>
      <c r="X8" s="590"/>
      <c r="Y8" s="591"/>
      <c r="Z8" s="591"/>
      <c r="AA8" s="591"/>
      <c r="AB8" s="592">
        <f t="shared" si="5"/>
        <v>0</v>
      </c>
      <c r="AC8" s="592">
        <f t="shared" si="6"/>
        <v>0</v>
      </c>
      <c r="AD8" s="720">
        <f t="shared" si="0"/>
        <v>127642</v>
      </c>
    </row>
    <row r="9" spans="1:30" s="589" customFormat="1" ht="14.25">
      <c r="A9" s="718" t="s">
        <v>197</v>
      </c>
      <c r="B9" s="719" t="s">
        <v>337</v>
      </c>
      <c r="C9" s="720">
        <f>'Sch. G 2021'!S12</f>
        <v>1786</v>
      </c>
      <c r="D9" s="590"/>
      <c r="E9" s="591"/>
      <c r="F9" s="591"/>
      <c r="G9" s="591"/>
      <c r="H9" s="592">
        <f t="shared" si="1"/>
        <v>0</v>
      </c>
      <c r="I9" s="590"/>
      <c r="J9" s="591"/>
      <c r="K9" s="591"/>
      <c r="L9" s="591"/>
      <c r="M9" s="592">
        <f t="shared" si="2"/>
        <v>0</v>
      </c>
      <c r="N9" s="590"/>
      <c r="O9" s="591"/>
      <c r="P9" s="591"/>
      <c r="Q9" s="591"/>
      <c r="R9" s="592">
        <f t="shared" si="3"/>
        <v>0</v>
      </c>
      <c r="S9" s="590"/>
      <c r="T9" s="591"/>
      <c r="U9" s="591"/>
      <c r="V9" s="591"/>
      <c r="W9" s="592">
        <f t="shared" si="4"/>
        <v>0</v>
      </c>
      <c r="X9" s="590"/>
      <c r="Y9" s="591"/>
      <c r="Z9" s="591"/>
      <c r="AA9" s="591"/>
      <c r="AB9" s="592">
        <f t="shared" si="5"/>
        <v>0</v>
      </c>
      <c r="AC9" s="592">
        <f t="shared" si="6"/>
        <v>0</v>
      </c>
      <c r="AD9" s="720">
        <f t="shared" si="0"/>
        <v>1786</v>
      </c>
    </row>
    <row r="10" spans="1:30" s="589" customFormat="1" ht="14.25">
      <c r="A10" s="718">
        <v>3741</v>
      </c>
      <c r="B10" s="719" t="s">
        <v>80</v>
      </c>
      <c r="C10" s="720">
        <f>'Sch. G 2021'!S13</f>
        <v>9747</v>
      </c>
      <c r="D10" s="590"/>
      <c r="E10" s="591"/>
      <c r="F10" s="591"/>
      <c r="G10" s="591"/>
      <c r="H10" s="592">
        <f t="shared" si="1"/>
        <v>0</v>
      </c>
      <c r="I10" s="590"/>
      <c r="J10" s="591"/>
      <c r="K10" s="591"/>
      <c r="L10" s="591"/>
      <c r="M10" s="592">
        <f t="shared" si="2"/>
        <v>0</v>
      </c>
      <c r="N10" s="590"/>
      <c r="O10" s="591"/>
      <c r="P10" s="591"/>
      <c r="Q10" s="591"/>
      <c r="R10" s="592">
        <f t="shared" si="3"/>
        <v>0</v>
      </c>
      <c r="S10" s="590"/>
      <c r="T10" s="591"/>
      <c r="U10" s="591"/>
      <c r="V10" s="591"/>
      <c r="W10" s="592">
        <f t="shared" si="4"/>
        <v>0</v>
      </c>
      <c r="X10" s="590"/>
      <c r="Y10" s="591"/>
      <c r="Z10" s="591"/>
      <c r="AA10" s="591"/>
      <c r="AB10" s="592">
        <f t="shared" si="5"/>
        <v>0</v>
      </c>
      <c r="AC10" s="592">
        <f t="shared" si="6"/>
        <v>0</v>
      </c>
      <c r="AD10" s="720">
        <f t="shared" si="0"/>
        <v>9747</v>
      </c>
    </row>
    <row r="11" spans="1:30" s="589" customFormat="1" ht="14.25">
      <c r="A11" s="718" t="s">
        <v>198</v>
      </c>
      <c r="B11" s="719" t="s">
        <v>82</v>
      </c>
      <c r="C11" s="720">
        <f>'Sch. G 2021'!S14</f>
        <v>324521</v>
      </c>
      <c r="D11" s="590"/>
      <c r="E11" s="591"/>
      <c r="F11" s="591"/>
      <c r="G11" s="591"/>
      <c r="H11" s="592">
        <f t="shared" si="1"/>
        <v>0</v>
      </c>
      <c r="I11" s="590"/>
      <c r="J11" s="591"/>
      <c r="K11" s="591">
        <v>-11239</v>
      </c>
      <c r="L11" s="591">
        <v>-304.38958333333301</v>
      </c>
      <c r="M11" s="592">
        <f t="shared" si="2"/>
        <v>-11543.389583333334</v>
      </c>
      <c r="N11" s="590"/>
      <c r="O11" s="591"/>
      <c r="P11" s="591"/>
      <c r="Q11" s="591"/>
      <c r="R11" s="592">
        <f t="shared" si="3"/>
        <v>0</v>
      </c>
      <c r="S11" s="590"/>
      <c r="T11" s="591"/>
      <c r="U11" s="591"/>
      <c r="V11" s="591"/>
      <c r="W11" s="592">
        <f t="shared" si="4"/>
        <v>0</v>
      </c>
      <c r="X11" s="590"/>
      <c r="Y11" s="591"/>
      <c r="Z11" s="591"/>
      <c r="AA11" s="591"/>
      <c r="AB11" s="592">
        <f t="shared" si="5"/>
        <v>0</v>
      </c>
      <c r="AC11" s="592">
        <f t="shared" si="6"/>
        <v>-11543.389583333334</v>
      </c>
      <c r="AD11" s="720">
        <f t="shared" si="0"/>
        <v>312977.61041666666</v>
      </c>
    </row>
    <row r="12" spans="1:30" s="589" customFormat="1" ht="14.25">
      <c r="A12" s="718">
        <v>3761</v>
      </c>
      <c r="B12" s="719" t="s">
        <v>84</v>
      </c>
      <c r="C12" s="720">
        <f>'Sch. G 2021'!S15</f>
        <v>30803201</v>
      </c>
      <c r="D12" s="590"/>
      <c r="E12" s="591"/>
      <c r="F12" s="591"/>
      <c r="G12" s="591"/>
      <c r="H12" s="592">
        <f t="shared" si="1"/>
        <v>0</v>
      </c>
      <c r="I12" s="590"/>
      <c r="J12" s="591"/>
      <c r="K12" s="591"/>
      <c r="L12" s="591"/>
      <c r="M12" s="592">
        <f t="shared" si="2"/>
        <v>0</v>
      </c>
      <c r="N12" s="590"/>
      <c r="O12" s="591"/>
      <c r="P12" s="591"/>
      <c r="Q12" s="591"/>
      <c r="R12" s="592">
        <f t="shared" si="3"/>
        <v>0</v>
      </c>
      <c r="S12" s="590"/>
      <c r="T12" s="591"/>
      <c r="U12" s="591"/>
      <c r="V12" s="591"/>
      <c r="W12" s="592">
        <f t="shared" si="4"/>
        <v>0</v>
      </c>
      <c r="X12" s="590"/>
      <c r="Y12" s="591">
        <v>3027.2199999999998</v>
      </c>
      <c r="Z12" s="591">
        <v>3165.3899999999999</v>
      </c>
      <c r="AA12" s="591"/>
      <c r="AB12" s="592">
        <f t="shared" si="5"/>
        <v>6192.6099999999997</v>
      </c>
      <c r="AC12" s="592">
        <f t="shared" si="6"/>
        <v>6192.6099999999997</v>
      </c>
      <c r="AD12" s="720">
        <f t="shared" si="0"/>
        <v>30809393.609999999</v>
      </c>
    </row>
    <row r="13" spans="1:30" s="589" customFormat="1" ht="14.25">
      <c r="A13" s="718">
        <v>3762</v>
      </c>
      <c r="B13" s="719" t="s">
        <v>338</v>
      </c>
      <c r="C13" s="720">
        <f>'Sch. G 2021'!S16</f>
        <v>30101681</v>
      </c>
      <c r="D13" s="591">
        <f>-136918.06-13355.5</f>
        <v>-150273.56</v>
      </c>
      <c r="E13" s="591">
        <v>-14445.700000000001</v>
      </c>
      <c r="F13" s="591">
        <v>11945.700000000001</v>
      </c>
      <c r="G13" s="591"/>
      <c r="H13" s="592">
        <f t="shared" si="1"/>
        <v>-152773.56</v>
      </c>
      <c r="I13" s="590">
        <f>-3707.75-163994.71</f>
        <v>-167702.45999999999</v>
      </c>
      <c r="J13" s="591">
        <f>-77034.71-514.26</f>
        <v>-77548.970000000001</v>
      </c>
      <c r="K13" s="591">
        <v>-22418.200000000001</v>
      </c>
      <c r="L13" s="591">
        <v>-77548.970000000001</v>
      </c>
      <c r="M13" s="592">
        <f t="shared" si="2"/>
        <v>-345218.59999999998</v>
      </c>
      <c r="N13" s="590"/>
      <c r="O13" s="591"/>
      <c r="P13" s="591"/>
      <c r="Q13" s="591"/>
      <c r="R13" s="592">
        <f t="shared" si="3"/>
        <v>0</v>
      </c>
      <c r="S13" s="591"/>
      <c r="T13" s="591"/>
      <c r="U13" s="591"/>
      <c r="V13" s="591"/>
      <c r="W13" s="592">
        <f t="shared" si="4"/>
        <v>0</v>
      </c>
      <c r="X13" s="590"/>
      <c r="Y13" s="591">
        <v>-3027.2199999999998</v>
      </c>
      <c r="Z13" s="591">
        <f>-603.85-362.31-3165.39-6224.58</f>
        <v>-10356.130000000001</v>
      </c>
      <c r="AA13" s="591"/>
      <c r="AB13" s="592">
        <f t="shared" si="5"/>
        <v>-13383.35</v>
      </c>
      <c r="AC13" s="592">
        <f t="shared" si="6"/>
        <v>-511375.50999999995</v>
      </c>
      <c r="AD13" s="720">
        <f t="shared" si="0"/>
        <v>29590305.489999998</v>
      </c>
    </row>
    <row r="14" spans="1:30" s="589" customFormat="1" ht="14.25">
      <c r="A14" s="718" t="s">
        <v>87</v>
      </c>
      <c r="B14" s="719" t="s">
        <v>88</v>
      </c>
      <c r="C14" s="720">
        <f>'Sch. G 2021'!S17</f>
        <v>14180435</v>
      </c>
      <c r="D14" s="591">
        <f>136918.06+13355.5</f>
        <v>150273.56</v>
      </c>
      <c r="E14" s="591">
        <v>14445.700000000001</v>
      </c>
      <c r="F14" s="591">
        <v>-11945.700000000001</v>
      </c>
      <c r="G14" s="591"/>
      <c r="H14" s="592">
        <f t="shared" si="1"/>
        <v>152773.56</v>
      </c>
      <c r="I14" s="590">
        <f>3707.75+163994.71</f>
        <v>167702.45999999999</v>
      </c>
      <c r="J14" s="591">
        <f>77034.71+514.26</f>
        <v>77548.970000000001</v>
      </c>
      <c r="K14" s="591">
        <v>22418.200000000001</v>
      </c>
      <c r="L14" s="591">
        <v>77548.970000000001</v>
      </c>
      <c r="M14" s="592">
        <f t="shared" si="2"/>
        <v>345218.59999999998</v>
      </c>
      <c r="N14" s="590"/>
      <c r="O14" s="591"/>
      <c r="P14" s="591"/>
      <c r="Q14" s="591"/>
      <c r="R14" s="592">
        <f t="shared" si="3"/>
        <v>0</v>
      </c>
      <c r="S14" s="591"/>
      <c r="T14" s="591"/>
      <c r="U14" s="591"/>
      <c r="V14" s="591"/>
      <c r="W14" s="592">
        <f t="shared" si="4"/>
        <v>0</v>
      </c>
      <c r="X14" s="590"/>
      <c r="Y14" s="591"/>
      <c r="Z14" s="591"/>
      <c r="AA14" s="591"/>
      <c r="AB14" s="592">
        <f t="shared" si="5"/>
        <v>0</v>
      </c>
      <c r="AC14" s="592">
        <f t="shared" si="6"/>
        <v>497992.15999999997</v>
      </c>
      <c r="AD14" s="720">
        <f t="shared" si="0"/>
        <v>14678427.16</v>
      </c>
    </row>
    <row r="15" spans="1:30" s="589" customFormat="1" ht="14.25">
      <c r="A15" s="718" t="s">
        <v>199</v>
      </c>
      <c r="B15" s="719" t="s">
        <v>339</v>
      </c>
      <c r="C15" s="720">
        <f>'Sch. G 2021'!S18</f>
        <v>1542125</v>
      </c>
      <c r="D15" s="590">
        <v>-27403.799999999999</v>
      </c>
      <c r="E15" s="591"/>
      <c r="F15" s="591"/>
      <c r="G15" s="591">
        <f>-6850.95-179.84</f>
        <v>-7030.79</v>
      </c>
      <c r="H15" s="592">
        <f t="shared" si="1"/>
        <v>-34434.589999999997</v>
      </c>
      <c r="I15" s="590"/>
      <c r="J15" s="591">
        <f>14357.3</f>
        <v>14357.299999999999</v>
      </c>
      <c r="K15" s="591"/>
      <c r="L15" s="591"/>
      <c r="M15" s="592">
        <f t="shared" si="2"/>
        <v>14357.299999999999</v>
      </c>
      <c r="N15" s="590"/>
      <c r="O15" s="591"/>
      <c r="P15" s="591"/>
      <c r="Q15" s="591"/>
      <c r="R15" s="592">
        <f t="shared" si="3"/>
        <v>0</v>
      </c>
      <c r="S15" s="591"/>
      <c r="T15" s="591"/>
      <c r="U15" s="591"/>
      <c r="V15" s="591"/>
      <c r="W15" s="592">
        <f t="shared" si="4"/>
        <v>0</v>
      </c>
      <c r="X15" s="590"/>
      <c r="Y15" s="591"/>
      <c r="Z15" s="591"/>
      <c r="AA15" s="591"/>
      <c r="AB15" s="592">
        <f t="shared" si="5"/>
        <v>0</v>
      </c>
      <c r="AC15" s="592">
        <f t="shared" si="6"/>
        <v>-20077.289999999997</v>
      </c>
      <c r="AD15" s="720">
        <f t="shared" si="0"/>
        <v>1522047.71</v>
      </c>
    </row>
    <row r="16" spans="1:30" s="589" customFormat="1" ht="14.25">
      <c r="A16" s="718" t="s">
        <v>200</v>
      </c>
      <c r="B16" s="719" t="s">
        <v>340</v>
      </c>
      <c r="C16" s="720">
        <f>'Sch. G 2021'!S19</f>
        <v>5470069</v>
      </c>
      <c r="D16" s="590"/>
      <c r="E16" s="591">
        <f>-61470.75-3969.99</f>
        <v>-65440.739999999998</v>
      </c>
      <c r="F16" s="591"/>
      <c r="G16" s="591"/>
      <c r="H16" s="592">
        <f t="shared" si="1"/>
        <v>-65440.739999999998</v>
      </c>
      <c r="I16" s="590"/>
      <c r="J16" s="591">
        <f>-14357.3-33183.89-1285.88</f>
        <v>-48827.07</v>
      </c>
      <c r="K16" s="591"/>
      <c r="L16" s="591"/>
      <c r="M16" s="592">
        <f t="shared" si="2"/>
        <v>-48827.07</v>
      </c>
      <c r="N16" s="590"/>
      <c r="O16" s="591"/>
      <c r="P16" s="591"/>
      <c r="Q16" s="591"/>
      <c r="R16" s="592">
        <f t="shared" si="3"/>
        <v>0</v>
      </c>
      <c r="S16" s="591"/>
      <c r="T16" s="591"/>
      <c r="U16" s="591"/>
      <c r="V16" s="591"/>
      <c r="W16" s="592">
        <f t="shared" si="4"/>
        <v>0</v>
      </c>
      <c r="X16" s="590"/>
      <c r="Y16" s="591"/>
      <c r="Z16" s="591"/>
      <c r="AA16" s="591"/>
      <c r="AB16" s="592">
        <f t="shared" si="5"/>
        <v>0</v>
      </c>
      <c r="AC16" s="592">
        <f t="shared" si="6"/>
        <v>-114267.81</v>
      </c>
      <c r="AD16" s="720">
        <f t="shared" si="0"/>
        <v>5355801.1899999995</v>
      </c>
    </row>
    <row r="17" spans="1:30" s="589" customFormat="1" ht="14.25">
      <c r="A17" s="718">
        <v>3801</v>
      </c>
      <c r="B17" s="719" t="s">
        <v>92</v>
      </c>
      <c r="C17" s="720">
        <f>'Sch. G 2021'!S20</f>
        <v>14713629</v>
      </c>
      <c r="D17" s="590"/>
      <c r="E17" s="591"/>
      <c r="F17" s="591"/>
      <c r="G17" s="591"/>
      <c r="H17" s="592">
        <f t="shared" si="1"/>
        <v>0</v>
      </c>
      <c r="I17" s="590"/>
      <c r="J17" s="591"/>
      <c r="K17" s="591"/>
      <c r="L17" s="591"/>
      <c r="M17" s="592">
        <f t="shared" si="2"/>
        <v>0</v>
      </c>
      <c r="N17" s="590"/>
      <c r="O17" s="591"/>
      <c r="P17" s="591"/>
      <c r="Q17" s="591"/>
      <c r="R17" s="592">
        <f t="shared" si="3"/>
        <v>0</v>
      </c>
      <c r="S17" s="591"/>
      <c r="T17" s="591"/>
      <c r="U17" s="591">
        <f>-409.68-16.52</f>
        <v>-426.19999999999999</v>
      </c>
      <c r="V17" s="591">
        <f>-4369.92-89.38</f>
        <v>-4459.3000000000002</v>
      </c>
      <c r="W17" s="592">
        <f t="shared" si="4"/>
        <v>-4885.5</v>
      </c>
      <c r="X17" s="590"/>
      <c r="Y17" s="591"/>
      <c r="Z17" s="591"/>
      <c r="AA17" s="591"/>
      <c r="AB17" s="592">
        <f t="shared" si="5"/>
        <v>0</v>
      </c>
      <c r="AC17" s="592">
        <f t="shared" si="6"/>
        <v>-4885.5</v>
      </c>
      <c r="AD17" s="720">
        <f t="shared" si="0"/>
        <v>14708743.5</v>
      </c>
    </row>
    <row r="18" spans="1:30" s="589" customFormat="1" ht="14.25">
      <c r="A18" s="718">
        <v>3802</v>
      </c>
      <c r="B18" s="719" t="s">
        <v>93</v>
      </c>
      <c r="C18" s="720">
        <f>'Sch. G 2021'!S21</f>
        <v>2295605</v>
      </c>
      <c r="D18" s="591">
        <v>-76867.270000000004</v>
      </c>
      <c r="E18" s="591"/>
      <c r="F18" s="591">
        <v>-1425.6900000000001</v>
      </c>
      <c r="G18" s="591">
        <v>-64204.720000000001</v>
      </c>
      <c r="H18" s="592">
        <f t="shared" si="1"/>
        <v>-142497.67999999999</v>
      </c>
      <c r="I18" s="590"/>
      <c r="J18" s="591"/>
      <c r="K18" s="591">
        <v>-13776.18</v>
      </c>
      <c r="L18" s="591">
        <v>-18168.41</v>
      </c>
      <c r="M18" s="592">
        <f t="shared" si="2"/>
        <v>-31944.59</v>
      </c>
      <c r="N18" s="590"/>
      <c r="O18" s="591"/>
      <c r="P18" s="591"/>
      <c r="Q18" s="591"/>
      <c r="R18" s="592">
        <f t="shared" si="3"/>
        <v>0</v>
      </c>
      <c r="S18" s="591"/>
      <c r="T18" s="591"/>
      <c r="U18" s="591"/>
      <c r="V18" s="591"/>
      <c r="W18" s="592">
        <f t="shared" si="4"/>
        <v>0</v>
      </c>
      <c r="X18" s="590">
        <v>-82300.509999999995</v>
      </c>
      <c r="Y18" s="591">
        <v>-15878.040000000001</v>
      </c>
      <c r="Z18" s="591"/>
      <c r="AA18" s="591"/>
      <c r="AB18" s="592">
        <f t="shared" si="5"/>
        <v>-98178.549999999988</v>
      </c>
      <c r="AC18" s="592">
        <f t="shared" si="6"/>
        <v>-272620.81999999995</v>
      </c>
      <c r="AD18" s="720">
        <f t="shared" si="0"/>
        <v>2022984.1799999999</v>
      </c>
    </row>
    <row r="19" spans="1:30" s="589" customFormat="1" ht="14.25">
      <c r="A19" s="718" t="s">
        <v>95</v>
      </c>
      <c r="B19" s="719" t="s">
        <v>96</v>
      </c>
      <c r="C19" s="720">
        <f>'Sch. G 2021'!S22</f>
        <v>2139588</v>
      </c>
      <c r="D19" s="591">
        <v>76867.270000000004</v>
      </c>
      <c r="E19" s="591"/>
      <c r="F19" s="591">
        <v>1425.6900000000001</v>
      </c>
      <c r="G19" s="591">
        <v>64204.720000000001</v>
      </c>
      <c r="H19" s="592">
        <f t="shared" si="1"/>
        <v>142497.67999999999</v>
      </c>
      <c r="I19" s="590"/>
      <c r="J19" s="591"/>
      <c r="K19" s="591">
        <v>13776.18</v>
      </c>
      <c r="L19" s="591">
        <v>18168.41</v>
      </c>
      <c r="M19" s="592">
        <f t="shared" si="2"/>
        <v>31944.59</v>
      </c>
      <c r="N19" s="590"/>
      <c r="O19" s="591"/>
      <c r="P19" s="591"/>
      <c r="Q19" s="591"/>
      <c r="R19" s="592">
        <f t="shared" si="3"/>
        <v>0</v>
      </c>
      <c r="S19" s="591"/>
      <c r="T19" s="591"/>
      <c r="U19" s="591"/>
      <c r="V19" s="591"/>
      <c r="W19" s="592">
        <f t="shared" si="4"/>
        <v>0</v>
      </c>
      <c r="X19" s="590">
        <v>82300.509999999995</v>
      </c>
      <c r="Y19" s="591">
        <v>15878.040000000001</v>
      </c>
      <c r="Z19" s="591"/>
      <c r="AA19" s="591"/>
      <c r="AB19" s="592">
        <f t="shared" si="5"/>
        <v>98178.549999999988</v>
      </c>
      <c r="AC19" s="592">
        <f t="shared" si="6"/>
        <v>272620.81999999995</v>
      </c>
      <c r="AD19" s="720">
        <f t="shared" si="0"/>
        <v>2412208.8199999998</v>
      </c>
    </row>
    <row r="20" spans="1:30" s="589" customFormat="1" ht="14.25">
      <c r="A20" s="718" t="s">
        <v>201</v>
      </c>
      <c r="B20" s="719" t="s">
        <v>97</v>
      </c>
      <c r="C20" s="720">
        <f>'Sch. G 2021'!S23</f>
        <v>6842720</v>
      </c>
      <c r="D20" s="590"/>
      <c r="E20" s="591">
        <v>-40358.389999999999</v>
      </c>
      <c r="F20" s="591">
        <v>-39748.940000000002</v>
      </c>
      <c r="G20" s="591">
        <v>-72157.229999999996</v>
      </c>
      <c r="H20" s="592">
        <f t="shared" si="1"/>
        <v>-152264.56</v>
      </c>
      <c r="I20" s="590"/>
      <c r="J20" s="591">
        <v>-4606.5</v>
      </c>
      <c r="K20" s="591"/>
      <c r="L20" s="591">
        <v>-16280.85</v>
      </c>
      <c r="M20" s="592">
        <f t="shared" si="2"/>
        <v>-20887.349999999999</v>
      </c>
      <c r="N20" s="590"/>
      <c r="O20" s="591"/>
      <c r="P20" s="591"/>
      <c r="Q20" s="591"/>
      <c r="R20" s="592">
        <f t="shared" si="3"/>
        <v>0</v>
      </c>
      <c r="S20" s="591"/>
      <c r="T20" s="591">
        <v>-85.390000000000001</v>
      </c>
      <c r="U20" s="591">
        <v>-78.549999999999997</v>
      </c>
      <c r="V20" s="591">
        <v>-23.400000000000002</v>
      </c>
      <c r="W20" s="592">
        <f t="shared" si="4"/>
        <v>-187.34</v>
      </c>
      <c r="X20" s="590"/>
      <c r="Y20" s="591">
        <v>-75</v>
      </c>
      <c r="Z20" s="591"/>
      <c r="AA20" s="591">
        <v>-242.07999999999998</v>
      </c>
      <c r="AB20" s="592">
        <f t="shared" si="5"/>
        <v>-317.07999999999998</v>
      </c>
      <c r="AC20" s="592">
        <f t="shared" si="6"/>
        <v>-173656.32999999999</v>
      </c>
      <c r="AD20" s="720">
        <f t="shared" si="0"/>
        <v>6669063.6700000009</v>
      </c>
    </row>
    <row r="21" spans="1:30" s="589" customFormat="1" ht="14.25">
      <c r="A21" s="718">
        <v>3811</v>
      </c>
      <c r="B21" s="719" t="s">
        <v>98</v>
      </c>
      <c r="C21" s="720">
        <f>'Sch. G 2021'!S24</f>
        <v>1355967</v>
      </c>
      <c r="D21" s="590"/>
      <c r="E21" s="591"/>
      <c r="F21" s="591"/>
      <c r="G21" s="591"/>
      <c r="H21" s="592">
        <f t="shared" si="1"/>
        <v>0</v>
      </c>
      <c r="I21" s="590"/>
      <c r="J21" s="591"/>
      <c r="K21" s="591"/>
      <c r="L21" s="591"/>
      <c r="M21" s="592">
        <f t="shared" si="2"/>
        <v>0</v>
      </c>
      <c r="N21" s="590"/>
      <c r="O21" s="591"/>
      <c r="P21" s="591"/>
      <c r="Q21" s="591"/>
      <c r="R21" s="592">
        <f t="shared" si="3"/>
        <v>0</v>
      </c>
      <c r="S21" s="591"/>
      <c r="T21" s="591"/>
      <c r="U21" s="591"/>
      <c r="V21" s="591"/>
      <c r="W21" s="592">
        <f t="shared" si="4"/>
        <v>0</v>
      </c>
      <c r="X21" s="590"/>
      <c r="Y21" s="591"/>
      <c r="Z21" s="591"/>
      <c r="AA21" s="591"/>
      <c r="AB21" s="592">
        <f t="shared" si="5"/>
        <v>0</v>
      </c>
      <c r="AC21" s="592">
        <f t="shared" si="6"/>
        <v>0</v>
      </c>
      <c r="AD21" s="720">
        <f t="shared" si="0"/>
        <v>1355967</v>
      </c>
    </row>
    <row r="22" spans="1:30" s="589" customFormat="1" ht="14.25">
      <c r="A22" s="718" t="s">
        <v>202</v>
      </c>
      <c r="B22" s="719" t="s">
        <v>99</v>
      </c>
      <c r="C22" s="720">
        <f>'Sch. G 2021'!S25</f>
        <v>4510962</v>
      </c>
      <c r="D22" s="590"/>
      <c r="E22" s="591">
        <v>40358.389999999999</v>
      </c>
      <c r="F22" s="591">
        <v>39748.940000000002</v>
      </c>
      <c r="G22" s="591">
        <v>72157.229999999996</v>
      </c>
      <c r="H22" s="592">
        <f t="shared" si="1"/>
        <v>152264.56</v>
      </c>
      <c r="I22" s="590"/>
      <c r="J22" s="591"/>
      <c r="K22" s="591"/>
      <c r="L22" s="591">
        <v>16280.85</v>
      </c>
      <c r="M22" s="592">
        <f t="shared" si="2"/>
        <v>16280.85</v>
      </c>
      <c r="N22" s="590"/>
      <c r="O22" s="591"/>
      <c r="P22" s="591"/>
      <c r="Q22" s="591"/>
      <c r="R22" s="592">
        <f t="shared" si="3"/>
        <v>0</v>
      </c>
      <c r="S22" s="591"/>
      <c r="T22" s="591">
        <v>85.390000000000001</v>
      </c>
      <c r="U22" s="591">
        <v>78.549999999999997</v>
      </c>
      <c r="V22" s="591">
        <v>23.399999999999999</v>
      </c>
      <c r="W22" s="592">
        <f t="shared" si="4"/>
        <v>187.34</v>
      </c>
      <c r="X22" s="590"/>
      <c r="Y22" s="591">
        <v>75</v>
      </c>
      <c r="Z22" s="591"/>
      <c r="AA22" s="591">
        <v>242.08000000000001</v>
      </c>
      <c r="AB22" s="592">
        <f t="shared" si="5"/>
        <v>317.08000000000004</v>
      </c>
      <c r="AC22" s="592">
        <f t="shared" si="6"/>
        <v>169049.82999999999</v>
      </c>
      <c r="AD22" s="720">
        <f t="shared" si="0"/>
        <v>4680011.8299999991</v>
      </c>
    </row>
    <row r="23" spans="1:30" s="589" customFormat="1" ht="14.25">
      <c r="A23" s="718">
        <v>3821</v>
      </c>
      <c r="B23" s="719" t="s">
        <v>100</v>
      </c>
      <c r="C23" s="720">
        <f>'Sch. G 2021'!S26</f>
        <v>268026</v>
      </c>
      <c r="D23" s="590"/>
      <c r="E23" s="591"/>
      <c r="F23" s="591"/>
      <c r="G23" s="591"/>
      <c r="H23" s="592">
        <f t="shared" si="1"/>
        <v>0</v>
      </c>
      <c r="I23" s="590"/>
      <c r="J23" s="591"/>
      <c r="K23" s="591"/>
      <c r="L23" s="591"/>
      <c r="M23" s="592">
        <f t="shared" si="2"/>
        <v>0</v>
      </c>
      <c r="N23" s="590"/>
      <c r="O23" s="591"/>
      <c r="P23" s="591"/>
      <c r="Q23" s="591"/>
      <c r="R23" s="592">
        <f t="shared" si="3"/>
        <v>0</v>
      </c>
      <c r="S23" s="591"/>
      <c r="T23" s="591"/>
      <c r="U23" s="591"/>
      <c r="V23" s="591"/>
      <c r="W23" s="592">
        <f t="shared" si="4"/>
        <v>0</v>
      </c>
      <c r="X23" s="590"/>
      <c r="Y23" s="591"/>
      <c r="Z23" s="591"/>
      <c r="AA23" s="591"/>
      <c r="AB23" s="592">
        <f t="shared" si="5"/>
        <v>0</v>
      </c>
      <c r="AC23" s="592">
        <f t="shared" si="6"/>
        <v>0</v>
      </c>
      <c r="AD23" s="720">
        <f t="shared" si="0"/>
        <v>268026</v>
      </c>
    </row>
    <row r="24" spans="1:30" s="589" customFormat="1" ht="14.25">
      <c r="A24" s="718" t="s">
        <v>203</v>
      </c>
      <c r="B24" s="719" t="s">
        <v>341</v>
      </c>
      <c r="C24" s="720">
        <f>'Sch. G 2021'!S27</f>
        <v>2909271</v>
      </c>
      <c r="D24" s="590"/>
      <c r="E24" s="591"/>
      <c r="F24" s="591"/>
      <c r="G24" s="591"/>
      <c r="H24" s="592">
        <f t="shared" si="1"/>
        <v>0</v>
      </c>
      <c r="I24" s="590"/>
      <c r="J24" s="591">
        <v>4606.5</v>
      </c>
      <c r="K24" s="591"/>
      <c r="L24" s="591"/>
      <c r="M24" s="592">
        <f t="shared" si="2"/>
        <v>4606.5</v>
      </c>
      <c r="N24" s="590"/>
      <c r="O24" s="591"/>
      <c r="P24" s="591"/>
      <c r="Q24" s="591"/>
      <c r="R24" s="592">
        <f t="shared" si="3"/>
        <v>0</v>
      </c>
      <c r="S24" s="591"/>
      <c r="T24" s="591"/>
      <c r="U24" s="591"/>
      <c r="V24" s="591"/>
      <c r="W24" s="592">
        <f t="shared" si="4"/>
        <v>0</v>
      </c>
      <c r="X24" s="590"/>
      <c r="Y24" s="591"/>
      <c r="Z24" s="591"/>
      <c r="AA24" s="591"/>
      <c r="AB24" s="592">
        <f t="shared" si="5"/>
        <v>0</v>
      </c>
      <c r="AC24" s="592">
        <f t="shared" si="6"/>
        <v>4606.5</v>
      </c>
      <c r="AD24" s="720">
        <f t="shared" si="0"/>
        <v>2913877.5</v>
      </c>
    </row>
    <row r="25" spans="1:30" s="589" customFormat="1" ht="14.25">
      <c r="A25" s="718" t="s">
        <v>204</v>
      </c>
      <c r="B25" s="719" t="s">
        <v>342</v>
      </c>
      <c r="C25" s="720">
        <f>'Sch. G 2021'!S28</f>
        <v>665282</v>
      </c>
      <c r="D25" s="590"/>
      <c r="E25" s="591"/>
      <c r="F25" s="591"/>
      <c r="G25" s="591"/>
      <c r="H25" s="592">
        <f t="shared" si="1"/>
        <v>0</v>
      </c>
      <c r="I25" s="590"/>
      <c r="J25" s="591"/>
      <c r="K25" s="591"/>
      <c r="L25" s="591"/>
      <c r="M25" s="592">
        <f t="shared" si="2"/>
        <v>0</v>
      </c>
      <c r="N25" s="590"/>
      <c r="O25" s="591"/>
      <c r="P25" s="591"/>
      <c r="Q25" s="591"/>
      <c r="R25" s="592">
        <f t="shared" si="3"/>
        <v>0</v>
      </c>
      <c r="S25" s="591"/>
      <c r="T25" s="591"/>
      <c r="U25" s="591"/>
      <c r="V25" s="591"/>
      <c r="W25" s="592">
        <f t="shared" si="4"/>
        <v>0</v>
      </c>
      <c r="X25" s="590"/>
      <c r="Y25" s="591"/>
      <c r="Z25" s="591"/>
      <c r="AA25" s="591"/>
      <c r="AB25" s="592">
        <f t="shared" si="5"/>
        <v>0</v>
      </c>
      <c r="AC25" s="592">
        <f t="shared" si="6"/>
        <v>0</v>
      </c>
      <c r="AD25" s="720">
        <f t="shared" si="0"/>
        <v>665282</v>
      </c>
    </row>
    <row r="26" spans="1:30" s="589" customFormat="1" ht="14.25">
      <c r="A26" s="718" t="s">
        <v>205</v>
      </c>
      <c r="B26" s="719" t="s">
        <v>343</v>
      </c>
      <c r="C26" s="720">
        <f>'Sch. G 2021'!S29</f>
        <v>1230172</v>
      </c>
      <c r="D26" s="590"/>
      <c r="E26" s="591"/>
      <c r="F26" s="591"/>
      <c r="G26" s="591"/>
      <c r="H26" s="592">
        <f t="shared" si="1"/>
        <v>0</v>
      </c>
      <c r="I26" s="590"/>
      <c r="J26" s="591"/>
      <c r="K26" s="591"/>
      <c r="L26" s="591"/>
      <c r="M26" s="592">
        <f t="shared" si="2"/>
        <v>0</v>
      </c>
      <c r="N26" s="590"/>
      <c r="O26" s="591"/>
      <c r="P26" s="591"/>
      <c r="Q26" s="591"/>
      <c r="R26" s="592">
        <f t="shared" si="3"/>
        <v>0</v>
      </c>
      <c r="S26" s="591"/>
      <c r="T26" s="591"/>
      <c r="U26" s="591"/>
      <c r="V26" s="591"/>
      <c r="W26" s="592">
        <f t="shared" si="4"/>
        <v>0</v>
      </c>
      <c r="X26" s="590"/>
      <c r="Y26" s="591"/>
      <c r="Z26" s="591">
        <v>6224.5799999999999</v>
      </c>
      <c r="AA26" s="591"/>
      <c r="AB26" s="592">
        <f t="shared" si="5"/>
        <v>6224.5799999999999</v>
      </c>
      <c r="AC26" s="592">
        <f t="shared" si="6"/>
        <v>6224.5799999999999</v>
      </c>
      <c r="AD26" s="720">
        <f t="shared" si="0"/>
        <v>1236396.5800000001</v>
      </c>
    </row>
    <row r="27" spans="1:30" s="589" customFormat="1" ht="14.25">
      <c r="A27" s="718" t="s">
        <v>206</v>
      </c>
      <c r="B27" s="719" t="s">
        <v>105</v>
      </c>
      <c r="C27" s="720">
        <f>'Sch. G 2021'!S30</f>
        <v>1367694</v>
      </c>
      <c r="D27" s="590"/>
      <c r="E27" s="591"/>
      <c r="F27" s="591"/>
      <c r="G27" s="591"/>
      <c r="H27" s="592">
        <f t="shared" si="1"/>
        <v>0</v>
      </c>
      <c r="I27" s="590"/>
      <c r="J27" s="591"/>
      <c r="K27" s="591"/>
      <c r="L27" s="591"/>
      <c r="M27" s="592">
        <f t="shared" si="2"/>
        <v>0</v>
      </c>
      <c r="N27" s="590"/>
      <c r="O27" s="591"/>
      <c r="P27" s="591"/>
      <c r="Q27" s="591"/>
      <c r="R27" s="592">
        <f t="shared" si="3"/>
        <v>0</v>
      </c>
      <c r="S27" s="590"/>
      <c r="T27" s="591"/>
      <c r="U27" s="591"/>
      <c r="V27" s="591"/>
      <c r="W27" s="592">
        <f t="shared" si="4"/>
        <v>0</v>
      </c>
      <c r="X27" s="590"/>
      <c r="Y27" s="591"/>
      <c r="Z27" s="591"/>
      <c r="AA27" s="591"/>
      <c r="AB27" s="592">
        <f t="shared" si="5"/>
        <v>0</v>
      </c>
      <c r="AC27" s="592">
        <f t="shared" si="6"/>
        <v>0</v>
      </c>
      <c r="AD27" s="720">
        <f t="shared" si="0"/>
        <v>1367694</v>
      </c>
    </row>
    <row r="28" spans="1:30" s="589" customFormat="1" ht="14.25">
      <c r="A28" s="718" t="s">
        <v>207</v>
      </c>
      <c r="B28" s="719" t="s">
        <v>344</v>
      </c>
      <c r="C28" s="720">
        <f>'Sch. G 2021'!S31</f>
        <v>1318</v>
      </c>
      <c r="D28" s="590"/>
      <c r="E28" s="591"/>
      <c r="F28" s="591"/>
      <c r="G28" s="591"/>
      <c r="H28" s="592">
        <f t="shared" si="1"/>
        <v>0</v>
      </c>
      <c r="I28" s="590"/>
      <c r="J28" s="591"/>
      <c r="K28" s="591"/>
      <c r="L28" s="591"/>
      <c r="M28" s="592">
        <f t="shared" si="2"/>
        <v>0</v>
      </c>
      <c r="N28" s="590"/>
      <c r="O28" s="591"/>
      <c r="P28" s="591"/>
      <c r="Q28" s="591"/>
      <c r="R28" s="592">
        <f t="shared" si="3"/>
        <v>0</v>
      </c>
      <c r="S28" s="590"/>
      <c r="T28" s="591"/>
      <c r="U28" s="591"/>
      <c r="V28" s="591"/>
      <c r="W28" s="592">
        <f t="shared" si="4"/>
        <v>0</v>
      </c>
      <c r="X28" s="590"/>
      <c r="Y28" s="591"/>
      <c r="Z28" s="591"/>
      <c r="AA28" s="591"/>
      <c r="AB28" s="592">
        <f t="shared" si="5"/>
        <v>0</v>
      </c>
      <c r="AC28" s="592">
        <f t="shared" si="6"/>
        <v>0</v>
      </c>
      <c r="AD28" s="720">
        <f t="shared" si="0"/>
        <v>1318</v>
      </c>
    </row>
    <row r="29" spans="1:30" s="589" customFormat="1" ht="14.25">
      <c r="A29" s="718" t="s">
        <v>208</v>
      </c>
      <c r="B29" s="719" t="s">
        <v>82</v>
      </c>
      <c r="C29" s="720">
        <f>'Sch. G 2021'!S32</f>
        <v>893260</v>
      </c>
      <c r="D29" s="590"/>
      <c r="E29" s="591"/>
      <c r="F29" s="591"/>
      <c r="G29" s="591"/>
      <c r="H29" s="592">
        <f t="shared" si="1"/>
        <v>0</v>
      </c>
      <c r="I29" s="590"/>
      <c r="J29" s="591"/>
      <c r="K29" s="591"/>
      <c r="L29" s="591"/>
      <c r="M29" s="592">
        <f t="shared" si="2"/>
        <v>0</v>
      </c>
      <c r="N29" s="590"/>
      <c r="O29" s="591"/>
      <c r="P29" s="591"/>
      <c r="Q29" s="591"/>
      <c r="R29" s="592">
        <f t="shared" si="3"/>
        <v>0</v>
      </c>
      <c r="S29" s="590"/>
      <c r="T29" s="591"/>
      <c r="U29" s="591"/>
      <c r="V29" s="591"/>
      <c r="W29" s="592">
        <f t="shared" si="4"/>
        <v>0</v>
      </c>
      <c r="X29" s="590"/>
      <c r="Y29" s="591"/>
      <c r="Z29" s="591"/>
      <c r="AA29" s="591"/>
      <c r="AB29" s="592">
        <f t="shared" si="5"/>
        <v>0</v>
      </c>
      <c r="AC29" s="592">
        <f t="shared" si="6"/>
        <v>0</v>
      </c>
      <c r="AD29" s="720">
        <f t="shared" si="0"/>
        <v>893260</v>
      </c>
    </row>
    <row r="30" spans="1:30" s="589" customFormat="1" ht="14.25">
      <c r="A30" s="718">
        <v>3910</v>
      </c>
      <c r="B30" s="719" t="s">
        <v>109</v>
      </c>
      <c r="C30" s="720">
        <f>'Sch. G 2021'!S33</f>
        <v>836757</v>
      </c>
      <c r="D30" s="590"/>
      <c r="E30" s="591"/>
      <c r="F30" s="591"/>
      <c r="G30" s="591"/>
      <c r="H30" s="592">
        <f t="shared" si="1"/>
        <v>0</v>
      </c>
      <c r="I30" s="590"/>
      <c r="J30" s="591"/>
      <c r="K30" s="591"/>
      <c r="L30" s="591"/>
      <c r="M30" s="592">
        <f t="shared" si="2"/>
        <v>0</v>
      </c>
      <c r="N30" s="590"/>
      <c r="O30" s="591"/>
      <c r="P30" s="591"/>
      <c r="Q30" s="591"/>
      <c r="R30" s="592">
        <f t="shared" si="3"/>
        <v>0</v>
      </c>
      <c r="S30" s="590"/>
      <c r="T30" s="591"/>
      <c r="U30" s="591"/>
      <c r="V30" s="591"/>
      <c r="W30" s="592">
        <f t="shared" si="4"/>
        <v>0</v>
      </c>
      <c r="X30" s="590"/>
      <c r="Y30" s="591"/>
      <c r="Z30" s="591"/>
      <c r="AA30" s="591"/>
      <c r="AB30" s="592">
        <f t="shared" si="5"/>
        <v>0</v>
      </c>
      <c r="AC30" s="592">
        <f t="shared" si="6"/>
        <v>0</v>
      </c>
      <c r="AD30" s="720">
        <f t="shared" si="0"/>
        <v>836757</v>
      </c>
    </row>
    <row r="31" spans="1:30" s="589" customFormat="1" ht="14.25">
      <c r="A31" s="718">
        <v>3912</v>
      </c>
      <c r="B31" s="719" t="s">
        <v>345</v>
      </c>
      <c r="C31" s="720">
        <f>'Sch. G 2021'!S34</f>
        <v>-140378</v>
      </c>
      <c r="D31" s="590"/>
      <c r="E31" s="591"/>
      <c r="F31" s="591"/>
      <c r="G31" s="591"/>
      <c r="H31" s="592">
        <f t="shared" si="1"/>
        <v>0</v>
      </c>
      <c r="I31" s="590"/>
      <c r="J31" s="591"/>
      <c r="K31" s="591"/>
      <c r="L31" s="591"/>
      <c r="M31" s="592">
        <f t="shared" si="2"/>
        <v>0</v>
      </c>
      <c r="N31" s="590"/>
      <c r="O31" s="591"/>
      <c r="P31" s="591"/>
      <c r="Q31" s="591"/>
      <c r="R31" s="592">
        <f t="shared" si="3"/>
        <v>0</v>
      </c>
      <c r="S31" s="590"/>
      <c r="T31" s="591"/>
      <c r="U31" s="591"/>
      <c r="V31" s="591"/>
      <c r="W31" s="592">
        <f t="shared" si="4"/>
        <v>0</v>
      </c>
      <c r="X31" s="590"/>
      <c r="Y31" s="591"/>
      <c r="Z31" s="591"/>
      <c r="AA31" s="591"/>
      <c r="AB31" s="592">
        <f t="shared" si="5"/>
        <v>0</v>
      </c>
      <c r="AC31" s="592">
        <f t="shared" si="6"/>
        <v>0</v>
      </c>
      <c r="AD31" s="720">
        <f t="shared" si="0"/>
        <v>-140378</v>
      </c>
    </row>
    <row r="32" spans="1:30" s="589" customFormat="1" ht="14.25">
      <c r="A32" s="718">
        <v>3913</v>
      </c>
      <c r="B32" s="719" t="s">
        <v>113</v>
      </c>
      <c r="C32" s="720">
        <f>'Sch. G 2021'!S35</f>
        <v>-21873</v>
      </c>
      <c r="D32" s="590"/>
      <c r="E32" s="591"/>
      <c r="F32" s="591"/>
      <c r="G32" s="591"/>
      <c r="H32" s="592">
        <f t="shared" si="1"/>
        <v>0</v>
      </c>
      <c r="I32" s="590"/>
      <c r="J32" s="591"/>
      <c r="K32" s="591"/>
      <c r="L32" s="591"/>
      <c r="M32" s="592">
        <f t="shared" si="2"/>
        <v>0</v>
      </c>
      <c r="N32" s="590"/>
      <c r="O32" s="591"/>
      <c r="P32" s="591"/>
      <c r="Q32" s="591"/>
      <c r="R32" s="592">
        <f t="shared" si="3"/>
        <v>0</v>
      </c>
      <c r="S32" s="590"/>
      <c r="T32" s="591"/>
      <c r="U32" s="591"/>
      <c r="V32" s="591"/>
      <c r="W32" s="592">
        <f t="shared" si="4"/>
        <v>0</v>
      </c>
      <c r="X32" s="590"/>
      <c r="Y32" s="591"/>
      <c r="Z32" s="591"/>
      <c r="AA32" s="591"/>
      <c r="AB32" s="592">
        <f t="shared" si="5"/>
        <v>0</v>
      </c>
      <c r="AC32" s="592">
        <f t="shared" si="6"/>
        <v>0</v>
      </c>
      <c r="AD32" s="720">
        <f t="shared" si="0"/>
        <v>-21873</v>
      </c>
    </row>
    <row r="33" spans="1:30" s="589" customFormat="1" ht="14.25">
      <c r="A33" s="718">
        <v>3914</v>
      </c>
      <c r="B33" s="719" t="s">
        <v>115</v>
      </c>
      <c r="C33" s="720">
        <f>'Sch. G 2021'!S36</f>
        <v>2688686</v>
      </c>
      <c r="D33" s="590"/>
      <c r="E33" s="591"/>
      <c r="F33" s="591"/>
      <c r="G33" s="591"/>
      <c r="H33" s="592">
        <f t="shared" si="1"/>
        <v>0</v>
      </c>
      <c r="I33" s="590"/>
      <c r="J33" s="591"/>
      <c r="K33" s="591"/>
      <c r="L33" s="591"/>
      <c r="M33" s="592">
        <f t="shared" si="2"/>
        <v>0</v>
      </c>
      <c r="N33" s="590"/>
      <c r="O33" s="591"/>
      <c r="P33" s="591"/>
      <c r="Q33" s="591"/>
      <c r="R33" s="592">
        <f t="shared" si="3"/>
        <v>0</v>
      </c>
      <c r="S33" s="590"/>
      <c r="T33" s="591"/>
      <c r="U33" s="591"/>
      <c r="V33" s="591"/>
      <c r="W33" s="592">
        <f t="shared" si="4"/>
        <v>0</v>
      </c>
      <c r="X33" s="590"/>
      <c r="Y33" s="591"/>
      <c r="Z33" s="591"/>
      <c r="AA33" s="591"/>
      <c r="AB33" s="592">
        <f t="shared" si="5"/>
        <v>0</v>
      </c>
      <c r="AC33" s="592">
        <f t="shared" si="6"/>
        <v>0</v>
      </c>
      <c r="AD33" s="720">
        <f t="shared" si="0"/>
        <v>2688686</v>
      </c>
    </row>
    <row r="34" spans="1:30" s="589" customFormat="1" ht="14.25">
      <c r="A34" s="718">
        <v>3921</v>
      </c>
      <c r="B34" s="719" t="s">
        <v>116</v>
      </c>
      <c r="C34" s="720">
        <f>'Sch. G 2021'!S37</f>
        <v>214756</v>
      </c>
      <c r="D34" s="590"/>
      <c r="E34" s="591"/>
      <c r="F34" s="591"/>
      <c r="G34" s="591">
        <f>-2905.28</f>
        <v>-2905.2800000000002</v>
      </c>
      <c r="H34" s="592">
        <f t="shared" si="1"/>
        <v>-2905.2800000000002</v>
      </c>
      <c r="I34" s="590"/>
      <c r="J34" s="591"/>
      <c r="K34" s="591"/>
      <c r="L34" s="591"/>
      <c r="M34" s="592">
        <f t="shared" si="2"/>
        <v>0</v>
      </c>
      <c r="N34" s="590">
        <v>-73672.610000000001</v>
      </c>
      <c r="O34" s="591">
        <f>8300-3249.45-13611.12</f>
        <v>-8560.5699999999997</v>
      </c>
      <c r="P34" s="591">
        <f>7000-2537.5-13259.16</f>
        <v>-8796.6599999999999</v>
      </c>
      <c r="Q34" s="591"/>
      <c r="R34" s="592">
        <f t="shared" si="3"/>
        <v>-91029.839999999997</v>
      </c>
      <c r="S34" s="590"/>
      <c r="T34" s="591"/>
      <c r="U34" s="591"/>
      <c r="V34" s="591"/>
      <c r="W34" s="592">
        <f t="shared" si="4"/>
        <v>0</v>
      </c>
      <c r="X34" s="590"/>
      <c r="Y34" s="591"/>
      <c r="Z34" s="591"/>
      <c r="AA34" s="591"/>
      <c r="AB34" s="592">
        <f t="shared" si="5"/>
        <v>0</v>
      </c>
      <c r="AC34" s="592">
        <f t="shared" si="6"/>
        <v>-93935.119999999995</v>
      </c>
      <c r="AD34" s="720">
        <f t="shared" si="0"/>
        <v>120820.88</v>
      </c>
    </row>
    <row r="35" spans="1:30" s="589" customFormat="1" ht="14.25">
      <c r="A35" s="718">
        <v>3922</v>
      </c>
      <c r="B35" s="719" t="s">
        <v>117</v>
      </c>
      <c r="C35" s="720">
        <f>'Sch. G 2021'!S38</f>
        <v>2631860</v>
      </c>
      <c r="D35" s="590"/>
      <c r="E35" s="591">
        <v>-2453.7399999999998</v>
      </c>
      <c r="F35" s="591"/>
      <c r="G35" s="591">
        <f>1402.55+14465+6217.47-68.84-1727.91-7400.84</f>
        <v>12887.43</v>
      </c>
      <c r="H35" s="592">
        <f t="shared" si="1"/>
        <v>10433.690000000001</v>
      </c>
      <c r="I35" s="590"/>
      <c r="J35" s="591"/>
      <c r="K35" s="591">
        <f>-12826.41+6192.06-17257.54+8331.23</f>
        <v>-15560.66</v>
      </c>
      <c r="L35" s="591"/>
      <c r="M35" s="592">
        <f t="shared" si="2"/>
        <v>-15560.66</v>
      </c>
      <c r="N35" s="590">
        <f>-43625.65-37313.56+36885.18</f>
        <v>-44054.029999999992</v>
      </c>
      <c r="O35" s="590">
        <v>6570.8900000000003</v>
      </c>
      <c r="P35" s="591">
        <v>6400.9799999999996</v>
      </c>
      <c r="Q35" s="591">
        <v>73796.740000000005</v>
      </c>
      <c r="R35" s="592">
        <f t="shared" si="3"/>
        <v>42714.580000000016</v>
      </c>
      <c r="S35" s="590"/>
      <c r="T35" s="591"/>
      <c r="U35" s="591"/>
      <c r="V35" s="591"/>
      <c r="W35" s="592">
        <f t="shared" si="4"/>
        <v>0</v>
      </c>
      <c r="X35" s="590"/>
      <c r="Y35" s="591"/>
      <c r="Z35" s="591"/>
      <c r="AA35" s="591"/>
      <c r="AB35" s="592">
        <f t="shared" si="5"/>
        <v>0</v>
      </c>
      <c r="AC35" s="592">
        <f t="shared" si="6"/>
        <v>37587.610000000015</v>
      </c>
      <c r="AD35" s="720">
        <f t="shared" si="0"/>
        <v>2669447.6099999999</v>
      </c>
    </row>
    <row r="36" spans="1:30" s="589" customFormat="1" ht="14.25">
      <c r="A36" s="718">
        <v>3923</v>
      </c>
      <c r="B36" s="719" t="s">
        <v>346</v>
      </c>
      <c r="C36" s="720">
        <f>'Sch. G 2021'!S39</f>
        <v>0</v>
      </c>
      <c r="D36" s="590"/>
      <c r="E36" s="591"/>
      <c r="F36" s="591"/>
      <c r="G36" s="591"/>
      <c r="H36" s="592">
        <f t="shared" si="1"/>
        <v>0</v>
      </c>
      <c r="I36" s="590"/>
      <c r="J36" s="591"/>
      <c r="K36" s="591"/>
      <c r="L36" s="591"/>
      <c r="M36" s="592">
        <f t="shared" si="2"/>
        <v>0</v>
      </c>
      <c r="N36" s="590"/>
      <c r="O36" s="591"/>
      <c r="P36" s="591"/>
      <c r="Q36" s="591"/>
      <c r="R36" s="592">
        <f t="shared" si="3"/>
        <v>0</v>
      </c>
      <c r="S36" s="590"/>
      <c r="T36" s="591"/>
      <c r="U36" s="591"/>
      <c r="V36" s="591"/>
      <c r="W36" s="592">
        <f t="shared" si="4"/>
        <v>0</v>
      </c>
      <c r="X36" s="590"/>
      <c r="Y36" s="591"/>
      <c r="Z36" s="591"/>
      <c r="AA36" s="591"/>
      <c r="AB36" s="592">
        <f t="shared" si="5"/>
        <v>0</v>
      </c>
      <c r="AC36" s="592">
        <f t="shared" si="6"/>
        <v>0</v>
      </c>
      <c r="AD36" s="720">
        <f t="shared" si="0"/>
        <v>0</v>
      </c>
    </row>
    <row r="37" spans="1:30" s="589" customFormat="1" ht="14.25">
      <c r="A37" s="718">
        <v>3924</v>
      </c>
      <c r="B37" s="719" t="s">
        <v>347</v>
      </c>
      <c r="C37" s="720">
        <f>'Sch. G 2021'!S40</f>
        <v>45939</v>
      </c>
      <c r="D37" s="590"/>
      <c r="E37" s="591"/>
      <c r="F37" s="591"/>
      <c r="G37" s="591"/>
      <c r="H37" s="592">
        <f>SUM(D37:G37)</f>
        <v>0</v>
      </c>
      <c r="I37" s="590"/>
      <c r="J37" s="591"/>
      <c r="K37" s="591"/>
      <c r="L37" s="591"/>
      <c r="M37" s="592">
        <f>SUM(I37:L37)</f>
        <v>0</v>
      </c>
      <c r="N37" s="590"/>
      <c r="O37" s="591"/>
      <c r="P37" s="591"/>
      <c r="Q37" s="591"/>
      <c r="R37" s="592">
        <f>SUM(N37:Q37)</f>
        <v>0</v>
      </c>
      <c r="S37" s="590"/>
      <c r="T37" s="591"/>
      <c r="U37" s="591"/>
      <c r="V37" s="591"/>
      <c r="W37" s="592">
        <f>SUM(S37:V37)</f>
        <v>0</v>
      </c>
      <c r="X37" s="590"/>
      <c r="Y37" s="591"/>
      <c r="Z37" s="591"/>
      <c r="AA37" s="591"/>
      <c r="AB37" s="592">
        <f>SUM(X37:AA37)</f>
        <v>0</v>
      </c>
      <c r="AC37" s="592">
        <f t="shared" si="6"/>
        <v>0</v>
      </c>
      <c r="AD37" s="720">
        <f t="shared" si="0"/>
        <v>45939</v>
      </c>
    </row>
    <row r="38" spans="1:30" s="589" customFormat="1" ht="14.25">
      <c r="A38" s="718" t="s">
        <v>209</v>
      </c>
      <c r="B38" s="719" t="s">
        <v>120</v>
      </c>
      <c r="C38" s="720">
        <f>'Sch. G 2021'!S41</f>
        <v>14380</v>
      </c>
      <c r="D38" s="590"/>
      <c r="E38" s="591"/>
      <c r="F38" s="591"/>
      <c r="G38" s="591"/>
      <c r="H38" s="592">
        <f t="shared" si="1"/>
        <v>0</v>
      </c>
      <c r="I38" s="590"/>
      <c r="J38" s="591"/>
      <c r="K38" s="591"/>
      <c r="L38" s="591"/>
      <c r="M38" s="592">
        <f t="shared" si="2"/>
        <v>0</v>
      </c>
      <c r="N38" s="590"/>
      <c r="O38" s="591"/>
      <c r="P38" s="591"/>
      <c r="Q38" s="591"/>
      <c r="R38" s="592">
        <f t="shared" si="3"/>
        <v>0</v>
      </c>
      <c r="S38" s="590"/>
      <c r="T38" s="591"/>
      <c r="U38" s="591"/>
      <c r="V38" s="591"/>
      <c r="W38" s="592">
        <f t="shared" si="4"/>
        <v>0</v>
      </c>
      <c r="X38" s="590"/>
      <c r="Y38" s="591"/>
      <c r="Z38" s="591"/>
      <c r="AA38" s="591"/>
      <c r="AB38" s="592">
        <f t="shared" si="5"/>
        <v>0</v>
      </c>
      <c r="AC38" s="592">
        <f t="shared" si="6"/>
        <v>0</v>
      </c>
      <c r="AD38" s="720">
        <f t="shared" si="0"/>
        <v>14380</v>
      </c>
    </row>
    <row r="39" spans="1:30" s="589" customFormat="1" ht="14.25">
      <c r="A39" s="718" t="s">
        <v>210</v>
      </c>
      <c r="B39" s="719" t="s">
        <v>122</v>
      </c>
      <c r="C39" s="720">
        <f>'Sch. G 2021'!S42</f>
        <v>604290</v>
      </c>
      <c r="D39" s="590"/>
      <c r="E39" s="591">
        <v>1947.4100000000001</v>
      </c>
      <c r="F39" s="591"/>
      <c r="G39" s="591"/>
      <c r="H39" s="592">
        <f t="shared" si="1"/>
        <v>1947.4100000000001</v>
      </c>
      <c r="I39" s="590"/>
      <c r="J39" s="591"/>
      <c r="K39" s="591"/>
      <c r="L39" s="591"/>
      <c r="M39" s="592">
        <f t="shared" si="2"/>
        <v>0</v>
      </c>
      <c r="N39" s="590"/>
      <c r="O39" s="591"/>
      <c r="P39" s="591"/>
      <c r="Q39" s="591"/>
      <c r="R39" s="592">
        <f t="shared" si="3"/>
        <v>0</v>
      </c>
      <c r="S39" s="590"/>
      <c r="T39" s="591"/>
      <c r="U39" s="591"/>
      <c r="V39" s="591"/>
      <c r="W39" s="592">
        <f t="shared" si="4"/>
        <v>0</v>
      </c>
      <c r="X39" s="590"/>
      <c r="Y39" s="591"/>
      <c r="Z39" s="591"/>
      <c r="AA39" s="591"/>
      <c r="AB39" s="592">
        <f t="shared" si="5"/>
        <v>0</v>
      </c>
      <c r="AC39" s="592">
        <f t="shared" si="6"/>
        <v>1947.4100000000001</v>
      </c>
      <c r="AD39" s="720">
        <f t="shared" si="0"/>
        <v>606237.41000000003</v>
      </c>
    </row>
    <row r="40" spans="1:30" s="589" customFormat="1" ht="14.25">
      <c r="A40" s="718" t="s">
        <v>211</v>
      </c>
      <c r="B40" s="719" t="s">
        <v>124</v>
      </c>
      <c r="C40" s="720">
        <f>'Sch. G 2021'!S43</f>
        <v>0</v>
      </c>
      <c r="D40" s="590"/>
      <c r="E40" s="591"/>
      <c r="F40" s="591"/>
      <c r="G40" s="591"/>
      <c r="H40" s="592">
        <f t="shared" si="1"/>
        <v>0</v>
      </c>
      <c r="I40" s="590"/>
      <c r="J40" s="591"/>
      <c r="K40" s="591"/>
      <c r="L40" s="591"/>
      <c r="M40" s="592">
        <f t="shared" si="2"/>
        <v>0</v>
      </c>
      <c r="N40" s="590"/>
      <c r="O40" s="591"/>
      <c r="P40" s="591"/>
      <c r="Q40" s="591"/>
      <c r="R40" s="592">
        <f t="shared" si="3"/>
        <v>0</v>
      </c>
      <c r="S40" s="590"/>
      <c r="T40" s="591"/>
      <c r="U40" s="591"/>
      <c r="V40" s="591"/>
      <c r="W40" s="592">
        <f t="shared" si="4"/>
        <v>0</v>
      </c>
      <c r="X40" s="590"/>
      <c r="Y40" s="591"/>
      <c r="Z40" s="591"/>
      <c r="AA40" s="591"/>
      <c r="AB40" s="592">
        <f t="shared" si="5"/>
        <v>0</v>
      </c>
      <c r="AC40" s="592">
        <f t="shared" si="6"/>
        <v>0</v>
      </c>
      <c r="AD40" s="720">
        <f t="shared" si="0"/>
        <v>0</v>
      </c>
    </row>
    <row r="41" spans="1:30" s="589" customFormat="1" ht="14.25">
      <c r="A41" s="718" t="s">
        <v>212</v>
      </c>
      <c r="B41" s="719" t="s">
        <v>125</v>
      </c>
      <c r="C41" s="720">
        <f>'Sch. G 2021'!S44</f>
        <v>973436</v>
      </c>
      <c r="D41" s="590"/>
      <c r="E41" s="591"/>
      <c r="F41" s="591">
        <f>-3200+3200</f>
        <v>0</v>
      </c>
      <c r="G41" s="591">
        <v>1049.0899999999999</v>
      </c>
      <c r="H41" s="592">
        <f t="shared" si="1"/>
        <v>1049.0899999999999</v>
      </c>
      <c r="I41" s="590"/>
      <c r="J41" s="591"/>
      <c r="K41" s="591"/>
      <c r="L41" s="591"/>
      <c r="M41" s="592">
        <f t="shared" si="2"/>
        <v>0</v>
      </c>
      <c r="N41" s="590"/>
      <c r="O41" s="591"/>
      <c r="P41" s="591"/>
      <c r="Q41" s="591"/>
      <c r="R41" s="592">
        <f t="shared" si="3"/>
        <v>0</v>
      </c>
      <c r="S41" s="590"/>
      <c r="T41" s="591"/>
      <c r="U41" s="591"/>
      <c r="V41" s="591"/>
      <c r="W41" s="592">
        <f t="shared" si="4"/>
        <v>0</v>
      </c>
      <c r="X41" s="590"/>
      <c r="Y41" s="591"/>
      <c r="Z41" s="591"/>
      <c r="AA41" s="591"/>
      <c r="AB41" s="592">
        <f t="shared" si="5"/>
        <v>0</v>
      </c>
      <c r="AC41" s="592">
        <f t="shared" si="6"/>
        <v>1049.0899999999999</v>
      </c>
      <c r="AD41" s="720">
        <f t="shared" si="0"/>
        <v>974485.08999999997</v>
      </c>
    </row>
    <row r="42" spans="1:30" s="589" customFormat="1" ht="14.25">
      <c r="A42" s="718" t="s">
        <v>213</v>
      </c>
      <c r="B42" s="719" t="s">
        <v>348</v>
      </c>
      <c r="C42" s="720">
        <f>'Sch. G 2021'!S45</f>
        <v>1031238</v>
      </c>
      <c r="D42" s="590"/>
      <c r="E42" s="591"/>
      <c r="F42" s="591"/>
      <c r="G42" s="591"/>
      <c r="H42" s="592">
        <f t="shared" si="1"/>
        <v>0</v>
      </c>
      <c r="I42" s="590"/>
      <c r="J42" s="591"/>
      <c r="K42" s="591"/>
      <c r="L42" s="591"/>
      <c r="M42" s="592">
        <f t="shared" si="2"/>
        <v>0</v>
      </c>
      <c r="N42" s="590"/>
      <c r="O42" s="591"/>
      <c r="P42" s="591"/>
      <c r="Q42" s="591"/>
      <c r="R42" s="592">
        <f t="shared" si="3"/>
        <v>0</v>
      </c>
      <c r="S42" s="590"/>
      <c r="T42" s="591"/>
      <c r="U42" s="591"/>
      <c r="V42" s="591"/>
      <c r="W42" s="592">
        <f t="shared" si="4"/>
        <v>0</v>
      </c>
      <c r="X42" s="590"/>
      <c r="Y42" s="591"/>
      <c r="Z42" s="591"/>
      <c r="AA42" s="591"/>
      <c r="AB42" s="592">
        <f t="shared" si="5"/>
        <v>0</v>
      </c>
      <c r="AC42" s="592">
        <f t="shared" si="6"/>
        <v>0</v>
      </c>
      <c r="AD42" s="720">
        <f t="shared" si="0"/>
        <v>1031238</v>
      </c>
    </row>
    <row r="43" spans="1:30" s="589" customFormat="1" ht="14.25">
      <c r="A43" s="718" t="s">
        <v>214</v>
      </c>
      <c r="B43" s="719" t="s">
        <v>128</v>
      </c>
      <c r="C43" s="720">
        <f>'Sch. G 2021'!S46</f>
        <v>227271</v>
      </c>
      <c r="D43" s="590"/>
      <c r="E43" s="591"/>
      <c r="F43" s="591"/>
      <c r="G43" s="591"/>
      <c r="H43" s="592">
        <f t="shared" si="1"/>
        <v>0</v>
      </c>
      <c r="I43" s="590"/>
      <c r="J43" s="591"/>
      <c r="K43" s="591"/>
      <c r="L43" s="591"/>
      <c r="M43" s="592">
        <f t="shared" si="2"/>
        <v>0</v>
      </c>
      <c r="N43" s="590"/>
      <c r="O43" s="591"/>
      <c r="P43" s="591"/>
      <c r="Q43" s="591"/>
      <c r="R43" s="592">
        <f t="shared" si="3"/>
        <v>0</v>
      </c>
      <c r="S43" s="590"/>
      <c r="T43" s="591"/>
      <c r="U43" s="591"/>
      <c r="V43" s="591"/>
      <c r="W43" s="592">
        <f t="shared" si="4"/>
        <v>0</v>
      </c>
      <c r="X43" s="590"/>
      <c r="Y43" s="591"/>
      <c r="Z43" s="591"/>
      <c r="AA43" s="591"/>
      <c r="AB43" s="592">
        <f t="shared" si="5"/>
        <v>0</v>
      </c>
      <c r="AC43" s="592">
        <f t="shared" si="6"/>
        <v>0</v>
      </c>
      <c r="AD43" s="720">
        <f t="shared" si="0"/>
        <v>227271</v>
      </c>
    </row>
    <row r="44" spans="1:30" s="589" customFormat="1" ht="14.25">
      <c r="A44" s="721" t="s">
        <v>215</v>
      </c>
      <c r="B44" s="719" t="s">
        <v>349</v>
      </c>
      <c r="C44" s="720">
        <f>'Sch. G 2021'!S47</f>
        <v>0</v>
      </c>
      <c r="D44" s="590"/>
      <c r="E44" s="591"/>
      <c r="F44" s="591"/>
      <c r="G44" s="591"/>
      <c r="H44" s="592">
        <f t="shared" si="1"/>
        <v>0</v>
      </c>
      <c r="I44" s="590"/>
      <c r="J44" s="591"/>
      <c r="K44" s="591"/>
      <c r="L44" s="591"/>
      <c r="M44" s="592">
        <f t="shared" si="2"/>
        <v>0</v>
      </c>
      <c r="N44" s="590"/>
      <c r="O44" s="591"/>
      <c r="P44" s="591"/>
      <c r="Q44" s="591"/>
      <c r="R44" s="592">
        <f t="shared" si="3"/>
        <v>0</v>
      </c>
      <c r="S44" s="590"/>
      <c r="T44" s="591"/>
      <c r="U44" s="591"/>
      <c r="V44" s="591"/>
      <c r="W44" s="592">
        <f t="shared" si="4"/>
        <v>0</v>
      </c>
      <c r="X44" s="590"/>
      <c r="Y44" s="591"/>
      <c r="Z44" s="591"/>
      <c r="AA44" s="591"/>
      <c r="AB44" s="592">
        <f t="shared" si="5"/>
        <v>0</v>
      </c>
      <c r="AC44" s="592">
        <f t="shared" si="6"/>
        <v>0</v>
      </c>
      <c r="AD44" s="720">
        <f t="shared" si="0"/>
        <v>0</v>
      </c>
    </row>
    <row r="45" spans="1:30" s="589" customFormat="1" ht="14.25">
      <c r="A45" s="722"/>
      <c r="B45" s="723" t="s">
        <v>350</v>
      </c>
      <c r="C45" s="724">
        <f>SUM(C6:C44)</f>
        <v>130898524</v>
      </c>
      <c r="D45" s="725">
        <f t="shared" si="7" ref="D45:AC45">SUM(D6:D44)</f>
        <v>-27403.800000000003</v>
      </c>
      <c r="E45" s="726">
        <f t="shared" si="7"/>
        <v>-65947.070000000007</v>
      </c>
      <c r="F45" s="726">
        <f t="shared" si="7"/>
        <v>0</v>
      </c>
      <c r="G45" s="726">
        <f t="shared" si="7"/>
        <v>4000.4500000000062</v>
      </c>
      <c r="H45" s="727">
        <f t="shared" si="7"/>
        <v>-89350.419999999984</v>
      </c>
      <c r="I45" s="725">
        <f t="shared" si="7"/>
        <v>0</v>
      </c>
      <c r="J45" s="726">
        <f t="shared" si="7"/>
        <v>-34469.770000000004</v>
      </c>
      <c r="K45" s="726">
        <f t="shared" si="7"/>
        <v>-26799.659999999996</v>
      </c>
      <c r="L45" s="726">
        <f t="shared" si="7"/>
        <v>-304.38958333333539</v>
      </c>
      <c r="M45" s="727">
        <f t="shared" si="7"/>
        <v>-61573.81958333333</v>
      </c>
      <c r="N45" s="725">
        <f t="shared" si="7"/>
        <v>-117726.63999999998</v>
      </c>
      <c r="O45" s="726">
        <f t="shared" si="7"/>
        <v>-1989.6799999999994</v>
      </c>
      <c r="P45" s="726">
        <f t="shared" si="7"/>
        <v>-2395.6800000000003</v>
      </c>
      <c r="Q45" s="726">
        <f t="shared" si="7"/>
        <v>73796.740000000005</v>
      </c>
      <c r="R45" s="727">
        <f t="shared" si="7"/>
        <v>-48315.25999999998</v>
      </c>
      <c r="S45" s="725">
        <f t="shared" si="7"/>
        <v>0</v>
      </c>
      <c r="T45" s="726">
        <f t="shared" si="7"/>
        <v>0</v>
      </c>
      <c r="U45" s="726">
        <f t="shared" si="7"/>
        <v>-426.19999999999999</v>
      </c>
      <c r="V45" s="726">
        <f t="shared" si="7"/>
        <v>-4459.3000000000002</v>
      </c>
      <c r="W45" s="727">
        <f t="shared" si="7"/>
        <v>-4885.5</v>
      </c>
      <c r="X45" s="725">
        <f t="shared" si="7"/>
        <v>0</v>
      </c>
      <c r="Y45" s="726">
        <f t="shared" si="7"/>
        <v>0</v>
      </c>
      <c r="Z45" s="726">
        <f t="shared" si="7"/>
        <v>-966.16000000000167</v>
      </c>
      <c r="AA45" s="726">
        <f t="shared" si="7"/>
        <v>0</v>
      </c>
      <c r="AB45" s="727">
        <f t="shared" si="7"/>
        <v>-966.16000000000531</v>
      </c>
      <c r="AC45" s="727">
        <f t="shared" si="7"/>
        <v>-205091.15958333333</v>
      </c>
      <c r="AD45" s="724">
        <f>SUM(AD6:AD44)</f>
        <v>130693432.84041664</v>
      </c>
    </row>
    <row r="47" spans="1:30" ht="14.25">
      <c r="A47" s="7" t="s">
        <v>678</v>
      </c>
      <c r="C47" s="332">
        <f>SUM(C6:C44)</f>
        <v>130898524</v>
      </c>
      <c r="H47" s="332">
        <f>SUM(H6:H44)</f>
        <v>-89350.419999999984</v>
      </c>
      <c r="M47" s="332">
        <f>SUM(M6:M44)</f>
        <v>-61573.81958333333</v>
      </c>
      <c r="R47" s="332">
        <f>SUM(R6:R44)</f>
        <v>-48315.25999999998</v>
      </c>
      <c r="W47" s="332">
        <f>SUM(W6:W44)</f>
        <v>-4885.5</v>
      </c>
      <c r="AB47" s="332">
        <f>SUM(AB6:AB44)</f>
        <v>-966.16000000000531</v>
      </c>
      <c r="AC47" s="332">
        <f>SUM(AC6:AC44)</f>
        <v>-205091.15958333333</v>
      </c>
      <c r="AD47" s="332">
        <f>SUM(AD6:AD44)</f>
        <v>130693432.84041664</v>
      </c>
    </row>
    <row r="48" spans="29:30" ht="14.25">
      <c r="AC48" s="332">
        <f>SUM(X6:AA44,S6:V44,N6:Q44,I6:L44,D6:G44)</f>
        <v>-205091.15958333333</v>
      </c>
      <c r="AD48" s="332">
        <f>AC48+C45</f>
        <v>130693432.84041667</v>
      </c>
    </row>
    <row r="50" spans="28:29" ht="14.25">
      <c r="AB50" s="7" t="s">
        <v>679</v>
      </c>
      <c r="AC50" s="712">
        <f>'Sch. G 2022'!Q48</f>
        <v>-205091</v>
      </c>
    </row>
    <row r="51" spans="29:29" ht="14.25">
      <c r="AC51" s="332">
        <f>AC45-AC50</f>
        <v>-0.15958333332673647</v>
      </c>
    </row>
  </sheetData>
  <mergeCells count="6">
    <mergeCell ref="C2:R2"/>
    <mergeCell ref="C3:R3"/>
    <mergeCell ref="S2:AD2"/>
    <mergeCell ref="S3:AD3"/>
    <mergeCell ref="C1:R1"/>
    <mergeCell ref="S1:AD1"/>
  </mergeCells>
  <printOptions horizontalCentered="1"/>
  <pageMargins left="0.5" right="0.5" top="1" bottom="0.5" header="0.5" footer="0.2"/>
  <pageSetup fitToWidth="2" orientation="landscape" scale="65" r:id="rId1"/>
  <headerFooter>
    <oddHeader xml:space="preserve">&amp;L&amp;"Arial,Bold"&amp;12Florida Public Utilities Natural Gas Division
2023 Consolidated Depreciation Study Workbook
Docket No. 20220067&amp;R&amp;"Arial,Bold"&amp;12Revised Exhibit PSL-2
Page &amp;P of 93
Schedule N </oddHeader>
    <oddFooter>&amp;C&amp;A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8"/>
  <sheetViews>
    <sheetView workbookViewId="0" topLeftCell="A31">
      <selection pane="topLeft" activeCell="B53" sqref="B53"/>
    </sheetView>
  </sheetViews>
  <sheetFormatPr defaultColWidth="11.8542857142857" defaultRowHeight="18"/>
  <cols>
    <col min="1" max="1" width="7.14285714285714" style="88" customWidth="1"/>
    <col min="2" max="2" width="37.8571428571429" style="88" customWidth="1"/>
    <col min="3" max="3" width="11.5714285714286" style="88" bestFit="1" customWidth="1"/>
    <col min="4" max="4" width="10.5714285714286" style="88" bestFit="1" customWidth="1"/>
    <col min="5" max="5" width="3.57142857142857" style="686" customWidth="1"/>
    <col min="6" max="6" width="8" style="89" bestFit="1" customWidth="1"/>
    <col min="7" max="7" width="9.14285714285714" style="89" bestFit="1" customWidth="1"/>
    <col min="8" max="8" width="4.42857142857143" style="89" bestFit="1" customWidth="1"/>
    <col min="9" max="9" width="5.14285714285714" style="89" bestFit="1" customWidth="1"/>
    <col min="10" max="10" width="6.14285714285714" style="90" bestFit="1" customWidth="1"/>
    <col min="11" max="11" width="8" style="89" bestFit="1" customWidth="1"/>
    <col min="12" max="12" width="9.14285714285714" style="89" bestFit="1" customWidth="1"/>
    <col min="13" max="13" width="4.42857142857143" style="89" bestFit="1" customWidth="1"/>
    <col min="14" max="14" width="11.8571428571429" style="325" bestFit="1" customWidth="1"/>
    <col min="15" max="15" width="6.14285714285714" style="88" bestFit="1" customWidth="1"/>
    <col min="16" max="16" width="8" style="89" bestFit="1" customWidth="1"/>
    <col min="17" max="17" width="9.14285714285714" style="89" bestFit="1" customWidth="1"/>
    <col min="18" max="18" width="3.85714285714286" style="89" bestFit="1" customWidth="1"/>
    <col min="19" max="19" width="5.14285714285714" style="89" bestFit="1" customWidth="1"/>
    <col min="20" max="20" width="6.14285714285714" style="88" bestFit="1" customWidth="1"/>
    <col min="21" max="257" width="11.8571428571429" style="26"/>
    <col min="258" max="258" width="7.14285714285714" style="26" customWidth="1"/>
    <col min="259" max="259" width="40.1428571428571" style="26" bestFit="1" customWidth="1"/>
    <col min="260" max="261" width="17.1428571428571" style="26" customWidth="1"/>
    <col min="262" max="262" width="9.57142857142857" style="26" customWidth="1"/>
    <col min="263" max="263" width="11" style="26" bestFit="1" customWidth="1"/>
    <col min="264" max="265" width="6.85714285714286" style="26" bestFit="1" customWidth="1"/>
    <col min="266" max="266" width="7.28571428571429" style="26" bestFit="1" customWidth="1"/>
    <col min="267" max="267" width="9.85714285714286" style="26" bestFit="1" customWidth="1"/>
    <col min="268" max="268" width="11" style="26" bestFit="1" customWidth="1"/>
    <col min="269" max="269" width="10.7142857142857" style="26" bestFit="1" customWidth="1"/>
    <col min="270" max="270" width="10.8571428571429" style="26" bestFit="1" customWidth="1"/>
    <col min="271" max="271" width="7.28571428571429" style="26" bestFit="1" customWidth="1"/>
    <col min="272" max="272" width="9.85714285714286" style="26" bestFit="1" customWidth="1"/>
    <col min="273" max="273" width="11" style="26" bestFit="1" customWidth="1"/>
    <col min="274" max="274" width="6.14285714285714" style="26" customWidth="1"/>
    <col min="275" max="275" width="6.85714285714286" style="26" customWidth="1"/>
    <col min="276" max="276" width="7.14285714285714" style="26" bestFit="1" customWidth="1"/>
    <col min="277" max="513" width="11.8571428571429" style="26"/>
    <col min="514" max="514" width="7.14285714285714" style="26" customWidth="1"/>
    <col min="515" max="515" width="40.1428571428571" style="26" bestFit="1" customWidth="1"/>
    <col min="516" max="517" width="17.1428571428571" style="26" customWidth="1"/>
    <col min="518" max="518" width="9.57142857142857" style="26" customWidth="1"/>
    <col min="519" max="519" width="11" style="26" bestFit="1" customWidth="1"/>
    <col min="520" max="521" width="6.85714285714286" style="26" bestFit="1" customWidth="1"/>
    <col min="522" max="522" width="7.28571428571429" style="26" bestFit="1" customWidth="1"/>
    <col min="523" max="523" width="9.85714285714286" style="26" bestFit="1" customWidth="1"/>
    <col min="524" max="524" width="11" style="26" bestFit="1" customWidth="1"/>
    <col min="525" max="525" width="10.7142857142857" style="26" bestFit="1" customWidth="1"/>
    <col min="526" max="526" width="10.8571428571429" style="26" bestFit="1" customWidth="1"/>
    <col min="527" max="527" width="7.28571428571429" style="26" bestFit="1" customWidth="1"/>
    <col min="528" max="528" width="9.85714285714286" style="26" bestFit="1" customWidth="1"/>
    <col min="529" max="529" width="11" style="26" bestFit="1" customWidth="1"/>
    <col min="530" max="530" width="6.14285714285714" style="26" customWidth="1"/>
    <col min="531" max="531" width="6.85714285714286" style="26" customWidth="1"/>
    <col min="532" max="532" width="7.14285714285714" style="26" bestFit="1" customWidth="1"/>
    <col min="533" max="769" width="11.8571428571429" style="26"/>
    <col min="770" max="770" width="7.14285714285714" style="26" customWidth="1"/>
    <col min="771" max="771" width="40.1428571428571" style="26" bestFit="1" customWidth="1"/>
    <col min="772" max="773" width="17.1428571428571" style="26" customWidth="1"/>
    <col min="774" max="774" width="9.57142857142857" style="26" customWidth="1"/>
    <col min="775" max="775" width="11" style="26" bestFit="1" customWidth="1"/>
    <col min="776" max="777" width="6.85714285714286" style="26" bestFit="1" customWidth="1"/>
    <col min="778" max="778" width="7.28571428571429" style="26" bestFit="1" customWidth="1"/>
    <col min="779" max="779" width="9.85714285714286" style="26" bestFit="1" customWidth="1"/>
    <col min="780" max="780" width="11" style="26" bestFit="1" customWidth="1"/>
    <col min="781" max="781" width="10.7142857142857" style="26" bestFit="1" customWidth="1"/>
    <col min="782" max="782" width="10.8571428571429" style="26" bestFit="1" customWidth="1"/>
    <col min="783" max="783" width="7.28571428571429" style="26" bestFit="1" customWidth="1"/>
    <col min="784" max="784" width="9.85714285714286" style="26" bestFit="1" customWidth="1"/>
    <col min="785" max="785" width="11" style="26" bestFit="1" customWidth="1"/>
    <col min="786" max="786" width="6.14285714285714" style="26" customWidth="1"/>
    <col min="787" max="787" width="6.85714285714286" style="26" customWidth="1"/>
    <col min="788" max="788" width="7.14285714285714" style="26" bestFit="1" customWidth="1"/>
    <col min="789" max="1025" width="11.8571428571429" style="26"/>
    <col min="1026" max="1026" width="7.14285714285714" style="26" customWidth="1"/>
    <col min="1027" max="1027" width="40.1428571428571" style="26" bestFit="1" customWidth="1"/>
    <col min="1028" max="1029" width="17.1428571428571" style="26" customWidth="1"/>
    <col min="1030" max="1030" width="9.57142857142857" style="26" customWidth="1"/>
    <col min="1031" max="1031" width="11" style="26" bestFit="1" customWidth="1"/>
    <col min="1032" max="1033" width="6.85714285714286" style="26" bestFit="1" customWidth="1"/>
    <col min="1034" max="1034" width="7.28571428571429" style="26" bestFit="1" customWidth="1"/>
    <col min="1035" max="1035" width="9.85714285714286" style="26" bestFit="1" customWidth="1"/>
    <col min="1036" max="1036" width="11" style="26" bestFit="1" customWidth="1"/>
    <col min="1037" max="1037" width="10.7142857142857" style="26" bestFit="1" customWidth="1"/>
    <col min="1038" max="1038" width="10.8571428571429" style="26" bestFit="1" customWidth="1"/>
    <col min="1039" max="1039" width="7.28571428571429" style="26" bestFit="1" customWidth="1"/>
    <col min="1040" max="1040" width="9.85714285714286" style="26" bestFit="1" customWidth="1"/>
    <col min="1041" max="1041" width="11" style="26" bestFit="1" customWidth="1"/>
    <col min="1042" max="1042" width="6.14285714285714" style="26" customWidth="1"/>
    <col min="1043" max="1043" width="6.85714285714286" style="26" customWidth="1"/>
    <col min="1044" max="1044" width="7.14285714285714" style="26" bestFit="1" customWidth="1"/>
    <col min="1045" max="1281" width="11.8571428571429" style="26"/>
    <col min="1282" max="1282" width="7.14285714285714" style="26" customWidth="1"/>
    <col min="1283" max="1283" width="40.1428571428571" style="26" bestFit="1" customWidth="1"/>
    <col min="1284" max="1285" width="17.1428571428571" style="26" customWidth="1"/>
    <col min="1286" max="1286" width="9.57142857142857" style="26" customWidth="1"/>
    <col min="1287" max="1287" width="11" style="26" bestFit="1" customWidth="1"/>
    <col min="1288" max="1289" width="6.85714285714286" style="26" bestFit="1" customWidth="1"/>
    <col min="1290" max="1290" width="7.28571428571429" style="26" bestFit="1" customWidth="1"/>
    <col min="1291" max="1291" width="9.85714285714286" style="26" bestFit="1" customWidth="1"/>
    <col min="1292" max="1292" width="11" style="26" bestFit="1" customWidth="1"/>
    <col min="1293" max="1293" width="10.7142857142857" style="26" bestFit="1" customWidth="1"/>
    <col min="1294" max="1294" width="10.8571428571429" style="26" bestFit="1" customWidth="1"/>
    <col min="1295" max="1295" width="7.28571428571429" style="26" bestFit="1" customWidth="1"/>
    <col min="1296" max="1296" width="9.85714285714286" style="26" bestFit="1" customWidth="1"/>
    <col min="1297" max="1297" width="11" style="26" bestFit="1" customWidth="1"/>
    <col min="1298" max="1298" width="6.14285714285714" style="26" customWidth="1"/>
    <col min="1299" max="1299" width="6.85714285714286" style="26" customWidth="1"/>
    <col min="1300" max="1300" width="7.14285714285714" style="26" bestFit="1" customWidth="1"/>
    <col min="1301" max="1537" width="11.8571428571429" style="26"/>
    <col min="1538" max="1538" width="7.14285714285714" style="26" customWidth="1"/>
    <col min="1539" max="1539" width="40.1428571428571" style="26" bestFit="1" customWidth="1"/>
    <col min="1540" max="1541" width="17.1428571428571" style="26" customWidth="1"/>
    <col min="1542" max="1542" width="9.57142857142857" style="26" customWidth="1"/>
    <col min="1543" max="1543" width="11" style="26" bestFit="1" customWidth="1"/>
    <col min="1544" max="1545" width="6.85714285714286" style="26" bestFit="1" customWidth="1"/>
    <col min="1546" max="1546" width="7.28571428571429" style="26" bestFit="1" customWidth="1"/>
    <col min="1547" max="1547" width="9.85714285714286" style="26" bestFit="1" customWidth="1"/>
    <col min="1548" max="1548" width="11" style="26" bestFit="1" customWidth="1"/>
    <col min="1549" max="1549" width="10.7142857142857" style="26" bestFit="1" customWidth="1"/>
    <col min="1550" max="1550" width="10.8571428571429" style="26" bestFit="1" customWidth="1"/>
    <col min="1551" max="1551" width="7.28571428571429" style="26" bestFit="1" customWidth="1"/>
    <col min="1552" max="1552" width="9.85714285714286" style="26" bestFit="1" customWidth="1"/>
    <col min="1553" max="1553" width="11" style="26" bestFit="1" customWidth="1"/>
    <col min="1554" max="1554" width="6.14285714285714" style="26" customWidth="1"/>
    <col min="1555" max="1555" width="6.85714285714286" style="26" customWidth="1"/>
    <col min="1556" max="1556" width="7.14285714285714" style="26" bestFit="1" customWidth="1"/>
    <col min="1557" max="1793" width="11.8571428571429" style="26"/>
    <col min="1794" max="1794" width="7.14285714285714" style="26" customWidth="1"/>
    <col min="1795" max="1795" width="40.1428571428571" style="26" bestFit="1" customWidth="1"/>
    <col min="1796" max="1797" width="17.1428571428571" style="26" customWidth="1"/>
    <col min="1798" max="1798" width="9.57142857142857" style="26" customWidth="1"/>
    <col min="1799" max="1799" width="11" style="26" bestFit="1" customWidth="1"/>
    <col min="1800" max="1801" width="6.85714285714286" style="26" bestFit="1" customWidth="1"/>
    <col min="1802" max="1802" width="7.28571428571429" style="26" bestFit="1" customWidth="1"/>
    <col min="1803" max="1803" width="9.85714285714286" style="26" bestFit="1" customWidth="1"/>
    <col min="1804" max="1804" width="11" style="26" bestFit="1" customWidth="1"/>
    <col min="1805" max="1805" width="10.7142857142857" style="26" bestFit="1" customWidth="1"/>
    <col min="1806" max="1806" width="10.8571428571429" style="26" bestFit="1" customWidth="1"/>
    <col min="1807" max="1807" width="7.28571428571429" style="26" bestFit="1" customWidth="1"/>
    <col min="1808" max="1808" width="9.85714285714286" style="26" bestFit="1" customWidth="1"/>
    <col min="1809" max="1809" width="11" style="26" bestFit="1" customWidth="1"/>
    <col min="1810" max="1810" width="6.14285714285714" style="26" customWidth="1"/>
    <col min="1811" max="1811" width="6.85714285714286" style="26" customWidth="1"/>
    <col min="1812" max="1812" width="7.14285714285714" style="26" bestFit="1" customWidth="1"/>
    <col min="1813" max="2049" width="11.8571428571429" style="26"/>
    <col min="2050" max="2050" width="7.14285714285714" style="26" customWidth="1"/>
    <col min="2051" max="2051" width="40.1428571428571" style="26" bestFit="1" customWidth="1"/>
    <col min="2052" max="2053" width="17.1428571428571" style="26" customWidth="1"/>
    <col min="2054" max="2054" width="9.57142857142857" style="26" customWidth="1"/>
    <col min="2055" max="2055" width="11" style="26" bestFit="1" customWidth="1"/>
    <col min="2056" max="2057" width="6.85714285714286" style="26" bestFit="1" customWidth="1"/>
    <col min="2058" max="2058" width="7.28571428571429" style="26" bestFit="1" customWidth="1"/>
    <col min="2059" max="2059" width="9.85714285714286" style="26" bestFit="1" customWidth="1"/>
    <col min="2060" max="2060" width="11" style="26" bestFit="1" customWidth="1"/>
    <col min="2061" max="2061" width="10.7142857142857" style="26" bestFit="1" customWidth="1"/>
    <col min="2062" max="2062" width="10.8571428571429" style="26" bestFit="1" customWidth="1"/>
    <col min="2063" max="2063" width="7.28571428571429" style="26" bestFit="1" customWidth="1"/>
    <col min="2064" max="2064" width="9.85714285714286" style="26" bestFit="1" customWidth="1"/>
    <col min="2065" max="2065" width="11" style="26" bestFit="1" customWidth="1"/>
    <col min="2066" max="2066" width="6.14285714285714" style="26" customWidth="1"/>
    <col min="2067" max="2067" width="6.85714285714286" style="26" customWidth="1"/>
    <col min="2068" max="2068" width="7.14285714285714" style="26" bestFit="1" customWidth="1"/>
    <col min="2069" max="2305" width="11.8571428571429" style="26"/>
    <col min="2306" max="2306" width="7.14285714285714" style="26" customWidth="1"/>
    <col min="2307" max="2307" width="40.1428571428571" style="26" bestFit="1" customWidth="1"/>
    <col min="2308" max="2309" width="17.1428571428571" style="26" customWidth="1"/>
    <col min="2310" max="2310" width="9.57142857142857" style="26" customWidth="1"/>
    <col min="2311" max="2311" width="11" style="26" bestFit="1" customWidth="1"/>
    <col min="2312" max="2313" width="6.85714285714286" style="26" bestFit="1" customWidth="1"/>
    <col min="2314" max="2314" width="7.28571428571429" style="26" bestFit="1" customWidth="1"/>
    <col min="2315" max="2315" width="9.85714285714286" style="26" bestFit="1" customWidth="1"/>
    <col min="2316" max="2316" width="11" style="26" bestFit="1" customWidth="1"/>
    <col min="2317" max="2317" width="10.7142857142857" style="26" bestFit="1" customWidth="1"/>
    <col min="2318" max="2318" width="10.8571428571429" style="26" bestFit="1" customWidth="1"/>
    <col min="2319" max="2319" width="7.28571428571429" style="26" bestFit="1" customWidth="1"/>
    <col min="2320" max="2320" width="9.85714285714286" style="26" bestFit="1" customWidth="1"/>
    <col min="2321" max="2321" width="11" style="26" bestFit="1" customWidth="1"/>
    <col min="2322" max="2322" width="6.14285714285714" style="26" customWidth="1"/>
    <col min="2323" max="2323" width="6.85714285714286" style="26" customWidth="1"/>
    <col min="2324" max="2324" width="7.14285714285714" style="26" bestFit="1" customWidth="1"/>
    <col min="2325" max="2561" width="11.8571428571429" style="26"/>
    <col min="2562" max="2562" width="7.14285714285714" style="26" customWidth="1"/>
    <col min="2563" max="2563" width="40.1428571428571" style="26" bestFit="1" customWidth="1"/>
    <col min="2564" max="2565" width="17.1428571428571" style="26" customWidth="1"/>
    <col min="2566" max="2566" width="9.57142857142857" style="26" customWidth="1"/>
    <col min="2567" max="2567" width="11" style="26" bestFit="1" customWidth="1"/>
    <col min="2568" max="2569" width="6.85714285714286" style="26" bestFit="1" customWidth="1"/>
    <col min="2570" max="2570" width="7.28571428571429" style="26" bestFit="1" customWidth="1"/>
    <col min="2571" max="2571" width="9.85714285714286" style="26" bestFit="1" customWidth="1"/>
    <col min="2572" max="2572" width="11" style="26" bestFit="1" customWidth="1"/>
    <col min="2573" max="2573" width="10.7142857142857" style="26" bestFit="1" customWidth="1"/>
    <col min="2574" max="2574" width="10.8571428571429" style="26" bestFit="1" customWidth="1"/>
    <col min="2575" max="2575" width="7.28571428571429" style="26" bestFit="1" customWidth="1"/>
    <col min="2576" max="2576" width="9.85714285714286" style="26" bestFit="1" customWidth="1"/>
    <col min="2577" max="2577" width="11" style="26" bestFit="1" customWidth="1"/>
    <col min="2578" max="2578" width="6.14285714285714" style="26" customWidth="1"/>
    <col min="2579" max="2579" width="6.85714285714286" style="26" customWidth="1"/>
    <col min="2580" max="2580" width="7.14285714285714" style="26" bestFit="1" customWidth="1"/>
    <col min="2581" max="2817" width="11.8571428571429" style="26"/>
    <col min="2818" max="2818" width="7.14285714285714" style="26" customWidth="1"/>
    <col min="2819" max="2819" width="40.1428571428571" style="26" bestFit="1" customWidth="1"/>
    <col min="2820" max="2821" width="17.1428571428571" style="26" customWidth="1"/>
    <col min="2822" max="2822" width="9.57142857142857" style="26" customWidth="1"/>
    <col min="2823" max="2823" width="11" style="26" bestFit="1" customWidth="1"/>
    <col min="2824" max="2825" width="6.85714285714286" style="26" bestFit="1" customWidth="1"/>
    <col min="2826" max="2826" width="7.28571428571429" style="26" bestFit="1" customWidth="1"/>
    <col min="2827" max="2827" width="9.85714285714286" style="26" bestFit="1" customWidth="1"/>
    <col min="2828" max="2828" width="11" style="26" bestFit="1" customWidth="1"/>
    <col min="2829" max="2829" width="10.7142857142857" style="26" bestFit="1" customWidth="1"/>
    <col min="2830" max="2830" width="10.8571428571429" style="26" bestFit="1" customWidth="1"/>
    <col min="2831" max="2831" width="7.28571428571429" style="26" bestFit="1" customWidth="1"/>
    <col min="2832" max="2832" width="9.85714285714286" style="26" bestFit="1" customWidth="1"/>
    <col min="2833" max="2833" width="11" style="26" bestFit="1" customWidth="1"/>
    <col min="2834" max="2834" width="6.14285714285714" style="26" customWidth="1"/>
    <col min="2835" max="2835" width="6.85714285714286" style="26" customWidth="1"/>
    <col min="2836" max="2836" width="7.14285714285714" style="26" bestFit="1" customWidth="1"/>
    <col min="2837" max="3073" width="11.8571428571429" style="26"/>
    <col min="3074" max="3074" width="7.14285714285714" style="26" customWidth="1"/>
    <col min="3075" max="3075" width="40.1428571428571" style="26" bestFit="1" customWidth="1"/>
    <col min="3076" max="3077" width="17.1428571428571" style="26" customWidth="1"/>
    <col min="3078" max="3078" width="9.57142857142857" style="26" customWidth="1"/>
    <col min="3079" max="3079" width="11" style="26" bestFit="1" customWidth="1"/>
    <col min="3080" max="3081" width="6.85714285714286" style="26" bestFit="1" customWidth="1"/>
    <col min="3082" max="3082" width="7.28571428571429" style="26" bestFit="1" customWidth="1"/>
    <col min="3083" max="3083" width="9.85714285714286" style="26" bestFit="1" customWidth="1"/>
    <col min="3084" max="3084" width="11" style="26" bestFit="1" customWidth="1"/>
    <col min="3085" max="3085" width="10.7142857142857" style="26" bestFit="1" customWidth="1"/>
    <col min="3086" max="3086" width="10.8571428571429" style="26" bestFit="1" customWidth="1"/>
    <col min="3087" max="3087" width="7.28571428571429" style="26" bestFit="1" customWidth="1"/>
    <col min="3088" max="3088" width="9.85714285714286" style="26" bestFit="1" customWidth="1"/>
    <col min="3089" max="3089" width="11" style="26" bestFit="1" customWidth="1"/>
    <col min="3090" max="3090" width="6.14285714285714" style="26" customWidth="1"/>
    <col min="3091" max="3091" width="6.85714285714286" style="26" customWidth="1"/>
    <col min="3092" max="3092" width="7.14285714285714" style="26" bestFit="1" customWidth="1"/>
    <col min="3093" max="3329" width="11.8571428571429" style="26"/>
    <col min="3330" max="3330" width="7.14285714285714" style="26" customWidth="1"/>
    <col min="3331" max="3331" width="40.1428571428571" style="26" bestFit="1" customWidth="1"/>
    <col min="3332" max="3333" width="17.1428571428571" style="26" customWidth="1"/>
    <col min="3334" max="3334" width="9.57142857142857" style="26" customWidth="1"/>
    <col min="3335" max="3335" width="11" style="26" bestFit="1" customWidth="1"/>
    <col min="3336" max="3337" width="6.85714285714286" style="26" bestFit="1" customWidth="1"/>
    <col min="3338" max="3338" width="7.28571428571429" style="26" bestFit="1" customWidth="1"/>
    <col min="3339" max="3339" width="9.85714285714286" style="26" bestFit="1" customWidth="1"/>
    <col min="3340" max="3340" width="11" style="26" bestFit="1" customWidth="1"/>
    <col min="3341" max="3341" width="10.7142857142857" style="26" bestFit="1" customWidth="1"/>
    <col min="3342" max="3342" width="10.8571428571429" style="26" bestFit="1" customWidth="1"/>
    <col min="3343" max="3343" width="7.28571428571429" style="26" bestFit="1" customWidth="1"/>
    <col min="3344" max="3344" width="9.85714285714286" style="26" bestFit="1" customWidth="1"/>
    <col min="3345" max="3345" width="11" style="26" bestFit="1" customWidth="1"/>
    <col min="3346" max="3346" width="6.14285714285714" style="26" customWidth="1"/>
    <col min="3347" max="3347" width="6.85714285714286" style="26" customWidth="1"/>
    <col min="3348" max="3348" width="7.14285714285714" style="26" bestFit="1" customWidth="1"/>
    <col min="3349" max="3585" width="11.8571428571429" style="26"/>
    <col min="3586" max="3586" width="7.14285714285714" style="26" customWidth="1"/>
    <col min="3587" max="3587" width="40.1428571428571" style="26" bestFit="1" customWidth="1"/>
    <col min="3588" max="3589" width="17.1428571428571" style="26" customWidth="1"/>
    <col min="3590" max="3590" width="9.57142857142857" style="26" customWidth="1"/>
    <col min="3591" max="3591" width="11" style="26" bestFit="1" customWidth="1"/>
    <col min="3592" max="3593" width="6.85714285714286" style="26" bestFit="1" customWidth="1"/>
    <col min="3594" max="3594" width="7.28571428571429" style="26" bestFit="1" customWidth="1"/>
    <col min="3595" max="3595" width="9.85714285714286" style="26" bestFit="1" customWidth="1"/>
    <col min="3596" max="3596" width="11" style="26" bestFit="1" customWidth="1"/>
    <col min="3597" max="3597" width="10.7142857142857" style="26" bestFit="1" customWidth="1"/>
    <col min="3598" max="3598" width="10.8571428571429" style="26" bestFit="1" customWidth="1"/>
    <col min="3599" max="3599" width="7.28571428571429" style="26" bestFit="1" customWidth="1"/>
    <col min="3600" max="3600" width="9.85714285714286" style="26" bestFit="1" customWidth="1"/>
    <col min="3601" max="3601" width="11" style="26" bestFit="1" customWidth="1"/>
    <col min="3602" max="3602" width="6.14285714285714" style="26" customWidth="1"/>
    <col min="3603" max="3603" width="6.85714285714286" style="26" customWidth="1"/>
    <col min="3604" max="3604" width="7.14285714285714" style="26" bestFit="1" customWidth="1"/>
    <col min="3605" max="3841" width="11.8571428571429" style="26"/>
    <col min="3842" max="3842" width="7.14285714285714" style="26" customWidth="1"/>
    <col min="3843" max="3843" width="40.1428571428571" style="26" bestFit="1" customWidth="1"/>
    <col min="3844" max="3845" width="17.1428571428571" style="26" customWidth="1"/>
    <col min="3846" max="3846" width="9.57142857142857" style="26" customWidth="1"/>
    <col min="3847" max="3847" width="11" style="26" bestFit="1" customWidth="1"/>
    <col min="3848" max="3849" width="6.85714285714286" style="26" bestFit="1" customWidth="1"/>
    <col min="3850" max="3850" width="7.28571428571429" style="26" bestFit="1" customWidth="1"/>
    <col min="3851" max="3851" width="9.85714285714286" style="26" bestFit="1" customWidth="1"/>
    <col min="3852" max="3852" width="11" style="26" bestFit="1" customWidth="1"/>
    <col min="3853" max="3853" width="10.7142857142857" style="26" bestFit="1" customWidth="1"/>
    <col min="3854" max="3854" width="10.8571428571429" style="26" bestFit="1" customWidth="1"/>
    <col min="3855" max="3855" width="7.28571428571429" style="26" bestFit="1" customWidth="1"/>
    <col min="3856" max="3856" width="9.85714285714286" style="26" bestFit="1" customWidth="1"/>
    <col min="3857" max="3857" width="11" style="26" bestFit="1" customWidth="1"/>
    <col min="3858" max="3858" width="6.14285714285714" style="26" customWidth="1"/>
    <col min="3859" max="3859" width="6.85714285714286" style="26" customWidth="1"/>
    <col min="3860" max="3860" width="7.14285714285714" style="26" bestFit="1" customWidth="1"/>
    <col min="3861" max="4097" width="11.8571428571429" style="26"/>
    <col min="4098" max="4098" width="7.14285714285714" style="26" customWidth="1"/>
    <col min="4099" max="4099" width="40.1428571428571" style="26" bestFit="1" customWidth="1"/>
    <col min="4100" max="4101" width="17.1428571428571" style="26" customWidth="1"/>
    <col min="4102" max="4102" width="9.57142857142857" style="26" customWidth="1"/>
    <col min="4103" max="4103" width="11" style="26" bestFit="1" customWidth="1"/>
    <col min="4104" max="4105" width="6.85714285714286" style="26" bestFit="1" customWidth="1"/>
    <col min="4106" max="4106" width="7.28571428571429" style="26" bestFit="1" customWidth="1"/>
    <col min="4107" max="4107" width="9.85714285714286" style="26" bestFit="1" customWidth="1"/>
    <col min="4108" max="4108" width="11" style="26" bestFit="1" customWidth="1"/>
    <col min="4109" max="4109" width="10.7142857142857" style="26" bestFit="1" customWidth="1"/>
    <col min="4110" max="4110" width="10.8571428571429" style="26" bestFit="1" customWidth="1"/>
    <col min="4111" max="4111" width="7.28571428571429" style="26" bestFit="1" customWidth="1"/>
    <col min="4112" max="4112" width="9.85714285714286" style="26" bestFit="1" customWidth="1"/>
    <col min="4113" max="4113" width="11" style="26" bestFit="1" customWidth="1"/>
    <col min="4114" max="4114" width="6.14285714285714" style="26" customWidth="1"/>
    <col min="4115" max="4115" width="6.85714285714286" style="26" customWidth="1"/>
    <col min="4116" max="4116" width="7.14285714285714" style="26" bestFit="1" customWidth="1"/>
    <col min="4117" max="4353" width="11.8571428571429" style="26"/>
    <col min="4354" max="4354" width="7.14285714285714" style="26" customWidth="1"/>
    <col min="4355" max="4355" width="40.1428571428571" style="26" bestFit="1" customWidth="1"/>
    <col min="4356" max="4357" width="17.1428571428571" style="26" customWidth="1"/>
    <col min="4358" max="4358" width="9.57142857142857" style="26" customWidth="1"/>
    <col min="4359" max="4359" width="11" style="26" bestFit="1" customWidth="1"/>
    <col min="4360" max="4361" width="6.85714285714286" style="26" bestFit="1" customWidth="1"/>
    <col min="4362" max="4362" width="7.28571428571429" style="26" bestFit="1" customWidth="1"/>
    <col min="4363" max="4363" width="9.85714285714286" style="26" bestFit="1" customWidth="1"/>
    <col min="4364" max="4364" width="11" style="26" bestFit="1" customWidth="1"/>
    <col min="4365" max="4365" width="10.7142857142857" style="26" bestFit="1" customWidth="1"/>
    <col min="4366" max="4366" width="10.8571428571429" style="26" bestFit="1" customWidth="1"/>
    <col min="4367" max="4367" width="7.28571428571429" style="26" bestFit="1" customWidth="1"/>
    <col min="4368" max="4368" width="9.85714285714286" style="26" bestFit="1" customWidth="1"/>
    <col min="4369" max="4369" width="11" style="26" bestFit="1" customWidth="1"/>
    <col min="4370" max="4370" width="6.14285714285714" style="26" customWidth="1"/>
    <col min="4371" max="4371" width="6.85714285714286" style="26" customWidth="1"/>
    <col min="4372" max="4372" width="7.14285714285714" style="26" bestFit="1" customWidth="1"/>
    <col min="4373" max="4609" width="11.8571428571429" style="26"/>
    <col min="4610" max="4610" width="7.14285714285714" style="26" customWidth="1"/>
    <col min="4611" max="4611" width="40.1428571428571" style="26" bestFit="1" customWidth="1"/>
    <col min="4612" max="4613" width="17.1428571428571" style="26" customWidth="1"/>
    <col min="4614" max="4614" width="9.57142857142857" style="26" customWidth="1"/>
    <col min="4615" max="4615" width="11" style="26" bestFit="1" customWidth="1"/>
    <col min="4616" max="4617" width="6.85714285714286" style="26" bestFit="1" customWidth="1"/>
    <col min="4618" max="4618" width="7.28571428571429" style="26" bestFit="1" customWidth="1"/>
    <col min="4619" max="4619" width="9.85714285714286" style="26" bestFit="1" customWidth="1"/>
    <col min="4620" max="4620" width="11" style="26" bestFit="1" customWidth="1"/>
    <col min="4621" max="4621" width="10.7142857142857" style="26" bestFit="1" customWidth="1"/>
    <col min="4622" max="4622" width="10.8571428571429" style="26" bestFit="1" customWidth="1"/>
    <col min="4623" max="4623" width="7.28571428571429" style="26" bestFit="1" customWidth="1"/>
    <col min="4624" max="4624" width="9.85714285714286" style="26" bestFit="1" customWidth="1"/>
    <col min="4625" max="4625" width="11" style="26" bestFit="1" customWidth="1"/>
    <col min="4626" max="4626" width="6.14285714285714" style="26" customWidth="1"/>
    <col min="4627" max="4627" width="6.85714285714286" style="26" customWidth="1"/>
    <col min="4628" max="4628" width="7.14285714285714" style="26" bestFit="1" customWidth="1"/>
    <col min="4629" max="4865" width="11.8571428571429" style="26"/>
    <col min="4866" max="4866" width="7.14285714285714" style="26" customWidth="1"/>
    <col min="4867" max="4867" width="40.1428571428571" style="26" bestFit="1" customWidth="1"/>
    <col min="4868" max="4869" width="17.1428571428571" style="26" customWidth="1"/>
    <col min="4870" max="4870" width="9.57142857142857" style="26" customWidth="1"/>
    <col min="4871" max="4871" width="11" style="26" bestFit="1" customWidth="1"/>
    <col min="4872" max="4873" width="6.85714285714286" style="26" bestFit="1" customWidth="1"/>
    <col min="4874" max="4874" width="7.28571428571429" style="26" bestFit="1" customWidth="1"/>
    <col min="4875" max="4875" width="9.85714285714286" style="26" bestFit="1" customWidth="1"/>
    <col min="4876" max="4876" width="11" style="26" bestFit="1" customWidth="1"/>
    <col min="4877" max="4877" width="10.7142857142857" style="26" bestFit="1" customWidth="1"/>
    <col min="4878" max="4878" width="10.8571428571429" style="26" bestFit="1" customWidth="1"/>
    <col min="4879" max="4879" width="7.28571428571429" style="26" bestFit="1" customWidth="1"/>
    <col min="4880" max="4880" width="9.85714285714286" style="26" bestFit="1" customWidth="1"/>
    <col min="4881" max="4881" width="11" style="26" bestFit="1" customWidth="1"/>
    <col min="4882" max="4882" width="6.14285714285714" style="26" customWidth="1"/>
    <col min="4883" max="4883" width="6.85714285714286" style="26" customWidth="1"/>
    <col min="4884" max="4884" width="7.14285714285714" style="26" bestFit="1" customWidth="1"/>
    <col min="4885" max="5121" width="11.8571428571429" style="26"/>
    <col min="5122" max="5122" width="7.14285714285714" style="26" customWidth="1"/>
    <col min="5123" max="5123" width="40.1428571428571" style="26" bestFit="1" customWidth="1"/>
    <col min="5124" max="5125" width="17.1428571428571" style="26" customWidth="1"/>
    <col min="5126" max="5126" width="9.57142857142857" style="26" customWidth="1"/>
    <col min="5127" max="5127" width="11" style="26" bestFit="1" customWidth="1"/>
    <col min="5128" max="5129" width="6.85714285714286" style="26" bestFit="1" customWidth="1"/>
    <col min="5130" max="5130" width="7.28571428571429" style="26" bestFit="1" customWidth="1"/>
    <col min="5131" max="5131" width="9.85714285714286" style="26" bestFit="1" customWidth="1"/>
    <col min="5132" max="5132" width="11" style="26" bestFit="1" customWidth="1"/>
    <col min="5133" max="5133" width="10.7142857142857" style="26" bestFit="1" customWidth="1"/>
    <col min="5134" max="5134" width="10.8571428571429" style="26" bestFit="1" customWidth="1"/>
    <col min="5135" max="5135" width="7.28571428571429" style="26" bestFit="1" customWidth="1"/>
    <col min="5136" max="5136" width="9.85714285714286" style="26" bestFit="1" customWidth="1"/>
    <col min="5137" max="5137" width="11" style="26" bestFit="1" customWidth="1"/>
    <col min="5138" max="5138" width="6.14285714285714" style="26" customWidth="1"/>
    <col min="5139" max="5139" width="6.85714285714286" style="26" customWidth="1"/>
    <col min="5140" max="5140" width="7.14285714285714" style="26" bestFit="1" customWidth="1"/>
    <col min="5141" max="5377" width="11.8571428571429" style="26"/>
    <col min="5378" max="5378" width="7.14285714285714" style="26" customWidth="1"/>
    <col min="5379" max="5379" width="40.1428571428571" style="26" bestFit="1" customWidth="1"/>
    <col min="5380" max="5381" width="17.1428571428571" style="26" customWidth="1"/>
    <col min="5382" max="5382" width="9.57142857142857" style="26" customWidth="1"/>
    <col min="5383" max="5383" width="11" style="26" bestFit="1" customWidth="1"/>
    <col min="5384" max="5385" width="6.85714285714286" style="26" bestFit="1" customWidth="1"/>
    <col min="5386" max="5386" width="7.28571428571429" style="26" bestFit="1" customWidth="1"/>
    <col min="5387" max="5387" width="9.85714285714286" style="26" bestFit="1" customWidth="1"/>
    <col min="5388" max="5388" width="11" style="26" bestFit="1" customWidth="1"/>
    <col min="5389" max="5389" width="10.7142857142857" style="26" bestFit="1" customWidth="1"/>
    <col min="5390" max="5390" width="10.8571428571429" style="26" bestFit="1" customWidth="1"/>
    <col min="5391" max="5391" width="7.28571428571429" style="26" bestFit="1" customWidth="1"/>
    <col min="5392" max="5392" width="9.85714285714286" style="26" bestFit="1" customWidth="1"/>
    <col min="5393" max="5393" width="11" style="26" bestFit="1" customWidth="1"/>
    <col min="5394" max="5394" width="6.14285714285714" style="26" customWidth="1"/>
    <col min="5395" max="5395" width="6.85714285714286" style="26" customWidth="1"/>
    <col min="5396" max="5396" width="7.14285714285714" style="26" bestFit="1" customWidth="1"/>
    <col min="5397" max="5633" width="11.8571428571429" style="26"/>
    <col min="5634" max="5634" width="7.14285714285714" style="26" customWidth="1"/>
    <col min="5635" max="5635" width="40.1428571428571" style="26" bestFit="1" customWidth="1"/>
    <col min="5636" max="5637" width="17.1428571428571" style="26" customWidth="1"/>
    <col min="5638" max="5638" width="9.57142857142857" style="26" customWidth="1"/>
    <col min="5639" max="5639" width="11" style="26" bestFit="1" customWidth="1"/>
    <col min="5640" max="5641" width="6.85714285714286" style="26" bestFit="1" customWidth="1"/>
    <col min="5642" max="5642" width="7.28571428571429" style="26" bestFit="1" customWidth="1"/>
    <col min="5643" max="5643" width="9.85714285714286" style="26" bestFit="1" customWidth="1"/>
    <col min="5644" max="5644" width="11" style="26" bestFit="1" customWidth="1"/>
    <col min="5645" max="5645" width="10.7142857142857" style="26" bestFit="1" customWidth="1"/>
    <col min="5646" max="5646" width="10.8571428571429" style="26" bestFit="1" customWidth="1"/>
    <col min="5647" max="5647" width="7.28571428571429" style="26" bestFit="1" customWidth="1"/>
    <col min="5648" max="5648" width="9.85714285714286" style="26" bestFit="1" customWidth="1"/>
    <col min="5649" max="5649" width="11" style="26" bestFit="1" customWidth="1"/>
    <col min="5650" max="5650" width="6.14285714285714" style="26" customWidth="1"/>
    <col min="5651" max="5651" width="6.85714285714286" style="26" customWidth="1"/>
    <col min="5652" max="5652" width="7.14285714285714" style="26" bestFit="1" customWidth="1"/>
    <col min="5653" max="5889" width="11.8571428571429" style="26"/>
    <col min="5890" max="5890" width="7.14285714285714" style="26" customWidth="1"/>
    <col min="5891" max="5891" width="40.1428571428571" style="26" bestFit="1" customWidth="1"/>
    <col min="5892" max="5893" width="17.1428571428571" style="26" customWidth="1"/>
    <col min="5894" max="5894" width="9.57142857142857" style="26" customWidth="1"/>
    <col min="5895" max="5895" width="11" style="26" bestFit="1" customWidth="1"/>
    <col min="5896" max="5897" width="6.85714285714286" style="26" bestFit="1" customWidth="1"/>
    <col min="5898" max="5898" width="7.28571428571429" style="26" bestFit="1" customWidth="1"/>
    <col min="5899" max="5899" width="9.85714285714286" style="26" bestFit="1" customWidth="1"/>
    <col min="5900" max="5900" width="11" style="26" bestFit="1" customWidth="1"/>
    <col min="5901" max="5901" width="10.7142857142857" style="26" bestFit="1" customWidth="1"/>
    <col min="5902" max="5902" width="10.8571428571429" style="26" bestFit="1" customWidth="1"/>
    <col min="5903" max="5903" width="7.28571428571429" style="26" bestFit="1" customWidth="1"/>
    <col min="5904" max="5904" width="9.85714285714286" style="26" bestFit="1" customWidth="1"/>
    <col min="5905" max="5905" width="11" style="26" bestFit="1" customWidth="1"/>
    <col min="5906" max="5906" width="6.14285714285714" style="26" customWidth="1"/>
    <col min="5907" max="5907" width="6.85714285714286" style="26" customWidth="1"/>
    <col min="5908" max="5908" width="7.14285714285714" style="26" bestFit="1" customWidth="1"/>
    <col min="5909" max="6145" width="11.8571428571429" style="26"/>
    <col min="6146" max="6146" width="7.14285714285714" style="26" customWidth="1"/>
    <col min="6147" max="6147" width="40.1428571428571" style="26" bestFit="1" customWidth="1"/>
    <col min="6148" max="6149" width="17.1428571428571" style="26" customWidth="1"/>
    <col min="6150" max="6150" width="9.57142857142857" style="26" customWidth="1"/>
    <col min="6151" max="6151" width="11" style="26" bestFit="1" customWidth="1"/>
    <col min="6152" max="6153" width="6.85714285714286" style="26" bestFit="1" customWidth="1"/>
    <col min="6154" max="6154" width="7.28571428571429" style="26" bestFit="1" customWidth="1"/>
    <col min="6155" max="6155" width="9.85714285714286" style="26" bestFit="1" customWidth="1"/>
    <col min="6156" max="6156" width="11" style="26" bestFit="1" customWidth="1"/>
    <col min="6157" max="6157" width="10.7142857142857" style="26" bestFit="1" customWidth="1"/>
    <col min="6158" max="6158" width="10.8571428571429" style="26" bestFit="1" customWidth="1"/>
    <col min="6159" max="6159" width="7.28571428571429" style="26" bestFit="1" customWidth="1"/>
    <col min="6160" max="6160" width="9.85714285714286" style="26" bestFit="1" customWidth="1"/>
    <col min="6161" max="6161" width="11" style="26" bestFit="1" customWidth="1"/>
    <col min="6162" max="6162" width="6.14285714285714" style="26" customWidth="1"/>
    <col min="6163" max="6163" width="6.85714285714286" style="26" customWidth="1"/>
    <col min="6164" max="6164" width="7.14285714285714" style="26" bestFit="1" customWidth="1"/>
    <col min="6165" max="6401" width="11.8571428571429" style="26"/>
    <col min="6402" max="6402" width="7.14285714285714" style="26" customWidth="1"/>
    <col min="6403" max="6403" width="40.1428571428571" style="26" bestFit="1" customWidth="1"/>
    <col min="6404" max="6405" width="17.1428571428571" style="26" customWidth="1"/>
    <col min="6406" max="6406" width="9.57142857142857" style="26" customWidth="1"/>
    <col min="6407" max="6407" width="11" style="26" bestFit="1" customWidth="1"/>
    <col min="6408" max="6409" width="6.85714285714286" style="26" bestFit="1" customWidth="1"/>
    <col min="6410" max="6410" width="7.28571428571429" style="26" bestFit="1" customWidth="1"/>
    <col min="6411" max="6411" width="9.85714285714286" style="26" bestFit="1" customWidth="1"/>
    <col min="6412" max="6412" width="11" style="26" bestFit="1" customWidth="1"/>
    <col min="6413" max="6413" width="10.7142857142857" style="26" bestFit="1" customWidth="1"/>
    <col min="6414" max="6414" width="10.8571428571429" style="26" bestFit="1" customWidth="1"/>
    <col min="6415" max="6415" width="7.28571428571429" style="26" bestFit="1" customWidth="1"/>
    <col min="6416" max="6416" width="9.85714285714286" style="26" bestFit="1" customWidth="1"/>
    <col min="6417" max="6417" width="11" style="26" bestFit="1" customWidth="1"/>
    <col min="6418" max="6418" width="6.14285714285714" style="26" customWidth="1"/>
    <col min="6419" max="6419" width="6.85714285714286" style="26" customWidth="1"/>
    <col min="6420" max="6420" width="7.14285714285714" style="26" bestFit="1" customWidth="1"/>
    <col min="6421" max="6657" width="11.8571428571429" style="26"/>
    <col min="6658" max="6658" width="7.14285714285714" style="26" customWidth="1"/>
    <col min="6659" max="6659" width="40.1428571428571" style="26" bestFit="1" customWidth="1"/>
    <col min="6660" max="6661" width="17.1428571428571" style="26" customWidth="1"/>
    <col min="6662" max="6662" width="9.57142857142857" style="26" customWidth="1"/>
    <col min="6663" max="6663" width="11" style="26" bestFit="1" customWidth="1"/>
    <col min="6664" max="6665" width="6.85714285714286" style="26" bestFit="1" customWidth="1"/>
    <col min="6666" max="6666" width="7.28571428571429" style="26" bestFit="1" customWidth="1"/>
    <col min="6667" max="6667" width="9.85714285714286" style="26" bestFit="1" customWidth="1"/>
    <col min="6668" max="6668" width="11" style="26" bestFit="1" customWidth="1"/>
    <col min="6669" max="6669" width="10.7142857142857" style="26" bestFit="1" customWidth="1"/>
    <col min="6670" max="6670" width="10.8571428571429" style="26" bestFit="1" customWidth="1"/>
    <col min="6671" max="6671" width="7.28571428571429" style="26" bestFit="1" customWidth="1"/>
    <col min="6672" max="6672" width="9.85714285714286" style="26" bestFit="1" customWidth="1"/>
    <col min="6673" max="6673" width="11" style="26" bestFit="1" customWidth="1"/>
    <col min="6674" max="6674" width="6.14285714285714" style="26" customWidth="1"/>
    <col min="6675" max="6675" width="6.85714285714286" style="26" customWidth="1"/>
    <col min="6676" max="6676" width="7.14285714285714" style="26" bestFit="1" customWidth="1"/>
    <col min="6677" max="6913" width="11.8571428571429" style="26"/>
    <col min="6914" max="6914" width="7.14285714285714" style="26" customWidth="1"/>
    <col min="6915" max="6915" width="40.1428571428571" style="26" bestFit="1" customWidth="1"/>
    <col min="6916" max="6917" width="17.1428571428571" style="26" customWidth="1"/>
    <col min="6918" max="6918" width="9.57142857142857" style="26" customWidth="1"/>
    <col min="6919" max="6919" width="11" style="26" bestFit="1" customWidth="1"/>
    <col min="6920" max="6921" width="6.85714285714286" style="26" bestFit="1" customWidth="1"/>
    <col min="6922" max="6922" width="7.28571428571429" style="26" bestFit="1" customWidth="1"/>
    <col min="6923" max="6923" width="9.85714285714286" style="26" bestFit="1" customWidth="1"/>
    <col min="6924" max="6924" width="11" style="26" bestFit="1" customWidth="1"/>
    <col min="6925" max="6925" width="10.7142857142857" style="26" bestFit="1" customWidth="1"/>
    <col min="6926" max="6926" width="10.8571428571429" style="26" bestFit="1" customWidth="1"/>
    <col min="6927" max="6927" width="7.28571428571429" style="26" bestFit="1" customWidth="1"/>
    <col min="6928" max="6928" width="9.85714285714286" style="26" bestFit="1" customWidth="1"/>
    <col min="6929" max="6929" width="11" style="26" bestFit="1" customWidth="1"/>
    <col min="6930" max="6930" width="6.14285714285714" style="26" customWidth="1"/>
    <col min="6931" max="6931" width="6.85714285714286" style="26" customWidth="1"/>
    <col min="6932" max="6932" width="7.14285714285714" style="26" bestFit="1" customWidth="1"/>
    <col min="6933" max="7169" width="11.8571428571429" style="26"/>
    <col min="7170" max="7170" width="7.14285714285714" style="26" customWidth="1"/>
    <col min="7171" max="7171" width="40.1428571428571" style="26" bestFit="1" customWidth="1"/>
    <col min="7172" max="7173" width="17.1428571428571" style="26" customWidth="1"/>
    <col min="7174" max="7174" width="9.57142857142857" style="26" customWidth="1"/>
    <col min="7175" max="7175" width="11" style="26" bestFit="1" customWidth="1"/>
    <col min="7176" max="7177" width="6.85714285714286" style="26" bestFit="1" customWidth="1"/>
    <col min="7178" max="7178" width="7.28571428571429" style="26" bestFit="1" customWidth="1"/>
    <col min="7179" max="7179" width="9.85714285714286" style="26" bestFit="1" customWidth="1"/>
    <col min="7180" max="7180" width="11" style="26" bestFit="1" customWidth="1"/>
    <col min="7181" max="7181" width="10.7142857142857" style="26" bestFit="1" customWidth="1"/>
    <col min="7182" max="7182" width="10.8571428571429" style="26" bestFit="1" customWidth="1"/>
    <col min="7183" max="7183" width="7.28571428571429" style="26" bestFit="1" customWidth="1"/>
    <col min="7184" max="7184" width="9.85714285714286" style="26" bestFit="1" customWidth="1"/>
    <col min="7185" max="7185" width="11" style="26" bestFit="1" customWidth="1"/>
    <col min="7186" max="7186" width="6.14285714285714" style="26" customWidth="1"/>
    <col min="7187" max="7187" width="6.85714285714286" style="26" customWidth="1"/>
    <col min="7188" max="7188" width="7.14285714285714" style="26" bestFit="1" customWidth="1"/>
    <col min="7189" max="7425" width="11.8571428571429" style="26"/>
    <col min="7426" max="7426" width="7.14285714285714" style="26" customWidth="1"/>
    <col min="7427" max="7427" width="40.1428571428571" style="26" bestFit="1" customWidth="1"/>
    <col min="7428" max="7429" width="17.1428571428571" style="26" customWidth="1"/>
    <col min="7430" max="7430" width="9.57142857142857" style="26" customWidth="1"/>
    <col min="7431" max="7431" width="11" style="26" bestFit="1" customWidth="1"/>
    <col min="7432" max="7433" width="6.85714285714286" style="26" bestFit="1" customWidth="1"/>
    <col min="7434" max="7434" width="7.28571428571429" style="26" bestFit="1" customWidth="1"/>
    <col min="7435" max="7435" width="9.85714285714286" style="26" bestFit="1" customWidth="1"/>
    <col min="7436" max="7436" width="11" style="26" bestFit="1" customWidth="1"/>
    <col min="7437" max="7437" width="10.7142857142857" style="26" bestFit="1" customWidth="1"/>
    <col min="7438" max="7438" width="10.8571428571429" style="26" bestFit="1" customWidth="1"/>
    <col min="7439" max="7439" width="7.28571428571429" style="26" bestFit="1" customWidth="1"/>
    <col min="7440" max="7440" width="9.85714285714286" style="26" bestFit="1" customWidth="1"/>
    <col min="7441" max="7441" width="11" style="26" bestFit="1" customWidth="1"/>
    <col min="7442" max="7442" width="6.14285714285714" style="26" customWidth="1"/>
    <col min="7443" max="7443" width="6.85714285714286" style="26" customWidth="1"/>
    <col min="7444" max="7444" width="7.14285714285714" style="26" bestFit="1" customWidth="1"/>
    <col min="7445" max="7681" width="11.8571428571429" style="26"/>
    <col min="7682" max="7682" width="7.14285714285714" style="26" customWidth="1"/>
    <col min="7683" max="7683" width="40.1428571428571" style="26" bestFit="1" customWidth="1"/>
    <col min="7684" max="7685" width="17.1428571428571" style="26" customWidth="1"/>
    <col min="7686" max="7686" width="9.57142857142857" style="26" customWidth="1"/>
    <col min="7687" max="7687" width="11" style="26" bestFit="1" customWidth="1"/>
    <col min="7688" max="7689" width="6.85714285714286" style="26" bestFit="1" customWidth="1"/>
    <col min="7690" max="7690" width="7.28571428571429" style="26" bestFit="1" customWidth="1"/>
    <col min="7691" max="7691" width="9.85714285714286" style="26" bestFit="1" customWidth="1"/>
    <col min="7692" max="7692" width="11" style="26" bestFit="1" customWidth="1"/>
    <col min="7693" max="7693" width="10.7142857142857" style="26" bestFit="1" customWidth="1"/>
    <col min="7694" max="7694" width="10.8571428571429" style="26" bestFit="1" customWidth="1"/>
    <col min="7695" max="7695" width="7.28571428571429" style="26" bestFit="1" customWidth="1"/>
    <col min="7696" max="7696" width="9.85714285714286" style="26" bestFit="1" customWidth="1"/>
    <col min="7697" max="7697" width="11" style="26" bestFit="1" customWidth="1"/>
    <col min="7698" max="7698" width="6.14285714285714" style="26" customWidth="1"/>
    <col min="7699" max="7699" width="6.85714285714286" style="26" customWidth="1"/>
    <col min="7700" max="7700" width="7.14285714285714" style="26" bestFit="1" customWidth="1"/>
    <col min="7701" max="7937" width="11.8571428571429" style="26"/>
    <col min="7938" max="7938" width="7.14285714285714" style="26" customWidth="1"/>
    <col min="7939" max="7939" width="40.1428571428571" style="26" bestFit="1" customWidth="1"/>
    <col min="7940" max="7941" width="17.1428571428571" style="26" customWidth="1"/>
    <col min="7942" max="7942" width="9.57142857142857" style="26" customWidth="1"/>
    <col min="7943" max="7943" width="11" style="26" bestFit="1" customWidth="1"/>
    <col min="7944" max="7945" width="6.85714285714286" style="26" bestFit="1" customWidth="1"/>
    <col min="7946" max="7946" width="7.28571428571429" style="26" bestFit="1" customWidth="1"/>
    <col min="7947" max="7947" width="9.85714285714286" style="26" bestFit="1" customWidth="1"/>
    <col min="7948" max="7948" width="11" style="26" bestFit="1" customWidth="1"/>
    <col min="7949" max="7949" width="10.7142857142857" style="26" bestFit="1" customWidth="1"/>
    <col min="7950" max="7950" width="10.8571428571429" style="26" bestFit="1" customWidth="1"/>
    <col min="7951" max="7951" width="7.28571428571429" style="26" bestFit="1" customWidth="1"/>
    <col min="7952" max="7952" width="9.85714285714286" style="26" bestFit="1" customWidth="1"/>
    <col min="7953" max="7953" width="11" style="26" bestFit="1" customWidth="1"/>
    <col min="7954" max="7954" width="6.14285714285714" style="26" customWidth="1"/>
    <col min="7955" max="7955" width="6.85714285714286" style="26" customWidth="1"/>
    <col min="7956" max="7956" width="7.14285714285714" style="26" bestFit="1" customWidth="1"/>
    <col min="7957" max="8193" width="11.8571428571429" style="26"/>
    <col min="8194" max="8194" width="7.14285714285714" style="26" customWidth="1"/>
    <col min="8195" max="8195" width="40.1428571428571" style="26" bestFit="1" customWidth="1"/>
    <col min="8196" max="8197" width="17.1428571428571" style="26" customWidth="1"/>
    <col min="8198" max="8198" width="9.57142857142857" style="26" customWidth="1"/>
    <col min="8199" max="8199" width="11" style="26" bestFit="1" customWidth="1"/>
    <col min="8200" max="8201" width="6.85714285714286" style="26" bestFit="1" customWidth="1"/>
    <col min="8202" max="8202" width="7.28571428571429" style="26" bestFit="1" customWidth="1"/>
    <col min="8203" max="8203" width="9.85714285714286" style="26" bestFit="1" customWidth="1"/>
    <col min="8204" max="8204" width="11" style="26" bestFit="1" customWidth="1"/>
    <col min="8205" max="8205" width="10.7142857142857" style="26" bestFit="1" customWidth="1"/>
    <col min="8206" max="8206" width="10.8571428571429" style="26" bestFit="1" customWidth="1"/>
    <col min="8207" max="8207" width="7.28571428571429" style="26" bestFit="1" customWidth="1"/>
    <col min="8208" max="8208" width="9.85714285714286" style="26" bestFit="1" customWidth="1"/>
    <col min="8209" max="8209" width="11" style="26" bestFit="1" customWidth="1"/>
    <col min="8210" max="8210" width="6.14285714285714" style="26" customWidth="1"/>
    <col min="8211" max="8211" width="6.85714285714286" style="26" customWidth="1"/>
    <col min="8212" max="8212" width="7.14285714285714" style="26" bestFit="1" customWidth="1"/>
    <col min="8213" max="8449" width="11.8571428571429" style="26"/>
    <col min="8450" max="8450" width="7.14285714285714" style="26" customWidth="1"/>
    <col min="8451" max="8451" width="40.1428571428571" style="26" bestFit="1" customWidth="1"/>
    <col min="8452" max="8453" width="17.1428571428571" style="26" customWidth="1"/>
    <col min="8454" max="8454" width="9.57142857142857" style="26" customWidth="1"/>
    <col min="8455" max="8455" width="11" style="26" bestFit="1" customWidth="1"/>
    <col min="8456" max="8457" width="6.85714285714286" style="26" bestFit="1" customWidth="1"/>
    <col min="8458" max="8458" width="7.28571428571429" style="26" bestFit="1" customWidth="1"/>
    <col min="8459" max="8459" width="9.85714285714286" style="26" bestFit="1" customWidth="1"/>
    <col min="8460" max="8460" width="11" style="26" bestFit="1" customWidth="1"/>
    <col min="8461" max="8461" width="10.7142857142857" style="26" bestFit="1" customWidth="1"/>
    <col min="8462" max="8462" width="10.8571428571429" style="26" bestFit="1" customWidth="1"/>
    <col min="8463" max="8463" width="7.28571428571429" style="26" bestFit="1" customWidth="1"/>
    <col min="8464" max="8464" width="9.85714285714286" style="26" bestFit="1" customWidth="1"/>
    <col min="8465" max="8465" width="11" style="26" bestFit="1" customWidth="1"/>
    <col min="8466" max="8466" width="6.14285714285714" style="26" customWidth="1"/>
    <col min="8467" max="8467" width="6.85714285714286" style="26" customWidth="1"/>
    <col min="8468" max="8468" width="7.14285714285714" style="26" bestFit="1" customWidth="1"/>
    <col min="8469" max="8705" width="11.8571428571429" style="26"/>
    <col min="8706" max="8706" width="7.14285714285714" style="26" customWidth="1"/>
    <col min="8707" max="8707" width="40.1428571428571" style="26" bestFit="1" customWidth="1"/>
    <col min="8708" max="8709" width="17.1428571428571" style="26" customWidth="1"/>
    <col min="8710" max="8710" width="9.57142857142857" style="26" customWidth="1"/>
    <col min="8711" max="8711" width="11" style="26" bestFit="1" customWidth="1"/>
    <col min="8712" max="8713" width="6.85714285714286" style="26" bestFit="1" customWidth="1"/>
    <col min="8714" max="8714" width="7.28571428571429" style="26" bestFit="1" customWidth="1"/>
    <col min="8715" max="8715" width="9.85714285714286" style="26" bestFit="1" customWidth="1"/>
    <col min="8716" max="8716" width="11" style="26" bestFit="1" customWidth="1"/>
    <col min="8717" max="8717" width="10.7142857142857" style="26" bestFit="1" customWidth="1"/>
    <col min="8718" max="8718" width="10.8571428571429" style="26" bestFit="1" customWidth="1"/>
    <col min="8719" max="8719" width="7.28571428571429" style="26" bestFit="1" customWidth="1"/>
    <col min="8720" max="8720" width="9.85714285714286" style="26" bestFit="1" customWidth="1"/>
    <col min="8721" max="8721" width="11" style="26" bestFit="1" customWidth="1"/>
    <col min="8722" max="8722" width="6.14285714285714" style="26" customWidth="1"/>
    <col min="8723" max="8723" width="6.85714285714286" style="26" customWidth="1"/>
    <col min="8724" max="8724" width="7.14285714285714" style="26" bestFit="1" customWidth="1"/>
    <col min="8725" max="8961" width="11.8571428571429" style="26"/>
    <col min="8962" max="8962" width="7.14285714285714" style="26" customWidth="1"/>
    <col min="8963" max="8963" width="40.1428571428571" style="26" bestFit="1" customWidth="1"/>
    <col min="8964" max="8965" width="17.1428571428571" style="26" customWidth="1"/>
    <col min="8966" max="8966" width="9.57142857142857" style="26" customWidth="1"/>
    <col min="8967" max="8967" width="11" style="26" bestFit="1" customWidth="1"/>
    <col min="8968" max="8969" width="6.85714285714286" style="26" bestFit="1" customWidth="1"/>
    <col min="8970" max="8970" width="7.28571428571429" style="26" bestFit="1" customWidth="1"/>
    <col min="8971" max="8971" width="9.85714285714286" style="26" bestFit="1" customWidth="1"/>
    <col min="8972" max="8972" width="11" style="26" bestFit="1" customWidth="1"/>
    <col min="8973" max="8973" width="10.7142857142857" style="26" bestFit="1" customWidth="1"/>
    <col min="8974" max="8974" width="10.8571428571429" style="26" bestFit="1" customWidth="1"/>
    <col min="8975" max="8975" width="7.28571428571429" style="26" bestFit="1" customWidth="1"/>
    <col min="8976" max="8976" width="9.85714285714286" style="26" bestFit="1" customWidth="1"/>
    <col min="8977" max="8977" width="11" style="26" bestFit="1" customWidth="1"/>
    <col min="8978" max="8978" width="6.14285714285714" style="26" customWidth="1"/>
    <col min="8979" max="8979" width="6.85714285714286" style="26" customWidth="1"/>
    <col min="8980" max="8980" width="7.14285714285714" style="26" bestFit="1" customWidth="1"/>
    <col min="8981" max="9217" width="11.8571428571429" style="26"/>
    <col min="9218" max="9218" width="7.14285714285714" style="26" customWidth="1"/>
    <col min="9219" max="9219" width="40.1428571428571" style="26" bestFit="1" customWidth="1"/>
    <col min="9220" max="9221" width="17.1428571428571" style="26" customWidth="1"/>
    <col min="9222" max="9222" width="9.57142857142857" style="26" customWidth="1"/>
    <col min="9223" max="9223" width="11" style="26" bestFit="1" customWidth="1"/>
    <col min="9224" max="9225" width="6.85714285714286" style="26" bestFit="1" customWidth="1"/>
    <col min="9226" max="9226" width="7.28571428571429" style="26" bestFit="1" customWidth="1"/>
    <col min="9227" max="9227" width="9.85714285714286" style="26" bestFit="1" customWidth="1"/>
    <col min="9228" max="9228" width="11" style="26" bestFit="1" customWidth="1"/>
    <col min="9229" max="9229" width="10.7142857142857" style="26" bestFit="1" customWidth="1"/>
    <col min="9230" max="9230" width="10.8571428571429" style="26" bestFit="1" customWidth="1"/>
    <col min="9231" max="9231" width="7.28571428571429" style="26" bestFit="1" customWidth="1"/>
    <col min="9232" max="9232" width="9.85714285714286" style="26" bestFit="1" customWidth="1"/>
    <col min="9233" max="9233" width="11" style="26" bestFit="1" customWidth="1"/>
    <col min="9234" max="9234" width="6.14285714285714" style="26" customWidth="1"/>
    <col min="9235" max="9235" width="6.85714285714286" style="26" customWidth="1"/>
    <col min="9236" max="9236" width="7.14285714285714" style="26" bestFit="1" customWidth="1"/>
    <col min="9237" max="9473" width="11.8571428571429" style="26"/>
    <col min="9474" max="9474" width="7.14285714285714" style="26" customWidth="1"/>
    <col min="9475" max="9475" width="40.1428571428571" style="26" bestFit="1" customWidth="1"/>
    <col min="9476" max="9477" width="17.1428571428571" style="26" customWidth="1"/>
    <col min="9478" max="9478" width="9.57142857142857" style="26" customWidth="1"/>
    <col min="9479" max="9479" width="11" style="26" bestFit="1" customWidth="1"/>
    <col min="9480" max="9481" width="6.85714285714286" style="26" bestFit="1" customWidth="1"/>
    <col min="9482" max="9482" width="7.28571428571429" style="26" bestFit="1" customWidth="1"/>
    <col min="9483" max="9483" width="9.85714285714286" style="26" bestFit="1" customWidth="1"/>
    <col min="9484" max="9484" width="11" style="26" bestFit="1" customWidth="1"/>
    <col min="9485" max="9485" width="10.7142857142857" style="26" bestFit="1" customWidth="1"/>
    <col min="9486" max="9486" width="10.8571428571429" style="26" bestFit="1" customWidth="1"/>
    <col min="9487" max="9487" width="7.28571428571429" style="26" bestFit="1" customWidth="1"/>
    <col min="9488" max="9488" width="9.85714285714286" style="26" bestFit="1" customWidth="1"/>
    <col min="9489" max="9489" width="11" style="26" bestFit="1" customWidth="1"/>
    <col min="9490" max="9490" width="6.14285714285714" style="26" customWidth="1"/>
    <col min="9491" max="9491" width="6.85714285714286" style="26" customWidth="1"/>
    <col min="9492" max="9492" width="7.14285714285714" style="26" bestFit="1" customWidth="1"/>
    <col min="9493" max="9729" width="11.8571428571429" style="26"/>
    <col min="9730" max="9730" width="7.14285714285714" style="26" customWidth="1"/>
    <col min="9731" max="9731" width="40.1428571428571" style="26" bestFit="1" customWidth="1"/>
    <col min="9732" max="9733" width="17.1428571428571" style="26" customWidth="1"/>
    <col min="9734" max="9734" width="9.57142857142857" style="26" customWidth="1"/>
    <col min="9735" max="9735" width="11" style="26" bestFit="1" customWidth="1"/>
    <col min="9736" max="9737" width="6.85714285714286" style="26" bestFit="1" customWidth="1"/>
    <col min="9738" max="9738" width="7.28571428571429" style="26" bestFit="1" customWidth="1"/>
    <col min="9739" max="9739" width="9.85714285714286" style="26" bestFit="1" customWidth="1"/>
    <col min="9740" max="9740" width="11" style="26" bestFit="1" customWidth="1"/>
    <col min="9741" max="9741" width="10.7142857142857" style="26" bestFit="1" customWidth="1"/>
    <col min="9742" max="9742" width="10.8571428571429" style="26" bestFit="1" customWidth="1"/>
    <col min="9743" max="9743" width="7.28571428571429" style="26" bestFit="1" customWidth="1"/>
    <col min="9744" max="9744" width="9.85714285714286" style="26" bestFit="1" customWidth="1"/>
    <col min="9745" max="9745" width="11" style="26" bestFit="1" customWidth="1"/>
    <col min="9746" max="9746" width="6.14285714285714" style="26" customWidth="1"/>
    <col min="9747" max="9747" width="6.85714285714286" style="26" customWidth="1"/>
    <col min="9748" max="9748" width="7.14285714285714" style="26" bestFit="1" customWidth="1"/>
    <col min="9749" max="9985" width="11.8571428571429" style="26"/>
    <col min="9986" max="9986" width="7.14285714285714" style="26" customWidth="1"/>
    <col min="9987" max="9987" width="40.1428571428571" style="26" bestFit="1" customWidth="1"/>
    <col min="9988" max="9989" width="17.1428571428571" style="26" customWidth="1"/>
    <col min="9990" max="9990" width="9.57142857142857" style="26" customWidth="1"/>
    <col min="9991" max="9991" width="11" style="26" bestFit="1" customWidth="1"/>
    <col min="9992" max="9993" width="6.85714285714286" style="26" bestFit="1" customWidth="1"/>
    <col min="9994" max="9994" width="7.28571428571429" style="26" bestFit="1" customWidth="1"/>
    <col min="9995" max="9995" width="9.85714285714286" style="26" bestFit="1" customWidth="1"/>
    <col min="9996" max="9996" width="11" style="26" bestFit="1" customWidth="1"/>
    <col min="9997" max="9997" width="10.7142857142857" style="26" bestFit="1" customWidth="1"/>
    <col min="9998" max="9998" width="10.8571428571429" style="26" bestFit="1" customWidth="1"/>
    <col min="9999" max="9999" width="7.28571428571429" style="26" bestFit="1" customWidth="1"/>
    <col min="10000" max="10000" width="9.85714285714286" style="26" bestFit="1" customWidth="1"/>
    <col min="10001" max="10001" width="11" style="26" bestFit="1" customWidth="1"/>
    <col min="10002" max="10002" width="6.14285714285714" style="26" customWidth="1"/>
    <col min="10003" max="10003" width="6.85714285714286" style="26" customWidth="1"/>
    <col min="10004" max="10004" width="7.14285714285714" style="26" bestFit="1" customWidth="1"/>
    <col min="10005" max="10241" width="11.8571428571429" style="26"/>
    <col min="10242" max="10242" width="7.14285714285714" style="26" customWidth="1"/>
    <col min="10243" max="10243" width="40.1428571428571" style="26" bestFit="1" customWidth="1"/>
    <col min="10244" max="10245" width="17.1428571428571" style="26" customWidth="1"/>
    <col min="10246" max="10246" width="9.57142857142857" style="26" customWidth="1"/>
    <col min="10247" max="10247" width="11" style="26" bestFit="1" customWidth="1"/>
    <col min="10248" max="10249" width="6.85714285714286" style="26" bestFit="1" customWidth="1"/>
    <col min="10250" max="10250" width="7.28571428571429" style="26" bestFit="1" customWidth="1"/>
    <col min="10251" max="10251" width="9.85714285714286" style="26" bestFit="1" customWidth="1"/>
    <col min="10252" max="10252" width="11" style="26" bestFit="1" customWidth="1"/>
    <col min="10253" max="10253" width="10.7142857142857" style="26" bestFit="1" customWidth="1"/>
    <col min="10254" max="10254" width="10.8571428571429" style="26" bestFit="1" customWidth="1"/>
    <col min="10255" max="10255" width="7.28571428571429" style="26" bestFit="1" customWidth="1"/>
    <col min="10256" max="10256" width="9.85714285714286" style="26" bestFit="1" customWidth="1"/>
    <col min="10257" max="10257" width="11" style="26" bestFit="1" customWidth="1"/>
    <col min="10258" max="10258" width="6.14285714285714" style="26" customWidth="1"/>
    <col min="10259" max="10259" width="6.85714285714286" style="26" customWidth="1"/>
    <col min="10260" max="10260" width="7.14285714285714" style="26" bestFit="1" customWidth="1"/>
    <col min="10261" max="10497" width="11.8571428571429" style="26"/>
    <col min="10498" max="10498" width="7.14285714285714" style="26" customWidth="1"/>
    <col min="10499" max="10499" width="40.1428571428571" style="26" bestFit="1" customWidth="1"/>
    <col min="10500" max="10501" width="17.1428571428571" style="26" customWidth="1"/>
    <col min="10502" max="10502" width="9.57142857142857" style="26" customWidth="1"/>
    <col min="10503" max="10503" width="11" style="26" bestFit="1" customWidth="1"/>
    <col min="10504" max="10505" width="6.85714285714286" style="26" bestFit="1" customWidth="1"/>
    <col min="10506" max="10506" width="7.28571428571429" style="26" bestFit="1" customWidth="1"/>
    <col min="10507" max="10507" width="9.85714285714286" style="26" bestFit="1" customWidth="1"/>
    <col min="10508" max="10508" width="11" style="26" bestFit="1" customWidth="1"/>
    <col min="10509" max="10509" width="10.7142857142857" style="26" bestFit="1" customWidth="1"/>
    <col min="10510" max="10510" width="10.8571428571429" style="26" bestFit="1" customWidth="1"/>
    <col min="10511" max="10511" width="7.28571428571429" style="26" bestFit="1" customWidth="1"/>
    <col min="10512" max="10512" width="9.85714285714286" style="26" bestFit="1" customWidth="1"/>
    <col min="10513" max="10513" width="11" style="26" bestFit="1" customWidth="1"/>
    <col min="10514" max="10514" width="6.14285714285714" style="26" customWidth="1"/>
    <col min="10515" max="10515" width="6.85714285714286" style="26" customWidth="1"/>
    <col min="10516" max="10516" width="7.14285714285714" style="26" bestFit="1" customWidth="1"/>
    <col min="10517" max="10753" width="11.8571428571429" style="26"/>
    <col min="10754" max="10754" width="7.14285714285714" style="26" customWidth="1"/>
    <col min="10755" max="10755" width="40.1428571428571" style="26" bestFit="1" customWidth="1"/>
    <col min="10756" max="10757" width="17.1428571428571" style="26" customWidth="1"/>
    <col min="10758" max="10758" width="9.57142857142857" style="26" customWidth="1"/>
    <col min="10759" max="10759" width="11" style="26" bestFit="1" customWidth="1"/>
    <col min="10760" max="10761" width="6.85714285714286" style="26" bestFit="1" customWidth="1"/>
    <col min="10762" max="10762" width="7.28571428571429" style="26" bestFit="1" customWidth="1"/>
    <col min="10763" max="10763" width="9.85714285714286" style="26" bestFit="1" customWidth="1"/>
    <col min="10764" max="10764" width="11" style="26" bestFit="1" customWidth="1"/>
    <col min="10765" max="10765" width="10.7142857142857" style="26" bestFit="1" customWidth="1"/>
    <col min="10766" max="10766" width="10.8571428571429" style="26" bestFit="1" customWidth="1"/>
    <col min="10767" max="10767" width="7.28571428571429" style="26" bestFit="1" customWidth="1"/>
    <col min="10768" max="10768" width="9.85714285714286" style="26" bestFit="1" customWidth="1"/>
    <col min="10769" max="10769" width="11" style="26" bestFit="1" customWidth="1"/>
    <col min="10770" max="10770" width="6.14285714285714" style="26" customWidth="1"/>
    <col min="10771" max="10771" width="6.85714285714286" style="26" customWidth="1"/>
    <col min="10772" max="10772" width="7.14285714285714" style="26" bestFit="1" customWidth="1"/>
    <col min="10773" max="11009" width="11.8571428571429" style="26"/>
    <col min="11010" max="11010" width="7.14285714285714" style="26" customWidth="1"/>
    <col min="11011" max="11011" width="40.1428571428571" style="26" bestFit="1" customWidth="1"/>
    <col min="11012" max="11013" width="17.1428571428571" style="26" customWidth="1"/>
    <col min="11014" max="11014" width="9.57142857142857" style="26" customWidth="1"/>
    <col min="11015" max="11015" width="11" style="26" bestFit="1" customWidth="1"/>
    <col min="11016" max="11017" width="6.85714285714286" style="26" bestFit="1" customWidth="1"/>
    <col min="11018" max="11018" width="7.28571428571429" style="26" bestFit="1" customWidth="1"/>
    <col min="11019" max="11019" width="9.85714285714286" style="26" bestFit="1" customWidth="1"/>
    <col min="11020" max="11020" width="11" style="26" bestFit="1" customWidth="1"/>
    <col min="11021" max="11021" width="10.7142857142857" style="26" bestFit="1" customWidth="1"/>
    <col min="11022" max="11022" width="10.8571428571429" style="26" bestFit="1" customWidth="1"/>
    <col min="11023" max="11023" width="7.28571428571429" style="26" bestFit="1" customWidth="1"/>
    <col min="11024" max="11024" width="9.85714285714286" style="26" bestFit="1" customWidth="1"/>
    <col min="11025" max="11025" width="11" style="26" bestFit="1" customWidth="1"/>
    <col min="11026" max="11026" width="6.14285714285714" style="26" customWidth="1"/>
    <col min="11027" max="11027" width="6.85714285714286" style="26" customWidth="1"/>
    <col min="11028" max="11028" width="7.14285714285714" style="26" bestFit="1" customWidth="1"/>
    <col min="11029" max="11265" width="11.8571428571429" style="26"/>
    <col min="11266" max="11266" width="7.14285714285714" style="26" customWidth="1"/>
    <col min="11267" max="11267" width="40.1428571428571" style="26" bestFit="1" customWidth="1"/>
    <col min="11268" max="11269" width="17.1428571428571" style="26" customWidth="1"/>
    <col min="11270" max="11270" width="9.57142857142857" style="26" customWidth="1"/>
    <col min="11271" max="11271" width="11" style="26" bestFit="1" customWidth="1"/>
    <col min="11272" max="11273" width="6.85714285714286" style="26" bestFit="1" customWidth="1"/>
    <col min="11274" max="11274" width="7.28571428571429" style="26" bestFit="1" customWidth="1"/>
    <col min="11275" max="11275" width="9.85714285714286" style="26" bestFit="1" customWidth="1"/>
    <col min="11276" max="11276" width="11" style="26" bestFit="1" customWidth="1"/>
    <col min="11277" max="11277" width="10.7142857142857" style="26" bestFit="1" customWidth="1"/>
    <col min="11278" max="11278" width="10.8571428571429" style="26" bestFit="1" customWidth="1"/>
    <col min="11279" max="11279" width="7.28571428571429" style="26" bestFit="1" customWidth="1"/>
    <col min="11280" max="11280" width="9.85714285714286" style="26" bestFit="1" customWidth="1"/>
    <col min="11281" max="11281" width="11" style="26" bestFit="1" customWidth="1"/>
    <col min="11282" max="11282" width="6.14285714285714" style="26" customWidth="1"/>
    <col min="11283" max="11283" width="6.85714285714286" style="26" customWidth="1"/>
    <col min="11284" max="11284" width="7.14285714285714" style="26" bestFit="1" customWidth="1"/>
    <col min="11285" max="11521" width="11.8571428571429" style="26"/>
    <col min="11522" max="11522" width="7.14285714285714" style="26" customWidth="1"/>
    <col min="11523" max="11523" width="40.1428571428571" style="26" bestFit="1" customWidth="1"/>
    <col min="11524" max="11525" width="17.1428571428571" style="26" customWidth="1"/>
    <col min="11526" max="11526" width="9.57142857142857" style="26" customWidth="1"/>
    <col min="11527" max="11527" width="11" style="26" bestFit="1" customWidth="1"/>
    <col min="11528" max="11529" width="6.85714285714286" style="26" bestFit="1" customWidth="1"/>
    <col min="11530" max="11530" width="7.28571428571429" style="26" bestFit="1" customWidth="1"/>
    <col min="11531" max="11531" width="9.85714285714286" style="26" bestFit="1" customWidth="1"/>
    <col min="11532" max="11532" width="11" style="26" bestFit="1" customWidth="1"/>
    <col min="11533" max="11533" width="10.7142857142857" style="26" bestFit="1" customWidth="1"/>
    <col min="11534" max="11534" width="10.8571428571429" style="26" bestFit="1" customWidth="1"/>
    <col min="11535" max="11535" width="7.28571428571429" style="26" bestFit="1" customWidth="1"/>
    <col min="11536" max="11536" width="9.85714285714286" style="26" bestFit="1" customWidth="1"/>
    <col min="11537" max="11537" width="11" style="26" bestFit="1" customWidth="1"/>
    <col min="11538" max="11538" width="6.14285714285714" style="26" customWidth="1"/>
    <col min="11539" max="11539" width="6.85714285714286" style="26" customWidth="1"/>
    <col min="11540" max="11540" width="7.14285714285714" style="26" bestFit="1" customWidth="1"/>
    <col min="11541" max="11777" width="11.8571428571429" style="26"/>
    <col min="11778" max="11778" width="7.14285714285714" style="26" customWidth="1"/>
    <col min="11779" max="11779" width="40.1428571428571" style="26" bestFit="1" customWidth="1"/>
    <col min="11780" max="11781" width="17.1428571428571" style="26" customWidth="1"/>
    <col min="11782" max="11782" width="9.57142857142857" style="26" customWidth="1"/>
    <col min="11783" max="11783" width="11" style="26" bestFit="1" customWidth="1"/>
    <col min="11784" max="11785" width="6.85714285714286" style="26" bestFit="1" customWidth="1"/>
    <col min="11786" max="11786" width="7.28571428571429" style="26" bestFit="1" customWidth="1"/>
    <col min="11787" max="11787" width="9.85714285714286" style="26" bestFit="1" customWidth="1"/>
    <col min="11788" max="11788" width="11" style="26" bestFit="1" customWidth="1"/>
    <col min="11789" max="11789" width="10.7142857142857" style="26" bestFit="1" customWidth="1"/>
    <col min="11790" max="11790" width="10.8571428571429" style="26" bestFit="1" customWidth="1"/>
    <col min="11791" max="11791" width="7.28571428571429" style="26" bestFit="1" customWidth="1"/>
    <col min="11792" max="11792" width="9.85714285714286" style="26" bestFit="1" customWidth="1"/>
    <col min="11793" max="11793" width="11" style="26" bestFit="1" customWidth="1"/>
    <col min="11794" max="11794" width="6.14285714285714" style="26" customWidth="1"/>
    <col min="11795" max="11795" width="6.85714285714286" style="26" customWidth="1"/>
    <col min="11796" max="11796" width="7.14285714285714" style="26" bestFit="1" customWidth="1"/>
    <col min="11797" max="12033" width="11.8571428571429" style="26"/>
    <col min="12034" max="12034" width="7.14285714285714" style="26" customWidth="1"/>
    <col min="12035" max="12035" width="40.1428571428571" style="26" bestFit="1" customWidth="1"/>
    <col min="12036" max="12037" width="17.1428571428571" style="26" customWidth="1"/>
    <col min="12038" max="12038" width="9.57142857142857" style="26" customWidth="1"/>
    <col min="12039" max="12039" width="11" style="26" bestFit="1" customWidth="1"/>
    <col min="12040" max="12041" width="6.85714285714286" style="26" bestFit="1" customWidth="1"/>
    <col min="12042" max="12042" width="7.28571428571429" style="26" bestFit="1" customWidth="1"/>
    <col min="12043" max="12043" width="9.85714285714286" style="26" bestFit="1" customWidth="1"/>
    <col min="12044" max="12044" width="11" style="26" bestFit="1" customWidth="1"/>
    <col min="12045" max="12045" width="10.7142857142857" style="26" bestFit="1" customWidth="1"/>
    <col min="12046" max="12046" width="10.8571428571429" style="26" bestFit="1" customWidth="1"/>
    <col min="12047" max="12047" width="7.28571428571429" style="26" bestFit="1" customWidth="1"/>
    <col min="12048" max="12048" width="9.85714285714286" style="26" bestFit="1" customWidth="1"/>
    <col min="12049" max="12049" width="11" style="26" bestFit="1" customWidth="1"/>
    <col min="12050" max="12050" width="6.14285714285714" style="26" customWidth="1"/>
    <col min="12051" max="12051" width="6.85714285714286" style="26" customWidth="1"/>
    <col min="12052" max="12052" width="7.14285714285714" style="26" bestFit="1" customWidth="1"/>
    <col min="12053" max="12289" width="11.8571428571429" style="26"/>
    <col min="12290" max="12290" width="7.14285714285714" style="26" customWidth="1"/>
    <col min="12291" max="12291" width="40.1428571428571" style="26" bestFit="1" customWidth="1"/>
    <col min="12292" max="12293" width="17.1428571428571" style="26" customWidth="1"/>
    <col min="12294" max="12294" width="9.57142857142857" style="26" customWidth="1"/>
    <col min="12295" max="12295" width="11" style="26" bestFit="1" customWidth="1"/>
    <col min="12296" max="12297" width="6.85714285714286" style="26" bestFit="1" customWidth="1"/>
    <col min="12298" max="12298" width="7.28571428571429" style="26" bestFit="1" customWidth="1"/>
    <col min="12299" max="12299" width="9.85714285714286" style="26" bestFit="1" customWidth="1"/>
    <col min="12300" max="12300" width="11" style="26" bestFit="1" customWidth="1"/>
    <col min="12301" max="12301" width="10.7142857142857" style="26" bestFit="1" customWidth="1"/>
    <col min="12302" max="12302" width="10.8571428571429" style="26" bestFit="1" customWidth="1"/>
    <col min="12303" max="12303" width="7.28571428571429" style="26" bestFit="1" customWidth="1"/>
    <col min="12304" max="12304" width="9.85714285714286" style="26" bestFit="1" customWidth="1"/>
    <col min="12305" max="12305" width="11" style="26" bestFit="1" customWidth="1"/>
    <col min="12306" max="12306" width="6.14285714285714" style="26" customWidth="1"/>
    <col min="12307" max="12307" width="6.85714285714286" style="26" customWidth="1"/>
    <col min="12308" max="12308" width="7.14285714285714" style="26" bestFit="1" customWidth="1"/>
    <col min="12309" max="12545" width="11.8571428571429" style="26"/>
    <col min="12546" max="12546" width="7.14285714285714" style="26" customWidth="1"/>
    <col min="12547" max="12547" width="40.1428571428571" style="26" bestFit="1" customWidth="1"/>
    <col min="12548" max="12549" width="17.1428571428571" style="26" customWidth="1"/>
    <col min="12550" max="12550" width="9.57142857142857" style="26" customWidth="1"/>
    <col min="12551" max="12551" width="11" style="26" bestFit="1" customWidth="1"/>
    <col min="12552" max="12553" width="6.85714285714286" style="26" bestFit="1" customWidth="1"/>
    <col min="12554" max="12554" width="7.28571428571429" style="26" bestFit="1" customWidth="1"/>
    <col min="12555" max="12555" width="9.85714285714286" style="26" bestFit="1" customWidth="1"/>
    <col min="12556" max="12556" width="11" style="26" bestFit="1" customWidth="1"/>
    <col min="12557" max="12557" width="10.7142857142857" style="26" bestFit="1" customWidth="1"/>
    <col min="12558" max="12558" width="10.8571428571429" style="26" bestFit="1" customWidth="1"/>
    <col min="12559" max="12559" width="7.28571428571429" style="26" bestFit="1" customWidth="1"/>
    <col min="12560" max="12560" width="9.85714285714286" style="26" bestFit="1" customWidth="1"/>
    <col min="12561" max="12561" width="11" style="26" bestFit="1" customWidth="1"/>
    <col min="12562" max="12562" width="6.14285714285714" style="26" customWidth="1"/>
    <col min="12563" max="12563" width="6.85714285714286" style="26" customWidth="1"/>
    <col min="12564" max="12564" width="7.14285714285714" style="26" bestFit="1" customWidth="1"/>
    <col min="12565" max="12801" width="11.8571428571429" style="26"/>
    <col min="12802" max="12802" width="7.14285714285714" style="26" customWidth="1"/>
    <col min="12803" max="12803" width="40.1428571428571" style="26" bestFit="1" customWidth="1"/>
    <col min="12804" max="12805" width="17.1428571428571" style="26" customWidth="1"/>
    <col min="12806" max="12806" width="9.57142857142857" style="26" customWidth="1"/>
    <col min="12807" max="12807" width="11" style="26" bestFit="1" customWidth="1"/>
    <col min="12808" max="12809" width="6.85714285714286" style="26" bestFit="1" customWidth="1"/>
    <col min="12810" max="12810" width="7.28571428571429" style="26" bestFit="1" customWidth="1"/>
    <col min="12811" max="12811" width="9.85714285714286" style="26" bestFit="1" customWidth="1"/>
    <col min="12812" max="12812" width="11" style="26" bestFit="1" customWidth="1"/>
    <col min="12813" max="12813" width="10.7142857142857" style="26" bestFit="1" customWidth="1"/>
    <col min="12814" max="12814" width="10.8571428571429" style="26" bestFit="1" customWidth="1"/>
    <col min="12815" max="12815" width="7.28571428571429" style="26" bestFit="1" customWidth="1"/>
    <col min="12816" max="12816" width="9.85714285714286" style="26" bestFit="1" customWidth="1"/>
    <col min="12817" max="12817" width="11" style="26" bestFit="1" customWidth="1"/>
    <col min="12818" max="12818" width="6.14285714285714" style="26" customWidth="1"/>
    <col min="12819" max="12819" width="6.85714285714286" style="26" customWidth="1"/>
    <col min="12820" max="12820" width="7.14285714285714" style="26" bestFit="1" customWidth="1"/>
    <col min="12821" max="13057" width="11.8571428571429" style="26"/>
    <col min="13058" max="13058" width="7.14285714285714" style="26" customWidth="1"/>
    <col min="13059" max="13059" width="40.1428571428571" style="26" bestFit="1" customWidth="1"/>
    <col min="13060" max="13061" width="17.1428571428571" style="26" customWidth="1"/>
    <col min="13062" max="13062" width="9.57142857142857" style="26" customWidth="1"/>
    <col min="13063" max="13063" width="11" style="26" bestFit="1" customWidth="1"/>
    <col min="13064" max="13065" width="6.85714285714286" style="26" bestFit="1" customWidth="1"/>
    <col min="13066" max="13066" width="7.28571428571429" style="26" bestFit="1" customWidth="1"/>
    <col min="13067" max="13067" width="9.85714285714286" style="26" bestFit="1" customWidth="1"/>
    <col min="13068" max="13068" width="11" style="26" bestFit="1" customWidth="1"/>
    <col min="13069" max="13069" width="10.7142857142857" style="26" bestFit="1" customWidth="1"/>
    <col min="13070" max="13070" width="10.8571428571429" style="26" bestFit="1" customWidth="1"/>
    <col min="13071" max="13071" width="7.28571428571429" style="26" bestFit="1" customWidth="1"/>
    <col min="13072" max="13072" width="9.85714285714286" style="26" bestFit="1" customWidth="1"/>
    <col min="13073" max="13073" width="11" style="26" bestFit="1" customWidth="1"/>
    <col min="13074" max="13074" width="6.14285714285714" style="26" customWidth="1"/>
    <col min="13075" max="13075" width="6.85714285714286" style="26" customWidth="1"/>
    <col min="13076" max="13076" width="7.14285714285714" style="26" bestFit="1" customWidth="1"/>
    <col min="13077" max="13313" width="11.8571428571429" style="26"/>
    <col min="13314" max="13314" width="7.14285714285714" style="26" customWidth="1"/>
    <col min="13315" max="13315" width="40.1428571428571" style="26" bestFit="1" customWidth="1"/>
    <col min="13316" max="13317" width="17.1428571428571" style="26" customWidth="1"/>
    <col min="13318" max="13318" width="9.57142857142857" style="26" customWidth="1"/>
    <col min="13319" max="13319" width="11" style="26" bestFit="1" customWidth="1"/>
    <col min="13320" max="13321" width="6.85714285714286" style="26" bestFit="1" customWidth="1"/>
    <col min="13322" max="13322" width="7.28571428571429" style="26" bestFit="1" customWidth="1"/>
    <col min="13323" max="13323" width="9.85714285714286" style="26" bestFit="1" customWidth="1"/>
    <col min="13324" max="13324" width="11" style="26" bestFit="1" customWidth="1"/>
    <col min="13325" max="13325" width="10.7142857142857" style="26" bestFit="1" customWidth="1"/>
    <col min="13326" max="13326" width="10.8571428571429" style="26" bestFit="1" customWidth="1"/>
    <col min="13327" max="13327" width="7.28571428571429" style="26" bestFit="1" customWidth="1"/>
    <col min="13328" max="13328" width="9.85714285714286" style="26" bestFit="1" customWidth="1"/>
    <col min="13329" max="13329" width="11" style="26" bestFit="1" customWidth="1"/>
    <col min="13330" max="13330" width="6.14285714285714" style="26" customWidth="1"/>
    <col min="13331" max="13331" width="6.85714285714286" style="26" customWidth="1"/>
    <col min="13332" max="13332" width="7.14285714285714" style="26" bestFit="1" customWidth="1"/>
    <col min="13333" max="13569" width="11.8571428571429" style="26"/>
    <col min="13570" max="13570" width="7.14285714285714" style="26" customWidth="1"/>
    <col min="13571" max="13571" width="40.1428571428571" style="26" bestFit="1" customWidth="1"/>
    <col min="13572" max="13573" width="17.1428571428571" style="26" customWidth="1"/>
    <col min="13574" max="13574" width="9.57142857142857" style="26" customWidth="1"/>
    <col min="13575" max="13575" width="11" style="26" bestFit="1" customWidth="1"/>
    <col min="13576" max="13577" width="6.85714285714286" style="26" bestFit="1" customWidth="1"/>
    <col min="13578" max="13578" width="7.28571428571429" style="26" bestFit="1" customWidth="1"/>
    <col min="13579" max="13579" width="9.85714285714286" style="26" bestFit="1" customWidth="1"/>
    <col min="13580" max="13580" width="11" style="26" bestFit="1" customWidth="1"/>
    <col min="13581" max="13581" width="10.7142857142857" style="26" bestFit="1" customWidth="1"/>
    <col min="13582" max="13582" width="10.8571428571429" style="26" bestFit="1" customWidth="1"/>
    <col min="13583" max="13583" width="7.28571428571429" style="26" bestFit="1" customWidth="1"/>
    <col min="13584" max="13584" width="9.85714285714286" style="26" bestFit="1" customWidth="1"/>
    <col min="13585" max="13585" width="11" style="26" bestFit="1" customWidth="1"/>
    <col min="13586" max="13586" width="6.14285714285714" style="26" customWidth="1"/>
    <col min="13587" max="13587" width="6.85714285714286" style="26" customWidth="1"/>
    <col min="13588" max="13588" width="7.14285714285714" style="26" bestFit="1" customWidth="1"/>
    <col min="13589" max="13825" width="11.8571428571429" style="26"/>
    <col min="13826" max="13826" width="7.14285714285714" style="26" customWidth="1"/>
    <col min="13827" max="13827" width="40.1428571428571" style="26" bestFit="1" customWidth="1"/>
    <col min="13828" max="13829" width="17.1428571428571" style="26" customWidth="1"/>
    <col min="13830" max="13830" width="9.57142857142857" style="26" customWidth="1"/>
    <col min="13831" max="13831" width="11" style="26" bestFit="1" customWidth="1"/>
    <col min="13832" max="13833" width="6.85714285714286" style="26" bestFit="1" customWidth="1"/>
    <col min="13834" max="13834" width="7.28571428571429" style="26" bestFit="1" customWidth="1"/>
    <col min="13835" max="13835" width="9.85714285714286" style="26" bestFit="1" customWidth="1"/>
    <col min="13836" max="13836" width="11" style="26" bestFit="1" customWidth="1"/>
    <col min="13837" max="13837" width="10.7142857142857" style="26" bestFit="1" customWidth="1"/>
    <col min="13838" max="13838" width="10.8571428571429" style="26" bestFit="1" customWidth="1"/>
    <col min="13839" max="13839" width="7.28571428571429" style="26" bestFit="1" customWidth="1"/>
    <col min="13840" max="13840" width="9.85714285714286" style="26" bestFit="1" customWidth="1"/>
    <col min="13841" max="13841" width="11" style="26" bestFit="1" customWidth="1"/>
    <col min="13842" max="13842" width="6.14285714285714" style="26" customWidth="1"/>
    <col min="13843" max="13843" width="6.85714285714286" style="26" customWidth="1"/>
    <col min="13844" max="13844" width="7.14285714285714" style="26" bestFit="1" customWidth="1"/>
    <col min="13845" max="14081" width="11.8571428571429" style="26"/>
    <col min="14082" max="14082" width="7.14285714285714" style="26" customWidth="1"/>
    <col min="14083" max="14083" width="40.1428571428571" style="26" bestFit="1" customWidth="1"/>
    <col min="14084" max="14085" width="17.1428571428571" style="26" customWidth="1"/>
    <col min="14086" max="14086" width="9.57142857142857" style="26" customWidth="1"/>
    <col min="14087" max="14087" width="11" style="26" bestFit="1" customWidth="1"/>
    <col min="14088" max="14089" width="6.85714285714286" style="26" bestFit="1" customWidth="1"/>
    <col min="14090" max="14090" width="7.28571428571429" style="26" bestFit="1" customWidth="1"/>
    <col min="14091" max="14091" width="9.85714285714286" style="26" bestFit="1" customWidth="1"/>
    <col min="14092" max="14092" width="11" style="26" bestFit="1" customWidth="1"/>
    <col min="14093" max="14093" width="10.7142857142857" style="26" bestFit="1" customWidth="1"/>
    <col min="14094" max="14094" width="10.8571428571429" style="26" bestFit="1" customWidth="1"/>
    <col min="14095" max="14095" width="7.28571428571429" style="26" bestFit="1" customWidth="1"/>
    <col min="14096" max="14096" width="9.85714285714286" style="26" bestFit="1" customWidth="1"/>
    <col min="14097" max="14097" width="11" style="26" bestFit="1" customWidth="1"/>
    <col min="14098" max="14098" width="6.14285714285714" style="26" customWidth="1"/>
    <col min="14099" max="14099" width="6.85714285714286" style="26" customWidth="1"/>
    <col min="14100" max="14100" width="7.14285714285714" style="26" bestFit="1" customWidth="1"/>
    <col min="14101" max="14337" width="11.8571428571429" style="26"/>
    <col min="14338" max="14338" width="7.14285714285714" style="26" customWidth="1"/>
    <col min="14339" max="14339" width="40.1428571428571" style="26" bestFit="1" customWidth="1"/>
    <col min="14340" max="14341" width="17.1428571428571" style="26" customWidth="1"/>
    <col min="14342" max="14342" width="9.57142857142857" style="26" customWidth="1"/>
    <col min="14343" max="14343" width="11" style="26" bestFit="1" customWidth="1"/>
    <col min="14344" max="14345" width="6.85714285714286" style="26" bestFit="1" customWidth="1"/>
    <col min="14346" max="14346" width="7.28571428571429" style="26" bestFit="1" customWidth="1"/>
    <col min="14347" max="14347" width="9.85714285714286" style="26" bestFit="1" customWidth="1"/>
    <col min="14348" max="14348" width="11" style="26" bestFit="1" customWidth="1"/>
    <col min="14349" max="14349" width="10.7142857142857" style="26" bestFit="1" customWidth="1"/>
    <col min="14350" max="14350" width="10.8571428571429" style="26" bestFit="1" customWidth="1"/>
    <col min="14351" max="14351" width="7.28571428571429" style="26" bestFit="1" customWidth="1"/>
    <col min="14352" max="14352" width="9.85714285714286" style="26" bestFit="1" customWidth="1"/>
    <col min="14353" max="14353" width="11" style="26" bestFit="1" customWidth="1"/>
    <col min="14354" max="14354" width="6.14285714285714" style="26" customWidth="1"/>
    <col min="14355" max="14355" width="6.85714285714286" style="26" customWidth="1"/>
    <col min="14356" max="14356" width="7.14285714285714" style="26" bestFit="1" customWidth="1"/>
    <col min="14357" max="14593" width="11.8571428571429" style="26"/>
    <col min="14594" max="14594" width="7.14285714285714" style="26" customWidth="1"/>
    <col min="14595" max="14595" width="40.1428571428571" style="26" bestFit="1" customWidth="1"/>
    <col min="14596" max="14597" width="17.1428571428571" style="26" customWidth="1"/>
    <col min="14598" max="14598" width="9.57142857142857" style="26" customWidth="1"/>
    <col min="14599" max="14599" width="11" style="26" bestFit="1" customWidth="1"/>
    <col min="14600" max="14601" width="6.85714285714286" style="26" bestFit="1" customWidth="1"/>
    <col min="14602" max="14602" width="7.28571428571429" style="26" bestFit="1" customWidth="1"/>
    <col min="14603" max="14603" width="9.85714285714286" style="26" bestFit="1" customWidth="1"/>
    <col min="14604" max="14604" width="11" style="26" bestFit="1" customWidth="1"/>
    <col min="14605" max="14605" width="10.7142857142857" style="26" bestFit="1" customWidth="1"/>
    <col min="14606" max="14606" width="10.8571428571429" style="26" bestFit="1" customWidth="1"/>
    <col min="14607" max="14607" width="7.28571428571429" style="26" bestFit="1" customWidth="1"/>
    <col min="14608" max="14608" width="9.85714285714286" style="26" bestFit="1" customWidth="1"/>
    <col min="14609" max="14609" width="11" style="26" bestFit="1" customWidth="1"/>
    <col min="14610" max="14610" width="6.14285714285714" style="26" customWidth="1"/>
    <col min="14611" max="14611" width="6.85714285714286" style="26" customWidth="1"/>
    <col min="14612" max="14612" width="7.14285714285714" style="26" bestFit="1" customWidth="1"/>
    <col min="14613" max="14849" width="11.8571428571429" style="26"/>
    <col min="14850" max="14850" width="7.14285714285714" style="26" customWidth="1"/>
    <col min="14851" max="14851" width="40.1428571428571" style="26" bestFit="1" customWidth="1"/>
    <col min="14852" max="14853" width="17.1428571428571" style="26" customWidth="1"/>
    <col min="14854" max="14854" width="9.57142857142857" style="26" customWidth="1"/>
    <col min="14855" max="14855" width="11" style="26" bestFit="1" customWidth="1"/>
    <col min="14856" max="14857" width="6.85714285714286" style="26" bestFit="1" customWidth="1"/>
    <col min="14858" max="14858" width="7.28571428571429" style="26" bestFit="1" customWidth="1"/>
    <col min="14859" max="14859" width="9.85714285714286" style="26" bestFit="1" customWidth="1"/>
    <col min="14860" max="14860" width="11" style="26" bestFit="1" customWidth="1"/>
    <col min="14861" max="14861" width="10.7142857142857" style="26" bestFit="1" customWidth="1"/>
    <col min="14862" max="14862" width="10.8571428571429" style="26" bestFit="1" customWidth="1"/>
    <col min="14863" max="14863" width="7.28571428571429" style="26" bestFit="1" customWidth="1"/>
    <col min="14864" max="14864" width="9.85714285714286" style="26" bestFit="1" customWidth="1"/>
    <col min="14865" max="14865" width="11" style="26" bestFit="1" customWidth="1"/>
    <col min="14866" max="14866" width="6.14285714285714" style="26" customWidth="1"/>
    <col min="14867" max="14867" width="6.85714285714286" style="26" customWidth="1"/>
    <col min="14868" max="14868" width="7.14285714285714" style="26" bestFit="1" customWidth="1"/>
    <col min="14869" max="15105" width="11.8571428571429" style="26"/>
    <col min="15106" max="15106" width="7.14285714285714" style="26" customWidth="1"/>
    <col min="15107" max="15107" width="40.1428571428571" style="26" bestFit="1" customWidth="1"/>
    <col min="15108" max="15109" width="17.1428571428571" style="26" customWidth="1"/>
    <col min="15110" max="15110" width="9.57142857142857" style="26" customWidth="1"/>
    <col min="15111" max="15111" width="11" style="26" bestFit="1" customWidth="1"/>
    <col min="15112" max="15113" width="6.85714285714286" style="26" bestFit="1" customWidth="1"/>
    <col min="15114" max="15114" width="7.28571428571429" style="26" bestFit="1" customWidth="1"/>
    <col min="15115" max="15115" width="9.85714285714286" style="26" bestFit="1" customWidth="1"/>
    <col min="15116" max="15116" width="11" style="26" bestFit="1" customWidth="1"/>
    <col min="15117" max="15117" width="10.7142857142857" style="26" bestFit="1" customWidth="1"/>
    <col min="15118" max="15118" width="10.8571428571429" style="26" bestFit="1" customWidth="1"/>
    <col min="15119" max="15119" width="7.28571428571429" style="26" bestFit="1" customWidth="1"/>
    <col min="15120" max="15120" width="9.85714285714286" style="26" bestFit="1" customWidth="1"/>
    <col min="15121" max="15121" width="11" style="26" bestFit="1" customWidth="1"/>
    <col min="15122" max="15122" width="6.14285714285714" style="26" customWidth="1"/>
    <col min="15123" max="15123" width="6.85714285714286" style="26" customWidth="1"/>
    <col min="15124" max="15124" width="7.14285714285714" style="26" bestFit="1" customWidth="1"/>
    <col min="15125" max="15361" width="11.8571428571429" style="26"/>
    <col min="15362" max="15362" width="7.14285714285714" style="26" customWidth="1"/>
    <col min="15363" max="15363" width="40.1428571428571" style="26" bestFit="1" customWidth="1"/>
    <col min="15364" max="15365" width="17.1428571428571" style="26" customWidth="1"/>
    <col min="15366" max="15366" width="9.57142857142857" style="26" customWidth="1"/>
    <col min="15367" max="15367" width="11" style="26" bestFit="1" customWidth="1"/>
    <col min="15368" max="15369" width="6.85714285714286" style="26" bestFit="1" customWidth="1"/>
    <col min="15370" max="15370" width="7.28571428571429" style="26" bestFit="1" customWidth="1"/>
    <col min="15371" max="15371" width="9.85714285714286" style="26" bestFit="1" customWidth="1"/>
    <col min="15372" max="15372" width="11" style="26" bestFit="1" customWidth="1"/>
    <col min="15373" max="15373" width="10.7142857142857" style="26" bestFit="1" customWidth="1"/>
    <col min="15374" max="15374" width="10.8571428571429" style="26" bestFit="1" customWidth="1"/>
    <col min="15375" max="15375" width="7.28571428571429" style="26" bestFit="1" customWidth="1"/>
    <col min="15376" max="15376" width="9.85714285714286" style="26" bestFit="1" customWidth="1"/>
    <col min="15377" max="15377" width="11" style="26" bestFit="1" customWidth="1"/>
    <col min="15378" max="15378" width="6.14285714285714" style="26" customWidth="1"/>
    <col min="15379" max="15379" width="6.85714285714286" style="26" customWidth="1"/>
    <col min="15380" max="15380" width="7.14285714285714" style="26" bestFit="1" customWidth="1"/>
    <col min="15381" max="15617" width="11.8571428571429" style="26"/>
    <col min="15618" max="15618" width="7.14285714285714" style="26" customWidth="1"/>
    <col min="15619" max="15619" width="40.1428571428571" style="26" bestFit="1" customWidth="1"/>
    <col min="15620" max="15621" width="17.1428571428571" style="26" customWidth="1"/>
    <col min="15622" max="15622" width="9.57142857142857" style="26" customWidth="1"/>
    <col min="15623" max="15623" width="11" style="26" bestFit="1" customWidth="1"/>
    <col min="15624" max="15625" width="6.85714285714286" style="26" bestFit="1" customWidth="1"/>
    <col min="15626" max="15626" width="7.28571428571429" style="26" bestFit="1" customWidth="1"/>
    <col min="15627" max="15627" width="9.85714285714286" style="26" bestFit="1" customWidth="1"/>
    <col min="15628" max="15628" width="11" style="26" bestFit="1" customWidth="1"/>
    <col min="15629" max="15629" width="10.7142857142857" style="26" bestFit="1" customWidth="1"/>
    <col min="15630" max="15630" width="10.8571428571429" style="26" bestFit="1" customWidth="1"/>
    <col min="15631" max="15631" width="7.28571428571429" style="26" bestFit="1" customWidth="1"/>
    <col min="15632" max="15632" width="9.85714285714286" style="26" bestFit="1" customWidth="1"/>
    <col min="15633" max="15633" width="11" style="26" bestFit="1" customWidth="1"/>
    <col min="15634" max="15634" width="6.14285714285714" style="26" customWidth="1"/>
    <col min="15635" max="15635" width="6.85714285714286" style="26" customWidth="1"/>
    <col min="15636" max="15636" width="7.14285714285714" style="26" bestFit="1" customWidth="1"/>
    <col min="15637" max="15873" width="11.8571428571429" style="26"/>
    <col min="15874" max="15874" width="7.14285714285714" style="26" customWidth="1"/>
    <col min="15875" max="15875" width="40.1428571428571" style="26" bestFit="1" customWidth="1"/>
    <col min="15876" max="15877" width="17.1428571428571" style="26" customWidth="1"/>
    <col min="15878" max="15878" width="9.57142857142857" style="26" customWidth="1"/>
    <col min="15879" max="15879" width="11" style="26" bestFit="1" customWidth="1"/>
    <col min="15880" max="15881" width="6.85714285714286" style="26" bestFit="1" customWidth="1"/>
    <col min="15882" max="15882" width="7.28571428571429" style="26" bestFit="1" customWidth="1"/>
    <col min="15883" max="15883" width="9.85714285714286" style="26" bestFit="1" customWidth="1"/>
    <col min="15884" max="15884" width="11" style="26" bestFit="1" customWidth="1"/>
    <col min="15885" max="15885" width="10.7142857142857" style="26" bestFit="1" customWidth="1"/>
    <col min="15886" max="15886" width="10.8571428571429" style="26" bestFit="1" customWidth="1"/>
    <col min="15887" max="15887" width="7.28571428571429" style="26" bestFit="1" customWidth="1"/>
    <col min="15888" max="15888" width="9.85714285714286" style="26" bestFit="1" customWidth="1"/>
    <col min="15889" max="15889" width="11" style="26" bestFit="1" customWidth="1"/>
    <col min="15890" max="15890" width="6.14285714285714" style="26" customWidth="1"/>
    <col min="15891" max="15891" width="6.85714285714286" style="26" customWidth="1"/>
    <col min="15892" max="15892" width="7.14285714285714" style="26" bestFit="1" customWidth="1"/>
    <col min="15893" max="16129" width="11.8571428571429" style="26"/>
    <col min="16130" max="16130" width="7.14285714285714" style="26" customWidth="1"/>
    <col min="16131" max="16131" width="40.1428571428571" style="26" bestFit="1" customWidth="1"/>
    <col min="16132" max="16133" width="17.1428571428571" style="26" customWidth="1"/>
    <col min="16134" max="16134" width="9.57142857142857" style="26" customWidth="1"/>
    <col min="16135" max="16135" width="11" style="26" bestFit="1" customWidth="1"/>
    <col min="16136" max="16137" width="6.85714285714286" style="26" bestFit="1" customWidth="1"/>
    <col min="16138" max="16138" width="7.28571428571429" style="26" bestFit="1" customWidth="1"/>
    <col min="16139" max="16139" width="9.85714285714286" style="26" bestFit="1" customWidth="1"/>
    <col min="16140" max="16140" width="11" style="26" bestFit="1" customWidth="1"/>
    <col min="16141" max="16141" width="10.7142857142857" style="26" bestFit="1" customWidth="1"/>
    <col min="16142" max="16142" width="10.8571428571429" style="26" bestFit="1" customWidth="1"/>
    <col min="16143" max="16143" width="7.28571428571429" style="26" bestFit="1" customWidth="1"/>
    <col min="16144" max="16144" width="9.85714285714286" style="26" bestFit="1" customWidth="1"/>
    <col min="16145" max="16145" width="11" style="26" bestFit="1" customWidth="1"/>
    <col min="16146" max="16146" width="6.14285714285714" style="26" customWidth="1"/>
    <col min="16147" max="16147" width="6.85714285714286" style="26" customWidth="1"/>
    <col min="16148" max="16148" width="7.14285714285714" style="26" bestFit="1" customWidth="1"/>
    <col min="16149" max="16384" width="11.8571428571429" style="26"/>
  </cols>
  <sheetData>
    <row r="1" spans="1:20" ht="18">
      <c r="A1" s="864" t="s">
        <v>56</v>
      </c>
      <c r="B1" s="864"/>
      <c r="C1" s="864"/>
      <c r="D1" s="864"/>
      <c r="E1" s="864"/>
      <c r="F1" s="864"/>
      <c r="G1" s="864"/>
      <c r="H1" s="864"/>
      <c r="I1" s="864"/>
      <c r="J1" s="864"/>
      <c r="K1" s="864"/>
      <c r="L1" s="864"/>
      <c r="M1" s="864"/>
      <c r="N1" s="864"/>
      <c r="O1" s="864"/>
      <c r="P1" s="864"/>
      <c r="Q1" s="864"/>
      <c r="R1" s="864"/>
      <c r="S1" s="864"/>
      <c r="T1" s="864"/>
    </row>
    <row r="2" spans="1:20" ht="12.75">
      <c r="A2" s="865" t="str">
        <f>Input!B3</f>
        <v>FPUC, FPUC - Common, FPUC - Indiantown, Florida Division of Chesapeake Utilities Corporation, FPUC - Ft Meade</v>
      </c>
      <c r="B2" s="865"/>
      <c r="C2" s="865"/>
      <c r="D2" s="865"/>
      <c r="E2" s="865"/>
      <c r="F2" s="865"/>
      <c r="G2" s="865"/>
      <c r="H2" s="865"/>
      <c r="I2" s="865"/>
      <c r="J2" s="865"/>
      <c r="K2" s="865"/>
      <c r="L2" s="865"/>
      <c r="M2" s="865"/>
      <c r="N2" s="865"/>
      <c r="O2" s="865"/>
      <c r="P2" s="865"/>
      <c r="Q2" s="865"/>
      <c r="R2" s="865"/>
      <c r="S2" s="865"/>
      <c r="T2" s="865"/>
    </row>
    <row r="3" spans="1:20" ht="15.75">
      <c r="A3" s="863" t="s">
        <v>57</v>
      </c>
      <c r="B3" s="863"/>
      <c r="C3" s="863"/>
      <c r="D3" s="863"/>
      <c r="E3" s="863"/>
      <c r="F3" s="863"/>
      <c r="G3" s="863"/>
      <c r="H3" s="863"/>
      <c r="I3" s="863"/>
      <c r="J3" s="863"/>
      <c r="K3" s="863"/>
      <c r="L3" s="863"/>
      <c r="M3" s="863"/>
      <c r="N3" s="863"/>
      <c r="O3" s="863"/>
      <c r="P3" s="863"/>
      <c r="Q3" s="863"/>
      <c r="R3" s="863"/>
      <c r="S3" s="863"/>
      <c r="T3" s="863"/>
    </row>
    <row r="4" spans="1:20" s="27" customFormat="1" ht="12.75">
      <c r="A4" s="866" t="s">
        <v>58</v>
      </c>
      <c r="B4" s="866"/>
      <c r="C4" s="866"/>
      <c r="D4" s="866"/>
      <c r="E4" s="866"/>
      <c r="F4" s="866"/>
      <c r="G4" s="866"/>
      <c r="H4" s="866"/>
      <c r="I4" s="866"/>
      <c r="J4" s="866"/>
      <c r="K4" s="866"/>
      <c r="L4" s="866"/>
      <c r="M4" s="866"/>
      <c r="N4" s="866"/>
      <c r="O4" s="866"/>
      <c r="P4" s="866"/>
      <c r="Q4" s="866"/>
      <c r="R4" s="866"/>
      <c r="S4" s="866"/>
      <c r="T4" s="866"/>
    </row>
    <row r="5" spans="1:20" ht="15.75">
      <c r="A5" s="863" t="s">
        <v>59</v>
      </c>
      <c r="B5" s="863"/>
      <c r="C5" s="863"/>
      <c r="D5" s="863"/>
      <c r="E5" s="863"/>
      <c r="F5" s="863"/>
      <c r="G5" s="863"/>
      <c r="H5" s="863"/>
      <c r="I5" s="863"/>
      <c r="J5" s="863"/>
      <c r="K5" s="863"/>
      <c r="L5" s="863"/>
      <c r="M5" s="863"/>
      <c r="N5" s="863"/>
      <c r="O5" s="863"/>
      <c r="P5" s="863"/>
      <c r="Q5" s="863"/>
      <c r="R5" s="863"/>
      <c r="S5" s="863"/>
      <c r="T5" s="863"/>
    </row>
    <row r="6" spans="1:20" ht="13.5" thickBot="1">
      <c r="A6" s="329" t="s">
        <v>18</v>
      </c>
      <c r="B6" s="329"/>
      <c r="C6" s="329"/>
      <c r="D6" s="329"/>
      <c r="E6" s="683"/>
      <c r="F6" s="28"/>
      <c r="G6" s="28"/>
      <c r="H6" s="28"/>
      <c r="I6" s="28"/>
      <c r="J6" s="29"/>
      <c r="K6" s="28"/>
      <c r="L6" s="28"/>
      <c r="M6" s="28"/>
      <c r="N6" s="319"/>
      <c r="O6" s="329"/>
      <c r="P6" s="28"/>
      <c r="Q6" s="28"/>
      <c r="R6" s="28"/>
      <c r="S6" s="28"/>
      <c r="T6" s="329"/>
    </row>
    <row r="7" spans="1:20" ht="15.75" customHeight="1" thickTop="1" thickBot="1">
      <c r="A7" s="30"/>
      <c r="B7" s="30"/>
      <c r="C7" s="693"/>
      <c r="D7" s="693"/>
      <c r="E7" s="694"/>
      <c r="F7" s="869" t="s">
        <v>60</v>
      </c>
      <c r="G7" s="870"/>
      <c r="H7" s="870"/>
      <c r="I7" s="870"/>
      <c r="J7" s="871"/>
      <c r="K7" s="869" t="s">
        <v>61</v>
      </c>
      <c r="L7" s="870"/>
      <c r="M7" s="870"/>
      <c r="N7" s="870"/>
      <c r="O7" s="871"/>
      <c r="P7" s="869" t="s">
        <v>62</v>
      </c>
      <c r="Q7" s="870"/>
      <c r="R7" s="870"/>
      <c r="S7" s="870"/>
      <c r="T7" s="871"/>
    </row>
    <row r="8" spans="1:20" ht="15.75" customHeight="1" thickTop="1">
      <c r="A8" s="31"/>
      <c r="B8" s="31"/>
      <c r="C8" s="860" t="s">
        <v>63</v>
      </c>
      <c r="D8" s="861"/>
      <c r="E8" s="862"/>
      <c r="F8" s="32" t="s">
        <v>64</v>
      </c>
      <c r="G8" s="33" t="s">
        <v>64</v>
      </c>
      <c r="H8" s="34"/>
      <c r="I8" s="34"/>
      <c r="J8" s="35"/>
      <c r="K8" s="32" t="s">
        <v>65</v>
      </c>
      <c r="L8" s="33" t="s">
        <v>65</v>
      </c>
      <c r="M8" s="34"/>
      <c r="N8" s="320"/>
      <c r="O8" s="36"/>
      <c r="P8" s="32" t="s">
        <v>65</v>
      </c>
      <c r="Q8" s="33" t="s">
        <v>65</v>
      </c>
      <c r="R8" s="34" t="s">
        <v>18</v>
      </c>
      <c r="S8" s="34"/>
      <c r="T8" s="36"/>
    </row>
    <row r="9" spans="1:20" ht="11.25">
      <c r="A9" s="37"/>
      <c r="B9" s="38"/>
      <c r="C9" s="45" t="s">
        <v>66</v>
      </c>
      <c r="D9" s="46" t="str">
        <f>+C9</f>
        <v>PROJECTED</v>
      </c>
      <c r="E9" s="46"/>
      <c r="F9" s="39" t="s">
        <v>67</v>
      </c>
      <c r="G9" s="40" t="s">
        <v>68</v>
      </c>
      <c r="H9" s="40" t="s">
        <v>69</v>
      </c>
      <c r="I9" s="41"/>
      <c r="J9" s="42"/>
      <c r="K9" s="39" t="s">
        <v>67</v>
      </c>
      <c r="L9" s="40" t="s">
        <v>68</v>
      </c>
      <c r="M9" s="40" t="s">
        <v>69</v>
      </c>
      <c r="N9" s="321" t="s">
        <v>658</v>
      </c>
      <c r="O9" s="43"/>
      <c r="P9" s="39" t="s">
        <v>67</v>
      </c>
      <c r="Q9" s="40" t="s">
        <v>68</v>
      </c>
      <c r="R9" s="40" t="s">
        <v>69</v>
      </c>
      <c r="S9" s="41" t="s">
        <v>18</v>
      </c>
      <c r="T9" s="43"/>
    </row>
    <row r="10" spans="1:20" ht="12" thickBot="1">
      <c r="A10" s="44"/>
      <c r="B10" s="38"/>
      <c r="C10" s="45">
        <v>44927</v>
      </c>
      <c r="D10" s="46">
        <f>+C10</f>
        <v>44927</v>
      </c>
      <c r="E10" s="46"/>
      <c r="F10" s="39" t="s">
        <v>70</v>
      </c>
      <c r="G10" s="40" t="s">
        <v>70</v>
      </c>
      <c r="H10" s="40" t="s">
        <v>71</v>
      </c>
      <c r="I10" s="40" t="s">
        <v>72</v>
      </c>
      <c r="J10" s="42" t="s">
        <v>73</v>
      </c>
      <c r="K10" s="39" t="s">
        <v>70</v>
      </c>
      <c r="L10" s="40" t="s">
        <v>70</v>
      </c>
      <c r="M10" s="40" t="s">
        <v>71</v>
      </c>
      <c r="N10" s="321" t="s">
        <v>72</v>
      </c>
      <c r="O10" s="43" t="s">
        <v>73</v>
      </c>
      <c r="P10" s="39" t="s">
        <v>70</v>
      </c>
      <c r="Q10" s="40" t="s">
        <v>70</v>
      </c>
      <c r="R10" s="40" t="s">
        <v>71</v>
      </c>
      <c r="S10" s="40" t="s">
        <v>72</v>
      </c>
      <c r="T10" s="43" t="s">
        <v>73</v>
      </c>
    </row>
    <row r="11" spans="1:20" ht="12.75" thickTop="1" thickBot="1">
      <c r="A11" s="330" t="s">
        <v>74</v>
      </c>
      <c r="B11" s="331"/>
      <c r="C11" s="48" t="s">
        <v>75</v>
      </c>
      <c r="D11" s="662" t="s">
        <v>76</v>
      </c>
      <c r="E11" s="662"/>
      <c r="F11" s="48" t="s">
        <v>77</v>
      </c>
      <c r="G11" s="49" t="s">
        <v>77</v>
      </c>
      <c r="H11" s="49" t="s">
        <v>78</v>
      </c>
      <c r="I11" s="49" t="s">
        <v>77</v>
      </c>
      <c r="J11" s="50"/>
      <c r="K11" s="48" t="s">
        <v>77</v>
      </c>
      <c r="L11" s="49" t="s">
        <v>77</v>
      </c>
      <c r="M11" s="49" t="s">
        <v>78</v>
      </c>
      <c r="N11" s="322" t="s">
        <v>77</v>
      </c>
      <c r="O11" s="51"/>
      <c r="P11" s="48" t="s">
        <v>77</v>
      </c>
      <c r="Q11" s="49" t="s">
        <v>77</v>
      </c>
      <c r="R11" s="49" t="s">
        <v>78</v>
      </c>
      <c r="S11" s="49" t="s">
        <v>77</v>
      </c>
      <c r="T11" s="51"/>
    </row>
    <row r="12" spans="1:20" s="58" customFormat="1" ht="12" thickTop="1">
      <c r="A12" s="52"/>
      <c r="B12" s="841"/>
      <c r="C12" s="53"/>
      <c r="D12" s="835"/>
      <c r="E12" s="54"/>
      <c r="F12" s="55"/>
      <c r="G12" s="55"/>
      <c r="H12" s="55"/>
      <c r="I12" s="55"/>
      <c r="J12" s="42"/>
      <c r="K12" s="55"/>
      <c r="L12" s="55"/>
      <c r="M12" s="55"/>
      <c r="N12" s="323"/>
      <c r="O12" s="56"/>
      <c r="P12" s="57"/>
      <c r="Q12" s="55"/>
      <c r="R12" s="55"/>
      <c r="S12" s="55"/>
      <c r="T12" s="56"/>
    </row>
    <row r="13" spans="1:20" s="58" customFormat="1" ht="11.25">
      <c r="A13" s="59" t="s">
        <v>79</v>
      </c>
      <c r="B13" s="842"/>
      <c r="C13" s="60"/>
      <c r="D13" s="680"/>
      <c r="E13" s="61"/>
      <c r="F13" s="40"/>
      <c r="G13" s="40"/>
      <c r="H13" s="62"/>
      <c r="I13" s="62"/>
      <c r="J13" s="42"/>
      <c r="K13" s="40"/>
      <c r="L13" s="40"/>
      <c r="M13" s="62"/>
      <c r="N13" s="321"/>
      <c r="O13" s="43"/>
      <c r="P13" s="39"/>
      <c r="Q13" s="40"/>
      <c r="R13" s="62"/>
      <c r="S13" s="62"/>
      <c r="T13" s="43"/>
    </row>
    <row r="14" spans="1:20" ht="12.75">
      <c r="A14" s="63">
        <v>3741</v>
      </c>
      <c r="B14" s="843" t="s">
        <v>80</v>
      </c>
      <c r="C14" s="839">
        <f>'Sch. D'!C13</f>
        <v>33410</v>
      </c>
      <c r="D14" s="681">
        <f>'Sch. D'!D13</f>
        <v>11583</v>
      </c>
      <c r="E14" s="65"/>
      <c r="F14" s="476">
        <v>35</v>
      </c>
      <c r="G14" s="476">
        <v>7.4000000000000004</v>
      </c>
      <c r="H14" s="476">
        <v>0</v>
      </c>
      <c r="I14" s="476">
        <v>27.600000000000001</v>
      </c>
      <c r="J14" s="795" t="s">
        <v>81</v>
      </c>
      <c r="K14" s="476">
        <v>75</v>
      </c>
      <c r="L14" s="476">
        <v>56</v>
      </c>
      <c r="M14" s="476">
        <v>0</v>
      </c>
      <c r="N14" s="479">
        <f>'Sch. M'!P14</f>
        <v>19.199999999999999</v>
      </c>
      <c r="O14" s="309" t="s">
        <v>81</v>
      </c>
      <c r="P14" s="68"/>
      <c r="Q14" s="66"/>
      <c r="R14" s="66"/>
      <c r="S14" s="66"/>
      <c r="T14" s="67"/>
    </row>
    <row r="15" spans="1:20" ht="12.75">
      <c r="A15" s="63">
        <v>375</v>
      </c>
      <c r="B15" s="843" t="s">
        <v>82</v>
      </c>
      <c r="C15" s="839">
        <f>'Sch. D'!C14</f>
        <v>1572719</v>
      </c>
      <c r="D15" s="681">
        <f>'Sch. D'!D14</f>
        <v>351957</v>
      </c>
      <c r="E15" s="65"/>
      <c r="F15" s="476">
        <v>40</v>
      </c>
      <c r="G15" s="478">
        <v>23</v>
      </c>
      <c r="H15" s="478">
        <v>0</v>
      </c>
      <c r="I15" s="478">
        <v>16.699999999999999</v>
      </c>
      <c r="J15" s="477" t="s">
        <v>83</v>
      </c>
      <c r="K15" s="478">
        <v>40</v>
      </c>
      <c r="L15" s="478">
        <v>28</v>
      </c>
      <c r="M15" s="478">
        <v>0</v>
      </c>
      <c r="N15" s="480">
        <f>'Sch. M'!P47</f>
        <v>11.699999999999999</v>
      </c>
      <c r="O15" s="310" t="s">
        <v>83</v>
      </c>
      <c r="P15" s="68"/>
      <c r="Q15" s="66"/>
      <c r="R15" s="66"/>
      <c r="S15" s="66"/>
      <c r="T15" s="67"/>
    </row>
    <row r="16" spans="1:20" ht="12.75">
      <c r="A16" s="63">
        <v>3761</v>
      </c>
      <c r="B16" s="843" t="s">
        <v>84</v>
      </c>
      <c r="C16" s="839">
        <f>'Sch. D'!C15</f>
        <v>129087416</v>
      </c>
      <c r="D16" s="681">
        <f>'Sch. D'!D15</f>
        <v>32009063</v>
      </c>
      <c r="E16" s="65"/>
      <c r="F16" s="476">
        <v>55</v>
      </c>
      <c r="G16" s="478">
        <v>48</v>
      </c>
      <c r="H16" s="796">
        <v>-16</v>
      </c>
      <c r="I16" s="478">
        <v>7.2999999999999998</v>
      </c>
      <c r="J16" s="477" t="s">
        <v>85</v>
      </c>
      <c r="K16" s="478">
        <v>75</v>
      </c>
      <c r="L16" s="478">
        <v>67</v>
      </c>
      <c r="M16" s="796">
        <v>-25</v>
      </c>
      <c r="N16" s="480">
        <f>('Sch. M'!Q100+'Sch. M'!Q203)/('Sch. M'!O100+'Sch. M'!O203)</f>
        <v>8.0091588003625205</v>
      </c>
      <c r="O16" s="311" t="s">
        <v>85</v>
      </c>
      <c r="P16" s="68"/>
      <c r="Q16" s="66"/>
      <c r="R16" s="66"/>
      <c r="S16" s="66"/>
      <c r="T16" s="67"/>
    </row>
    <row r="17" spans="1:20" ht="12.75">
      <c r="A17" s="63">
        <v>3762</v>
      </c>
      <c r="B17" s="843" t="s">
        <v>86</v>
      </c>
      <c r="C17" s="839">
        <f>'Sch. D'!C16</f>
        <v>61810864</v>
      </c>
      <c r="D17" s="681">
        <f>'Sch. D'!D16</f>
        <v>30162494</v>
      </c>
      <c r="E17" s="65"/>
      <c r="F17" s="476">
        <v>55</v>
      </c>
      <c r="G17" s="478">
        <v>37</v>
      </c>
      <c r="H17" s="796">
        <v>-28</v>
      </c>
      <c r="I17" s="478">
        <v>18.5</v>
      </c>
      <c r="J17" s="477" t="s">
        <v>85</v>
      </c>
      <c r="K17" s="478">
        <v>65</v>
      </c>
      <c r="L17" s="478">
        <v>43</v>
      </c>
      <c r="M17" s="796">
        <v>-40</v>
      </c>
      <c r="N17" s="480">
        <f>'Sch. M'!P188</f>
        <v>22.199999999999999</v>
      </c>
      <c r="O17" s="311" t="s">
        <v>85</v>
      </c>
      <c r="P17" s="68"/>
      <c r="Q17" s="66"/>
      <c r="R17" s="66"/>
      <c r="S17" s="66"/>
      <c r="T17" s="67"/>
    </row>
    <row r="18" spans="1:20" ht="12.75">
      <c r="A18" s="63" t="s">
        <v>87</v>
      </c>
      <c r="B18" s="843" t="s">
        <v>88</v>
      </c>
      <c r="C18" s="839">
        <f>'Sch. D'!C17</f>
        <v>146906029</v>
      </c>
      <c r="D18" s="681">
        <f>'Sch. D'!D17</f>
        <v>17733587</v>
      </c>
      <c r="E18" s="65"/>
      <c r="F18" s="476">
        <v>55</v>
      </c>
      <c r="G18" s="478">
        <v>48</v>
      </c>
      <c r="H18" s="796">
        <v>-16</v>
      </c>
      <c r="I18" s="478">
        <v>7.2999999999999998</v>
      </c>
      <c r="J18" s="477" t="s">
        <v>85</v>
      </c>
      <c r="K18" s="478">
        <v>75</v>
      </c>
      <c r="L18" s="478">
        <v>67</v>
      </c>
      <c r="M18" s="796">
        <v>-25</v>
      </c>
      <c r="N18" s="480">
        <f>N16</f>
        <v>8.0091588003625205</v>
      </c>
      <c r="O18" s="311" t="s">
        <v>85</v>
      </c>
      <c r="P18" s="68"/>
      <c r="Q18" s="66"/>
      <c r="R18" s="66"/>
      <c r="S18" s="66"/>
      <c r="T18" s="67"/>
    </row>
    <row r="19" spans="1:20" ht="12.75">
      <c r="A19" s="63">
        <v>378</v>
      </c>
      <c r="B19" s="843" t="s">
        <v>89</v>
      </c>
      <c r="C19" s="839">
        <f>'Sch. D'!C18</f>
        <v>6890853</v>
      </c>
      <c r="D19" s="681">
        <f>'Sch. D'!D18</f>
        <v>1702522</v>
      </c>
      <c r="E19" s="65"/>
      <c r="F19" s="476">
        <v>31</v>
      </c>
      <c r="G19" s="478">
        <v>23</v>
      </c>
      <c r="H19" s="796">
        <v>-5</v>
      </c>
      <c r="I19" s="478">
        <v>8.1999999999999993</v>
      </c>
      <c r="J19" s="477" t="s">
        <v>90</v>
      </c>
      <c r="K19" s="478">
        <v>40</v>
      </c>
      <c r="L19" s="478">
        <v>32</v>
      </c>
      <c r="M19" s="796">
        <v>-10</v>
      </c>
      <c r="N19" s="480">
        <f>'Sch. M'!P256</f>
        <v>8</v>
      </c>
      <c r="O19" s="311" t="s">
        <v>90</v>
      </c>
      <c r="P19" s="68"/>
      <c r="Q19" s="66"/>
      <c r="R19" s="66"/>
      <c r="S19" s="66"/>
      <c r="T19" s="67"/>
    </row>
    <row r="20" spans="1:20" ht="12.75">
      <c r="A20" s="63">
        <v>379</v>
      </c>
      <c r="B20" s="843" t="s">
        <v>91</v>
      </c>
      <c r="C20" s="839">
        <f>'Sch. D'!C19</f>
        <v>14603999</v>
      </c>
      <c r="D20" s="681">
        <f>'Sch. D'!D19</f>
        <v>5789277</v>
      </c>
      <c r="E20" s="65"/>
      <c r="F20" s="476">
        <v>32</v>
      </c>
      <c r="G20" s="478">
        <v>23</v>
      </c>
      <c r="H20" s="796">
        <v>-5</v>
      </c>
      <c r="I20" s="478">
        <v>9.5</v>
      </c>
      <c r="J20" s="477" t="s">
        <v>90</v>
      </c>
      <c r="K20" s="478">
        <v>40</v>
      </c>
      <c r="L20" s="478">
        <v>28</v>
      </c>
      <c r="M20" s="796">
        <v>-10</v>
      </c>
      <c r="N20" s="480">
        <f>'Sch. M'!P306</f>
        <v>12.699999999999999</v>
      </c>
      <c r="O20" s="311" t="s">
        <v>90</v>
      </c>
      <c r="P20" s="68"/>
      <c r="Q20" s="66"/>
      <c r="R20" s="66"/>
      <c r="S20" s="66"/>
      <c r="T20" s="67"/>
    </row>
    <row r="21" spans="1:20" ht="12.75">
      <c r="A21" s="63">
        <v>3801</v>
      </c>
      <c r="B21" s="843" t="s">
        <v>92</v>
      </c>
      <c r="C21" s="839">
        <f>'Sch. D'!C20</f>
        <v>69786805</v>
      </c>
      <c r="D21" s="681">
        <f>'Sch. D'!D20</f>
        <v>15557857</v>
      </c>
      <c r="E21" s="65"/>
      <c r="F21" s="476">
        <v>55</v>
      </c>
      <c r="G21" s="478">
        <v>46</v>
      </c>
      <c r="H21" s="796">
        <v>-22</v>
      </c>
      <c r="I21" s="478">
        <v>9</v>
      </c>
      <c r="J21" s="477" t="s">
        <v>85</v>
      </c>
      <c r="K21" s="478">
        <v>55</v>
      </c>
      <c r="L21" s="478">
        <v>46</v>
      </c>
      <c r="M21" s="796">
        <v>-30</v>
      </c>
      <c r="N21" s="480">
        <f>('Sch. M'!Q360+'Sch. M'!Q458)/('Sch. M'!O360+'Sch. M'!O458)</f>
        <v>8.7155943581819422</v>
      </c>
      <c r="O21" s="311" t="s">
        <v>85</v>
      </c>
      <c r="P21" s="68"/>
      <c r="Q21" s="66"/>
      <c r="R21" s="66"/>
      <c r="S21" s="66"/>
      <c r="T21" s="67"/>
    </row>
    <row r="22" spans="1:20" ht="12.75">
      <c r="A22" s="63">
        <v>3802</v>
      </c>
      <c r="B22" s="843" t="s">
        <v>93</v>
      </c>
      <c r="C22" s="839">
        <f>'Sch. D'!C21</f>
        <v>1327469</v>
      </c>
      <c r="D22" s="681">
        <f>'Sch. D'!D21</f>
        <v>1419349</v>
      </c>
      <c r="E22" s="65"/>
      <c r="F22" s="476">
        <v>50</v>
      </c>
      <c r="G22" s="478">
        <v>22</v>
      </c>
      <c r="H22" s="796">
        <v>-125</v>
      </c>
      <c r="I22" s="478">
        <v>31.300000000000001</v>
      </c>
      <c r="J22" s="477" t="s">
        <v>94</v>
      </c>
      <c r="K22" s="478">
        <v>60</v>
      </c>
      <c r="L22" s="478">
        <v>35</v>
      </c>
      <c r="M22" s="796">
        <v>-130</v>
      </c>
      <c r="N22" s="480">
        <f>'Sch. M'!P443</f>
        <v>26.300000000000001</v>
      </c>
      <c r="O22" s="311" t="s">
        <v>94</v>
      </c>
      <c r="P22" s="68"/>
      <c r="Q22" s="66"/>
      <c r="R22" s="66"/>
      <c r="S22" s="66"/>
      <c r="T22" s="67"/>
    </row>
    <row r="23" spans="1:20" ht="12.75">
      <c r="A23" s="63" t="s">
        <v>95</v>
      </c>
      <c r="B23" s="843" t="s">
        <v>96</v>
      </c>
      <c r="C23" s="839">
        <f>'Sch. D'!C22</f>
        <v>48993831</v>
      </c>
      <c r="D23" s="681">
        <f>'Sch. D'!D22</f>
        <v>3452804</v>
      </c>
      <c r="E23" s="65"/>
      <c r="F23" s="476">
        <v>55</v>
      </c>
      <c r="G23" s="478">
        <v>46</v>
      </c>
      <c r="H23" s="796">
        <v>-22</v>
      </c>
      <c r="I23" s="478">
        <v>9</v>
      </c>
      <c r="J23" s="477" t="s">
        <v>85</v>
      </c>
      <c r="K23" s="478">
        <v>55</v>
      </c>
      <c r="L23" s="478">
        <v>46</v>
      </c>
      <c r="M23" s="796">
        <v>-30</v>
      </c>
      <c r="N23" s="480">
        <f>N21</f>
        <v>8.7155943581819422</v>
      </c>
      <c r="O23" s="311" t="s">
        <v>85</v>
      </c>
      <c r="P23" s="68"/>
      <c r="Q23" s="66"/>
      <c r="R23" s="66"/>
      <c r="S23" s="66"/>
      <c r="T23" s="67"/>
    </row>
    <row r="24" spans="1:20" ht="12.75">
      <c r="A24" s="63">
        <v>381</v>
      </c>
      <c r="B24" s="843" t="s">
        <v>97</v>
      </c>
      <c r="C24" s="839">
        <f>'Sch. D'!C23</f>
        <v>23268059</v>
      </c>
      <c r="D24" s="681">
        <f>'Sch. D'!D23</f>
        <v>7354720</v>
      </c>
      <c r="E24" s="65"/>
      <c r="F24" s="476">
        <v>28</v>
      </c>
      <c r="G24" s="478">
        <v>17.100000000000001</v>
      </c>
      <c r="H24" s="478">
        <v>0</v>
      </c>
      <c r="I24" s="478">
        <v>11.6</v>
      </c>
      <c r="J24" s="477" t="s">
        <v>90</v>
      </c>
      <c r="K24" s="478">
        <v>28</v>
      </c>
      <c r="L24" s="478">
        <v>18.600000000000001</v>
      </c>
      <c r="M24" s="478">
        <v>0</v>
      </c>
      <c r="N24" s="480">
        <f>'Sch. M'!P515</f>
        <v>9.9000000000000004</v>
      </c>
      <c r="O24" s="311" t="s">
        <v>90</v>
      </c>
      <c r="P24" s="68"/>
      <c r="Q24" s="66"/>
      <c r="R24" s="66"/>
      <c r="S24" s="66"/>
      <c r="T24" s="67"/>
    </row>
    <row r="25" spans="1:20" ht="12.75">
      <c r="A25" s="63">
        <v>3811</v>
      </c>
      <c r="B25" s="843" t="s">
        <v>98</v>
      </c>
      <c r="C25" s="839">
        <f>'Sch. D'!C24</f>
        <v>2303034</v>
      </c>
      <c r="D25" s="681">
        <f>'Sch. D'!D24</f>
        <v>1452732</v>
      </c>
      <c r="E25" s="65"/>
      <c r="F25" s="476">
        <v>20</v>
      </c>
      <c r="G25" s="478">
        <v>12.1</v>
      </c>
      <c r="H25" s="478">
        <v>0</v>
      </c>
      <c r="I25" s="478">
        <v>8.4000000000000004</v>
      </c>
      <c r="J25" s="477" t="s">
        <v>90</v>
      </c>
      <c r="K25" s="478">
        <v>28</v>
      </c>
      <c r="L25" s="478">
        <v>16.699999999999999</v>
      </c>
      <c r="M25" s="478">
        <v>0</v>
      </c>
      <c r="N25" s="480">
        <f>'Sch. M'!P524</f>
        <v>12.1</v>
      </c>
      <c r="O25" s="311" t="s">
        <v>90</v>
      </c>
      <c r="P25" s="68"/>
      <c r="Q25" s="66"/>
      <c r="R25" s="66"/>
      <c r="S25" s="66"/>
      <c r="T25" s="67"/>
    </row>
    <row r="26" spans="1:20" ht="12.75">
      <c r="A26" s="63">
        <v>382</v>
      </c>
      <c r="B26" s="843" t="s">
        <v>99</v>
      </c>
      <c r="C26" s="839">
        <f>'Sch. D'!C25</f>
        <v>18239922</v>
      </c>
      <c r="D26" s="681">
        <f>'Sch. D'!D25</f>
        <v>5258682</v>
      </c>
      <c r="E26" s="65"/>
      <c r="F26" s="476">
        <v>36</v>
      </c>
      <c r="G26" s="478">
        <v>27</v>
      </c>
      <c r="H26" s="796">
        <v>-10</v>
      </c>
      <c r="I26" s="478">
        <v>9.1999999999999993</v>
      </c>
      <c r="J26" s="477" t="s">
        <v>94</v>
      </c>
      <c r="K26" s="478">
        <v>45</v>
      </c>
      <c r="L26" s="478">
        <v>35</v>
      </c>
      <c r="M26" s="796">
        <v>-20</v>
      </c>
      <c r="N26" s="480">
        <f>'Sch. M'!P602</f>
        <v>10.199999999999999</v>
      </c>
      <c r="O26" s="311" t="s">
        <v>94</v>
      </c>
      <c r="P26" s="68"/>
      <c r="Q26" s="66"/>
      <c r="R26" s="66"/>
      <c r="S26" s="66"/>
      <c r="T26" s="67"/>
    </row>
    <row r="27" spans="1:20" ht="12.75">
      <c r="A27" s="63">
        <v>3821</v>
      </c>
      <c r="B27" s="843" t="s">
        <v>100</v>
      </c>
      <c r="C27" s="839">
        <f>'Sch. D'!C26</f>
        <v>593040</v>
      </c>
      <c r="D27" s="681">
        <f>'Sch. D'!D26</f>
        <v>283446</v>
      </c>
      <c r="E27" s="65"/>
      <c r="F27" s="476">
        <v>36</v>
      </c>
      <c r="G27" s="478">
        <v>28</v>
      </c>
      <c r="H27" s="796">
        <v>-10</v>
      </c>
      <c r="I27" s="478">
        <v>8.5</v>
      </c>
      <c r="J27" s="477" t="s">
        <v>94</v>
      </c>
      <c r="K27" s="478">
        <v>45</v>
      </c>
      <c r="L27" s="478">
        <v>33</v>
      </c>
      <c r="M27" s="796">
        <v>-20</v>
      </c>
      <c r="N27" s="480">
        <f>'Sch. M'!P608</f>
        <v>12.5</v>
      </c>
      <c r="O27" s="311" t="s">
        <v>94</v>
      </c>
      <c r="P27" s="68"/>
      <c r="Q27" s="66"/>
      <c r="R27" s="66"/>
      <c r="S27" s="66"/>
      <c r="T27" s="67"/>
    </row>
    <row r="28" spans="1:20" ht="12.75">
      <c r="A28" s="63">
        <v>383</v>
      </c>
      <c r="B28" s="843" t="s">
        <v>101</v>
      </c>
      <c r="C28" s="839">
        <f>'Sch. D'!C27</f>
        <v>6859108</v>
      </c>
      <c r="D28" s="681">
        <f>'Sch. D'!D27</f>
        <v>3131461</v>
      </c>
      <c r="E28" s="65"/>
      <c r="F28" s="476">
        <v>30</v>
      </c>
      <c r="G28" s="478">
        <v>16.199999999999999</v>
      </c>
      <c r="H28" s="478">
        <v>0</v>
      </c>
      <c r="I28" s="478">
        <v>14.1</v>
      </c>
      <c r="J28" s="477" t="s">
        <v>102</v>
      </c>
      <c r="K28" s="478">
        <v>40</v>
      </c>
      <c r="L28" s="478">
        <v>27</v>
      </c>
      <c r="M28" s="478">
        <v>0</v>
      </c>
      <c r="N28" s="480">
        <f>'Sch. M'!P662</f>
        <v>13.1</v>
      </c>
      <c r="O28" s="311" t="s">
        <v>102</v>
      </c>
      <c r="P28" s="68"/>
      <c r="Q28" s="66"/>
      <c r="R28" s="66"/>
      <c r="S28" s="66"/>
      <c r="T28" s="67"/>
    </row>
    <row r="29" spans="1:20" ht="12.75">
      <c r="A29" s="63">
        <v>384</v>
      </c>
      <c r="B29" s="843" t="s">
        <v>103</v>
      </c>
      <c r="C29" s="839">
        <f>'Sch. D'!C28</f>
        <v>1081399</v>
      </c>
      <c r="D29" s="681">
        <f>'Sch. D'!D28</f>
        <v>694010</v>
      </c>
      <c r="E29" s="65"/>
      <c r="F29" s="476">
        <v>36</v>
      </c>
      <c r="G29" s="478">
        <v>16.300000000000001</v>
      </c>
      <c r="H29" s="478">
        <v>0</v>
      </c>
      <c r="I29" s="478">
        <v>20.399999999999999</v>
      </c>
      <c r="J29" s="477" t="s">
        <v>85</v>
      </c>
      <c r="K29" s="478">
        <v>45</v>
      </c>
      <c r="L29" s="478">
        <v>23</v>
      </c>
      <c r="M29" s="478">
        <v>-20</v>
      </c>
      <c r="N29" s="480">
        <f>'Sch. M'!P723</f>
        <v>23</v>
      </c>
      <c r="O29" s="311" t="s">
        <v>85</v>
      </c>
      <c r="P29" s="68"/>
      <c r="Q29" s="66"/>
      <c r="R29" s="66"/>
      <c r="S29" s="66"/>
      <c r="T29" s="67"/>
    </row>
    <row r="30" spans="1:20" ht="12.75">
      <c r="A30" s="63">
        <v>385</v>
      </c>
      <c r="B30" s="843" t="s">
        <v>104</v>
      </c>
      <c r="C30" s="839">
        <f>'Sch. D'!C29</f>
        <v>1883028</v>
      </c>
      <c r="D30" s="681">
        <f>'Sch. D'!D29</f>
        <v>1227066</v>
      </c>
      <c r="E30" s="65"/>
      <c r="F30" s="476">
        <v>35</v>
      </c>
      <c r="G30" s="478">
        <v>17.699999999999999</v>
      </c>
      <c r="H30" s="478">
        <v>0</v>
      </c>
      <c r="I30" s="478">
        <v>18.899999999999999</v>
      </c>
      <c r="J30" s="477" t="s">
        <v>90</v>
      </c>
      <c r="K30" s="478">
        <v>38</v>
      </c>
      <c r="L30" s="478">
        <v>17.800000000000001</v>
      </c>
      <c r="M30" s="478">
        <v>0</v>
      </c>
      <c r="N30" s="480">
        <f>'Sch. M'!P762</f>
        <v>22.300000000000001</v>
      </c>
      <c r="O30" s="311" t="s">
        <v>90</v>
      </c>
      <c r="P30" s="68"/>
      <c r="Q30" s="66"/>
      <c r="R30" s="66"/>
      <c r="S30" s="66"/>
      <c r="T30" s="67"/>
    </row>
    <row r="31" spans="1:20" ht="12.75">
      <c r="A31" s="63">
        <v>387</v>
      </c>
      <c r="B31" s="843" t="s">
        <v>105</v>
      </c>
      <c r="C31" s="839">
        <f>'Sch. D'!C30</f>
        <v>3458702</v>
      </c>
      <c r="D31" s="681">
        <f>'Sch. D'!D30</f>
        <v>1496827</v>
      </c>
      <c r="E31" s="65"/>
      <c r="F31" s="476">
        <v>25</v>
      </c>
      <c r="G31" s="478">
        <v>15.699999999999999</v>
      </c>
      <c r="H31" s="478">
        <v>0</v>
      </c>
      <c r="I31" s="478">
        <v>9.3000000000000007</v>
      </c>
      <c r="J31" s="477" t="s">
        <v>85</v>
      </c>
      <c r="K31" s="478">
        <v>30</v>
      </c>
      <c r="L31" s="478">
        <v>19.199999999999999</v>
      </c>
      <c r="M31" s="478">
        <v>0</v>
      </c>
      <c r="N31" s="480">
        <f>'Sch. M'!P813</f>
        <v>10.9</v>
      </c>
      <c r="O31" s="311" t="s">
        <v>85</v>
      </c>
      <c r="P31" s="68"/>
      <c r="Q31" s="66"/>
      <c r="R31" s="66"/>
      <c r="S31" s="66"/>
      <c r="T31" s="67"/>
    </row>
    <row r="32" spans="1:20" s="58" customFormat="1" ht="13.5" thickBot="1">
      <c r="A32" s="52"/>
      <c r="B32" s="844"/>
      <c r="C32" s="840">
        <f>SUM(C14:C31)</f>
        <v>538699687</v>
      </c>
      <c r="D32" s="836">
        <f>SUM(D14:D31)</f>
        <v>129089437</v>
      </c>
      <c r="E32" s="831"/>
      <c r="F32" s="489"/>
      <c r="G32" s="489"/>
      <c r="H32" s="797"/>
      <c r="I32" s="490"/>
      <c r="J32" s="798" t="s">
        <v>106</v>
      </c>
      <c r="K32" s="490" t="s">
        <v>106</v>
      </c>
      <c r="L32" s="489" t="s">
        <v>106</v>
      </c>
      <c r="M32" s="489" t="s">
        <v>106</v>
      </c>
      <c r="N32" s="797" t="s">
        <v>106</v>
      </c>
      <c r="O32" s="312" t="s">
        <v>106</v>
      </c>
      <c r="P32" s="70"/>
      <c r="Q32" s="69"/>
      <c r="R32" s="69"/>
      <c r="S32" s="69"/>
      <c r="T32" s="71"/>
    </row>
    <row r="33" spans="1:20" s="58" customFormat="1" ht="13.5" thickTop="1">
      <c r="A33" s="59" t="s">
        <v>107</v>
      </c>
      <c r="B33" s="842"/>
      <c r="C33" s="782"/>
      <c r="D33" s="837"/>
      <c r="E33" s="832"/>
      <c r="F33" s="492"/>
      <c r="G33" s="492"/>
      <c r="H33" s="799"/>
      <c r="I33" s="478"/>
      <c r="J33" s="800" t="s">
        <v>106</v>
      </c>
      <c r="K33" s="478" t="s">
        <v>106</v>
      </c>
      <c r="L33" s="492" t="s">
        <v>106</v>
      </c>
      <c r="M33" s="492" t="s">
        <v>106</v>
      </c>
      <c r="N33" s="799" t="s">
        <v>106</v>
      </c>
      <c r="O33" s="313" t="s">
        <v>106</v>
      </c>
      <c r="P33" s="73"/>
      <c r="Q33" s="72"/>
      <c r="R33" s="72"/>
      <c r="S33" s="72"/>
      <c r="T33" s="74"/>
    </row>
    <row r="34" spans="1:20" ht="12.75">
      <c r="A34" s="63">
        <v>390</v>
      </c>
      <c r="B34" s="843" t="s">
        <v>108</v>
      </c>
      <c r="C34" s="839">
        <f>'Sch. D'!C33</f>
        <v>14092184</v>
      </c>
      <c r="D34" s="681">
        <f>'Sch. D'!D33</f>
        <v>1099982</v>
      </c>
      <c r="E34" s="65"/>
      <c r="F34" s="476">
        <v>40</v>
      </c>
      <c r="G34" s="476">
        <v>31</v>
      </c>
      <c r="H34" s="476">
        <v>10</v>
      </c>
      <c r="I34" s="476">
        <v>9.5999999999999996</v>
      </c>
      <c r="J34" s="477" t="s">
        <v>90</v>
      </c>
      <c r="K34" s="478">
        <v>40</v>
      </c>
      <c r="L34" s="476">
        <v>35</v>
      </c>
      <c r="M34" s="476">
        <v>10</v>
      </c>
      <c r="N34" s="479">
        <f>'Sch. M'!P839</f>
        <v>4.7999999999999998</v>
      </c>
      <c r="O34" s="314" t="s">
        <v>90</v>
      </c>
      <c r="P34" s="68"/>
      <c r="Q34" s="66"/>
      <c r="R34" s="66"/>
      <c r="S34" s="66"/>
      <c r="T34" s="67"/>
    </row>
    <row r="35" spans="1:20" ht="15" customHeight="1">
      <c r="A35" s="63">
        <v>3910</v>
      </c>
      <c r="B35" s="843" t="s">
        <v>109</v>
      </c>
      <c r="C35" s="839">
        <f>'Sch. D'!C34</f>
        <v>2294441</v>
      </c>
      <c r="D35" s="681">
        <f>'Sch. E'!E35</f>
        <v>458888</v>
      </c>
      <c r="E35" s="833" t="s">
        <v>677</v>
      </c>
      <c r="F35" s="857" t="s">
        <v>110</v>
      </c>
      <c r="G35" s="857"/>
      <c r="H35" s="857"/>
      <c r="I35" s="858"/>
      <c r="J35" s="477" t="s">
        <v>81</v>
      </c>
      <c r="K35" s="859" t="s">
        <v>110</v>
      </c>
      <c r="L35" s="857"/>
      <c r="M35" s="857"/>
      <c r="N35" s="858"/>
      <c r="O35" s="311" t="s">
        <v>81</v>
      </c>
      <c r="P35" s="68"/>
      <c r="Q35" s="66"/>
      <c r="R35" s="66"/>
      <c r="S35" s="66"/>
      <c r="T35" s="67"/>
    </row>
    <row r="36" spans="1:20" ht="15" customHeight="1">
      <c r="A36" s="63">
        <v>3912</v>
      </c>
      <c r="B36" s="843" t="s">
        <v>111</v>
      </c>
      <c r="C36" s="839">
        <f>'Sch. D'!C35</f>
        <v>374792</v>
      </c>
      <c r="D36" s="681">
        <f>'Sch. E'!E36</f>
        <v>247363</v>
      </c>
      <c r="E36" s="833" t="s">
        <v>677</v>
      </c>
      <c r="F36" s="857" t="s">
        <v>112</v>
      </c>
      <c r="G36" s="857"/>
      <c r="H36" s="857"/>
      <c r="I36" s="857"/>
      <c r="J36" s="477" t="s">
        <v>81</v>
      </c>
      <c r="K36" s="859" t="s">
        <v>112</v>
      </c>
      <c r="L36" s="857"/>
      <c r="M36" s="857"/>
      <c r="N36" s="858"/>
      <c r="O36" s="311" t="s">
        <v>81</v>
      </c>
      <c r="P36" s="68"/>
      <c r="Q36" s="66"/>
      <c r="R36" s="66"/>
      <c r="S36" s="66"/>
      <c r="T36" s="67"/>
    </row>
    <row r="37" spans="1:20" ht="15" customHeight="1">
      <c r="A37" s="75">
        <v>3913</v>
      </c>
      <c r="B37" s="843" t="s">
        <v>113</v>
      </c>
      <c r="C37" s="839">
        <f>'Sch. D'!C36</f>
        <v>758651</v>
      </c>
      <c r="D37" s="681">
        <f>'Sch. E'!E37</f>
        <v>189663</v>
      </c>
      <c r="E37" s="833" t="s">
        <v>677</v>
      </c>
      <c r="F37" s="857" t="s">
        <v>114</v>
      </c>
      <c r="G37" s="857"/>
      <c r="H37" s="857"/>
      <c r="I37" s="858"/>
      <c r="J37" s="477" t="s">
        <v>81</v>
      </c>
      <c r="K37" s="859" t="s">
        <v>114</v>
      </c>
      <c r="L37" s="857"/>
      <c r="M37" s="857"/>
      <c r="N37" s="858"/>
      <c r="O37" s="311" t="s">
        <v>81</v>
      </c>
      <c r="P37" s="68"/>
      <c r="Q37" s="66"/>
      <c r="R37" s="66"/>
      <c r="S37" s="66"/>
      <c r="T37" s="67"/>
    </row>
    <row r="38" spans="1:20" ht="15" customHeight="1">
      <c r="A38" s="75">
        <v>3914</v>
      </c>
      <c r="B38" s="843" t="s">
        <v>115</v>
      </c>
      <c r="C38" s="839">
        <f>'Sch. D'!C37</f>
        <v>7283950</v>
      </c>
      <c r="D38" s="681">
        <f>'Sch. E'!E38</f>
        <v>4588889</v>
      </c>
      <c r="E38" s="833" t="s">
        <v>677</v>
      </c>
      <c r="F38" s="857" t="s">
        <v>112</v>
      </c>
      <c r="G38" s="857"/>
      <c r="H38" s="857"/>
      <c r="I38" s="858"/>
      <c r="J38" s="477" t="s">
        <v>81</v>
      </c>
      <c r="K38" s="859" t="s">
        <v>112</v>
      </c>
      <c r="L38" s="857"/>
      <c r="M38" s="857"/>
      <c r="N38" s="858"/>
      <c r="O38" s="311" t="s">
        <v>81</v>
      </c>
      <c r="P38" s="68"/>
      <c r="Q38" s="66"/>
      <c r="R38" s="66"/>
      <c r="S38" s="66"/>
      <c r="T38" s="67"/>
    </row>
    <row r="39" spans="1:20" ht="12.75">
      <c r="A39" s="63">
        <v>3921</v>
      </c>
      <c r="B39" s="843" t="s">
        <v>116</v>
      </c>
      <c r="C39" s="839">
        <f>'Sch. D'!C38</f>
        <v>298594</v>
      </c>
      <c r="D39" s="681">
        <f>'Sch. D'!D38</f>
        <v>114990</v>
      </c>
      <c r="E39" s="65"/>
      <c r="F39" s="478">
        <v>10</v>
      </c>
      <c r="G39" s="478">
        <v>4.4000000000000004</v>
      </c>
      <c r="H39" s="478">
        <v>10</v>
      </c>
      <c r="I39" s="478">
        <v>5.2999999999999998</v>
      </c>
      <c r="J39" s="477" t="s">
        <v>94</v>
      </c>
      <c r="K39" s="478">
        <v>12</v>
      </c>
      <c r="L39" s="478">
        <v>9.0999999999999996</v>
      </c>
      <c r="M39" s="478">
        <v>10</v>
      </c>
      <c r="N39" s="480">
        <f>'Sch. L'!G25</f>
        <v>2.9311143988217294</v>
      </c>
      <c r="O39" s="311" t="s">
        <v>94</v>
      </c>
      <c r="P39" s="68"/>
      <c r="Q39" s="66"/>
      <c r="R39" s="66"/>
      <c r="S39" s="66"/>
      <c r="T39" s="67"/>
    </row>
    <row r="40" spans="1:20" ht="12.75">
      <c r="A40" s="63">
        <v>3922</v>
      </c>
      <c r="B40" s="843" t="s">
        <v>117</v>
      </c>
      <c r="C40" s="839">
        <f>'Sch. D'!C39</f>
        <v>6692224</v>
      </c>
      <c r="D40" s="681">
        <f>'Sch. D'!D39</f>
        <v>2969418</v>
      </c>
      <c r="E40" s="65"/>
      <c r="F40" s="478">
        <v>10</v>
      </c>
      <c r="G40" s="478">
        <v>5.0999999999999996</v>
      </c>
      <c r="H40" s="478">
        <v>20</v>
      </c>
      <c r="I40" s="478">
        <v>5.7999999999999998</v>
      </c>
      <c r="J40" s="477" t="s">
        <v>94</v>
      </c>
      <c r="K40" s="478">
        <v>12</v>
      </c>
      <c r="L40" s="478">
        <v>6.4000000000000004</v>
      </c>
      <c r="M40" s="478">
        <v>20</v>
      </c>
      <c r="N40" s="480">
        <f>'Sch. L'!G198</f>
        <v>6.0514815334207421</v>
      </c>
      <c r="O40" s="311" t="s">
        <v>94</v>
      </c>
      <c r="P40" s="68"/>
      <c r="Q40" s="66"/>
      <c r="R40" s="66"/>
      <c r="S40" s="66"/>
      <c r="T40" s="67"/>
    </row>
    <row r="41" spans="1:20" ht="12.75">
      <c r="A41" s="63">
        <v>3923</v>
      </c>
      <c r="B41" s="843" t="s">
        <v>118</v>
      </c>
      <c r="C41" s="839">
        <f>'Sch. D'!C40</f>
        <v>0</v>
      </c>
      <c r="D41" s="681">
        <f>'Sch. D'!D40</f>
        <v>0</v>
      </c>
      <c r="E41" s="65"/>
      <c r="F41" s="478">
        <v>11</v>
      </c>
      <c r="G41" s="478">
        <v>11</v>
      </c>
      <c r="H41" s="478">
        <v>10</v>
      </c>
      <c r="I41" s="478">
        <v>0</v>
      </c>
      <c r="J41" s="477" t="s">
        <v>106</v>
      </c>
      <c r="K41" s="478">
        <v>11</v>
      </c>
      <c r="L41" s="478">
        <v>11</v>
      </c>
      <c r="M41" s="478">
        <v>10</v>
      </c>
      <c r="N41" s="480">
        <f>'Sch. L'!G201</f>
        <v>0</v>
      </c>
      <c r="O41" s="311" t="s">
        <v>106</v>
      </c>
      <c r="P41" s="68"/>
      <c r="Q41" s="66"/>
      <c r="R41" s="66"/>
      <c r="S41" s="66"/>
      <c r="T41" s="67"/>
    </row>
    <row r="42" spans="1:20" ht="12.75">
      <c r="A42" s="63">
        <v>3924</v>
      </c>
      <c r="B42" s="843" t="s">
        <v>119</v>
      </c>
      <c r="C42" s="839">
        <f>'Sch. D'!C41</f>
        <v>63465</v>
      </c>
      <c r="D42" s="681">
        <f>'Sch. D'!D41</f>
        <v>49848</v>
      </c>
      <c r="E42" s="65"/>
      <c r="F42" s="478">
        <v>21</v>
      </c>
      <c r="G42" s="478">
        <v>9.8000000000000007</v>
      </c>
      <c r="H42" s="478">
        <v>0</v>
      </c>
      <c r="I42" s="478">
        <v>11.199999999999999</v>
      </c>
      <c r="J42" s="477" t="s">
        <v>83</v>
      </c>
      <c r="K42" s="478">
        <v>27</v>
      </c>
      <c r="L42" s="478">
        <v>11.6</v>
      </c>
      <c r="M42" s="478">
        <v>0</v>
      </c>
      <c r="N42" s="480">
        <f>'Sch. L'!G225</f>
        <v>15.536521524291173</v>
      </c>
      <c r="O42" s="311" t="s">
        <v>83</v>
      </c>
      <c r="P42" s="68"/>
      <c r="Q42" s="66"/>
      <c r="R42" s="66"/>
      <c r="S42" s="66"/>
      <c r="T42" s="67"/>
    </row>
    <row r="43" spans="1:20" ht="15" customHeight="1">
      <c r="A43" s="63">
        <v>393</v>
      </c>
      <c r="B43" s="843" t="s">
        <v>120</v>
      </c>
      <c r="C43" s="839">
        <f>'Sch. D'!C42</f>
        <v>29458</v>
      </c>
      <c r="D43" s="681">
        <f>'Sch. E'!E39</f>
        <v>9064</v>
      </c>
      <c r="E43" s="833" t="s">
        <v>677</v>
      </c>
      <c r="F43" s="857" t="s">
        <v>121</v>
      </c>
      <c r="G43" s="857"/>
      <c r="H43" s="857"/>
      <c r="I43" s="858"/>
      <c r="J43" s="477" t="s">
        <v>81</v>
      </c>
      <c r="K43" s="859" t="s">
        <v>121</v>
      </c>
      <c r="L43" s="857"/>
      <c r="M43" s="857"/>
      <c r="N43" s="858"/>
      <c r="O43" s="311" t="s">
        <v>81</v>
      </c>
      <c r="P43" s="68"/>
      <c r="Q43" s="66"/>
      <c r="R43" s="66"/>
      <c r="S43" s="66"/>
      <c r="T43" s="67"/>
    </row>
    <row r="44" spans="1:20" ht="15" customHeight="1">
      <c r="A44" s="63">
        <v>394</v>
      </c>
      <c r="B44" s="843" t="s">
        <v>122</v>
      </c>
      <c r="C44" s="839">
        <f>'Sch. D'!C43</f>
        <v>1366809</v>
      </c>
      <c r="D44" s="681">
        <f>'Sch. E'!E40</f>
        <v>464715</v>
      </c>
      <c r="E44" s="833" t="s">
        <v>677</v>
      </c>
      <c r="F44" s="857" t="s">
        <v>123</v>
      </c>
      <c r="G44" s="857"/>
      <c r="H44" s="857"/>
      <c r="I44" s="858"/>
      <c r="J44" s="477" t="s">
        <v>81</v>
      </c>
      <c r="K44" s="859" t="s">
        <v>123</v>
      </c>
      <c r="L44" s="857"/>
      <c r="M44" s="857"/>
      <c r="N44" s="858"/>
      <c r="O44" s="311" t="s">
        <v>81</v>
      </c>
      <c r="P44" s="68"/>
      <c r="Q44" s="66"/>
      <c r="R44" s="66"/>
      <c r="S44" s="66"/>
      <c r="T44" s="67"/>
    </row>
    <row r="45" spans="1:20" ht="15" customHeight="1">
      <c r="A45" s="63">
        <v>395</v>
      </c>
      <c r="B45" s="843" t="s">
        <v>124</v>
      </c>
      <c r="C45" s="839">
        <f>'Sch. D'!C44</f>
        <v>0</v>
      </c>
      <c r="D45" s="681">
        <f>'Sch. E'!E41</f>
        <v>0</v>
      </c>
      <c r="E45" s="833" t="s">
        <v>677</v>
      </c>
      <c r="F45" s="857" t="s">
        <v>114</v>
      </c>
      <c r="G45" s="857"/>
      <c r="H45" s="857"/>
      <c r="I45" s="857"/>
      <c r="J45" s="477" t="s">
        <v>81</v>
      </c>
      <c r="K45" s="859" t="s">
        <v>114</v>
      </c>
      <c r="L45" s="857"/>
      <c r="M45" s="857"/>
      <c r="N45" s="858"/>
      <c r="O45" s="311" t="s">
        <v>81</v>
      </c>
      <c r="P45" s="68"/>
      <c r="Q45" s="66"/>
      <c r="R45" s="66"/>
      <c r="S45" s="66"/>
      <c r="T45" s="67"/>
    </row>
    <row r="46" spans="1:20" ht="12.75">
      <c r="A46" s="63">
        <v>396</v>
      </c>
      <c r="B46" s="843" t="s">
        <v>125</v>
      </c>
      <c r="C46" s="839">
        <f>'Sch. D'!C45</f>
        <v>1789042</v>
      </c>
      <c r="D46" s="681">
        <f>'Sch. D'!D45</f>
        <v>1057166</v>
      </c>
      <c r="E46" s="65"/>
      <c r="F46" s="478">
        <v>16</v>
      </c>
      <c r="G46" s="478">
        <v>5.7000000000000002</v>
      </c>
      <c r="H46" s="478">
        <v>10</v>
      </c>
      <c r="I46" s="478">
        <v>11.800000000000001</v>
      </c>
      <c r="J46" s="477" t="s">
        <v>94</v>
      </c>
      <c r="K46" s="478">
        <v>20</v>
      </c>
      <c r="L46" s="478">
        <v>9</v>
      </c>
      <c r="M46" s="478">
        <v>5</v>
      </c>
      <c r="N46" s="480">
        <f>'Sch. M'!P971</f>
        <v>12.4</v>
      </c>
      <c r="O46" s="311" t="s">
        <v>94</v>
      </c>
      <c r="P46" s="68"/>
      <c r="Q46" s="66"/>
      <c r="R46" s="66"/>
      <c r="S46" s="66"/>
      <c r="T46" s="67"/>
    </row>
    <row r="47" spans="1:20" ht="15" customHeight="1">
      <c r="A47" s="63">
        <v>397</v>
      </c>
      <c r="B47" s="843" t="s">
        <v>126</v>
      </c>
      <c r="C47" s="839">
        <f>'Sch. D'!C46</f>
        <v>2351047</v>
      </c>
      <c r="D47" s="681">
        <f>'Sch. E'!E42</f>
        <v>1030934</v>
      </c>
      <c r="E47" s="833" t="s">
        <v>677</v>
      </c>
      <c r="F47" s="857" t="s">
        <v>127</v>
      </c>
      <c r="G47" s="857"/>
      <c r="H47" s="857"/>
      <c r="I47" s="858"/>
      <c r="J47" s="477" t="s">
        <v>81</v>
      </c>
      <c r="K47" s="859" t="s">
        <v>127</v>
      </c>
      <c r="L47" s="857"/>
      <c r="M47" s="857"/>
      <c r="N47" s="858"/>
      <c r="O47" s="311" t="s">
        <v>81</v>
      </c>
      <c r="P47" s="68"/>
      <c r="Q47" s="66"/>
      <c r="R47" s="66"/>
      <c r="S47" s="66"/>
      <c r="T47" s="67"/>
    </row>
    <row r="48" spans="1:20" ht="15" customHeight="1">
      <c r="A48" s="63">
        <v>398</v>
      </c>
      <c r="B48" s="843" t="s">
        <v>128</v>
      </c>
      <c r="C48" s="839">
        <f>'Sch. D'!C47</f>
        <v>368904</v>
      </c>
      <c r="D48" s="681">
        <f>'Sch. E'!E43</f>
        <v>247387</v>
      </c>
      <c r="E48" s="833" t="s">
        <v>677</v>
      </c>
      <c r="F48" s="857" t="s">
        <v>129</v>
      </c>
      <c r="G48" s="857"/>
      <c r="H48" s="857"/>
      <c r="I48" s="858"/>
      <c r="J48" s="477" t="s">
        <v>81</v>
      </c>
      <c r="K48" s="859" t="s">
        <v>129</v>
      </c>
      <c r="L48" s="857"/>
      <c r="M48" s="857"/>
      <c r="N48" s="858"/>
      <c r="O48" s="311" t="s">
        <v>81</v>
      </c>
      <c r="P48" s="68"/>
      <c r="Q48" s="66"/>
      <c r="R48" s="66"/>
      <c r="S48" s="66"/>
      <c r="T48" s="67"/>
    </row>
    <row r="49" spans="1:20" ht="15" customHeight="1" thickBot="1">
      <c r="A49" s="63">
        <v>399</v>
      </c>
      <c r="B49" s="843" t="s">
        <v>130</v>
      </c>
      <c r="C49" s="839">
        <f>'Sch. D'!C48</f>
        <v>0</v>
      </c>
      <c r="D49" s="838">
        <f>'Sch. D'!D48</f>
        <v>0</v>
      </c>
      <c r="E49" s="834"/>
      <c r="F49" s="867" t="s">
        <v>131</v>
      </c>
      <c r="G49" s="867"/>
      <c r="H49" s="867"/>
      <c r="I49" s="868"/>
      <c r="J49" s="830"/>
      <c r="K49" s="872" t="s">
        <v>132</v>
      </c>
      <c r="L49" s="867"/>
      <c r="M49" s="867"/>
      <c r="N49" s="868"/>
      <c r="O49" s="829"/>
      <c r="P49" s="76"/>
      <c r="Q49" s="76"/>
      <c r="R49" s="76"/>
      <c r="S49" s="76"/>
      <c r="T49" s="77"/>
    </row>
    <row r="50" spans="1:20" ht="12.75" thickTop="1" thickBot="1">
      <c r="A50" s="52"/>
      <c r="B50" s="845" t="s">
        <v>133</v>
      </c>
      <c r="C50" s="849">
        <f>SUM(C34:C49)</f>
        <v>37763561</v>
      </c>
      <c r="D50" s="848">
        <f>SUM(D34:D49)</f>
        <v>12528307</v>
      </c>
      <c r="E50" s="684"/>
      <c r="F50" s="757"/>
      <c r="G50" s="757"/>
      <c r="H50" s="757"/>
      <c r="I50" s="757"/>
      <c r="J50" s="758"/>
      <c r="K50" s="757"/>
      <c r="L50" s="757"/>
      <c r="M50" s="757"/>
      <c r="N50" s="801"/>
      <c r="O50" s="79"/>
      <c r="P50" s="40"/>
      <c r="Q50" s="40"/>
      <c r="R50" s="40"/>
      <c r="S50" s="40"/>
      <c r="T50" s="80"/>
    </row>
    <row r="51" spans="1:20" ht="12.75" thickTop="1" thickBot="1">
      <c r="A51" s="52"/>
      <c r="B51" s="846"/>
      <c r="C51" s="851"/>
      <c r="D51" s="802"/>
      <c r="E51" s="684"/>
      <c r="F51" s="757"/>
      <c r="G51" s="757"/>
      <c r="H51" s="757"/>
      <c r="I51" s="757"/>
      <c r="J51" s="758"/>
      <c r="K51" s="757"/>
      <c r="L51" s="757"/>
      <c r="M51" s="757"/>
      <c r="N51" s="801"/>
      <c r="O51" s="79"/>
      <c r="P51" s="40"/>
      <c r="Q51" s="40"/>
      <c r="R51" s="40"/>
      <c r="S51" s="40"/>
      <c r="T51" s="80"/>
    </row>
    <row r="52" spans="1:20" ht="12.75" thickTop="1" thickBot="1">
      <c r="A52" s="52"/>
      <c r="B52" s="847" t="s">
        <v>134</v>
      </c>
      <c r="C52" s="850">
        <f>SUM(C32+C51+C50)</f>
        <v>576463248</v>
      </c>
      <c r="D52" s="513">
        <f>SUM(D32+D50+D51)</f>
        <v>141617744</v>
      </c>
      <c r="E52" s="684"/>
      <c r="F52" s="757"/>
      <c r="G52" s="757"/>
      <c r="H52" s="757"/>
      <c r="I52" s="757"/>
      <c r="J52" s="758"/>
      <c r="K52" s="757"/>
      <c r="L52" s="757"/>
      <c r="M52" s="757"/>
      <c r="N52" s="801"/>
      <c r="O52" s="37"/>
      <c r="P52" s="40"/>
      <c r="Q52" s="40"/>
      <c r="R52" s="40"/>
      <c r="S52" s="40"/>
      <c r="T52" s="82"/>
    </row>
    <row r="53" spans="1:20" ht="12" thickTop="1">
      <c r="A53" s="52"/>
      <c r="B53" s="682"/>
      <c r="C53" s="682"/>
      <c r="D53" s="682"/>
      <c r="E53" s="684"/>
      <c r="F53" s="40"/>
      <c r="G53" s="40"/>
      <c r="H53" s="40"/>
      <c r="I53" s="40"/>
      <c r="J53" s="78"/>
      <c r="K53" s="40"/>
      <c r="L53" s="40"/>
      <c r="M53" s="40"/>
      <c r="N53" s="321"/>
      <c r="O53" s="37"/>
      <c r="P53" s="40"/>
      <c r="Q53" s="40"/>
      <c r="R53" s="40"/>
      <c r="S53" s="40"/>
      <c r="T53" s="82"/>
    </row>
    <row r="54" spans="1:20" ht="17.1" customHeight="1">
      <c r="A54" s="791" t="s">
        <v>677</v>
      </c>
      <c r="B54" s="792" t="s">
        <v>690</v>
      </c>
      <c r="C54" s="757"/>
      <c r="D54" s="757"/>
      <c r="E54" s="757"/>
      <c r="F54" s="757"/>
      <c r="G54" s="40"/>
      <c r="H54" s="40"/>
      <c r="I54" s="40"/>
      <c r="J54" s="78"/>
      <c r="K54" s="40"/>
      <c r="L54" s="40"/>
      <c r="M54" s="40"/>
      <c r="N54" s="321"/>
      <c r="O54" s="79"/>
      <c r="P54" s="40"/>
      <c r="Q54" s="40"/>
      <c r="R54" s="40"/>
      <c r="S54" s="40"/>
      <c r="T54" s="80"/>
    </row>
    <row r="55" spans="1:20" ht="9" customHeight="1" thickBot="1">
      <c r="A55" s="83"/>
      <c r="B55" s="84"/>
      <c r="C55" s="84"/>
      <c r="D55" s="84"/>
      <c r="E55" s="685"/>
      <c r="F55" s="663"/>
      <c r="G55" s="663"/>
      <c r="H55" s="663"/>
      <c r="I55" s="663"/>
      <c r="J55" s="86"/>
      <c r="K55" s="663"/>
      <c r="L55" s="663"/>
      <c r="M55" s="663"/>
      <c r="N55" s="324"/>
      <c r="O55" s="84"/>
      <c r="P55" s="663"/>
      <c r="Q55" s="663"/>
      <c r="R55" s="663"/>
      <c r="S55" s="663"/>
      <c r="T55" s="87"/>
    </row>
    <row r="56" ht="18.75" thickTop="1"/>
    <row r="58" spans="3:3" ht="18">
      <c r="C58" s="91"/>
    </row>
  </sheetData>
  <mergeCells count="29">
    <mergeCell ref="F49:I49"/>
    <mergeCell ref="F7:J7"/>
    <mergeCell ref="K7:O7"/>
    <mergeCell ref="P7:T7"/>
    <mergeCell ref="K49:N49"/>
    <mergeCell ref="K37:N37"/>
    <mergeCell ref="K35:N35"/>
    <mergeCell ref="K36:N36"/>
    <mergeCell ref="F37:I37"/>
    <mergeCell ref="F35:I35"/>
    <mergeCell ref="F36:I36"/>
    <mergeCell ref="K38:N38"/>
    <mergeCell ref="K43:N43"/>
    <mergeCell ref="K44:N44"/>
    <mergeCell ref="F38:I38"/>
    <mergeCell ref="F43:I43"/>
    <mergeCell ref="C8:E8"/>
    <mergeCell ref="A5:T5"/>
    <mergeCell ref="A1:T1"/>
    <mergeCell ref="A2:T2"/>
    <mergeCell ref="A3:T3"/>
    <mergeCell ref="A4:T4"/>
    <mergeCell ref="F44:I44"/>
    <mergeCell ref="K45:N45"/>
    <mergeCell ref="K47:N47"/>
    <mergeCell ref="K48:N48"/>
    <mergeCell ref="F45:I45"/>
    <mergeCell ref="F47:I47"/>
    <mergeCell ref="F48:I48"/>
  </mergeCells>
  <printOptions horizontalCentered="1"/>
  <pageMargins left="0.5" right="0.5" top="1.01" bottom="0.5" header="0.5" footer="0.2"/>
  <pageSetup fitToWidth="0" orientation="landscape" scale="71" r:id="rId1"/>
  <headerFooter>
    <oddHeader>&amp;L&amp;"Arial,Bold"&amp;12Florida Public Utilities Natural Gas Division
2023 Consolidated Depreciation Study Workbook
Docket No. 20220067&amp;R&amp;"Arial,Bold"&amp;12Revised Exhibit PSL-2
Page &amp;P of 93
Schedule A</oddHeader>
    <oddFooter>&amp;C&amp;A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0"/>
  <sheetViews>
    <sheetView workbookViewId="0" topLeftCell="A30">
      <selection pane="topLeft" activeCell="Q20" sqref="Q20"/>
    </sheetView>
  </sheetViews>
  <sheetFormatPr defaultColWidth="11.8542857142857" defaultRowHeight="18"/>
  <cols>
    <col min="1" max="1" width="7.14285714285714" style="88" customWidth="1"/>
    <col min="2" max="2" width="37.8571428571429" style="120" customWidth="1"/>
    <col min="3" max="3" width="12.5714285714286" style="173" bestFit="1" customWidth="1"/>
    <col min="4" max="4" width="9.14285714285714" style="89" bestFit="1" customWidth="1"/>
    <col min="5" max="5" width="6.57142857142857" style="89" bestFit="1" customWidth="1"/>
    <col min="6" max="6" width="9.85714285714286" style="89" bestFit="1" customWidth="1"/>
    <col min="7" max="7" width="3.42857142857143" style="88" bestFit="1" customWidth="1"/>
    <col min="8" max="8" width="1.42857142857143" style="89" bestFit="1" customWidth="1"/>
    <col min="9" max="9" width="9.14285714285714" style="89" bestFit="1" customWidth="1"/>
    <col min="10" max="10" width="3.85714285714286" style="89" bestFit="1" customWidth="1"/>
    <col min="11" max="11" width="9.85714285714286" style="89" bestFit="1" customWidth="1"/>
    <col min="12" max="12" width="9.14285714285714" style="88" bestFit="1" customWidth="1"/>
    <col min="13" max="256" width="11.8571428571429" style="26"/>
    <col min="257" max="257" width="7.14285714285714" style="26" customWidth="1"/>
    <col min="258" max="258" width="39.1428571428571" style="26" customWidth="1"/>
    <col min="259" max="259" width="13.5714285714286" style="26" customWidth="1"/>
    <col min="260" max="260" width="9" style="26" bestFit="1" customWidth="1"/>
    <col min="261" max="261" width="7.85714285714286" style="26" bestFit="1" customWidth="1"/>
    <col min="262" max="262" width="8.57142857142857" style="26" customWidth="1"/>
    <col min="263" max="263" width="8.14285714285714" style="26" customWidth="1"/>
    <col min="264" max="264" width="1.85714285714286" style="26" customWidth="1"/>
    <col min="265" max="268" width="9.42857142857143" style="26" customWidth="1"/>
    <col min="269" max="512" width="11.8571428571429" style="26"/>
    <col min="513" max="513" width="7.14285714285714" style="26" customWidth="1"/>
    <col min="514" max="514" width="39.1428571428571" style="26" customWidth="1"/>
    <col min="515" max="515" width="13.5714285714286" style="26" customWidth="1"/>
    <col min="516" max="516" width="9" style="26" bestFit="1" customWidth="1"/>
    <col min="517" max="517" width="7.85714285714286" style="26" bestFit="1" customWidth="1"/>
    <col min="518" max="518" width="8.57142857142857" style="26" customWidth="1"/>
    <col min="519" max="519" width="8.14285714285714" style="26" customWidth="1"/>
    <col min="520" max="520" width="1.85714285714286" style="26" customWidth="1"/>
    <col min="521" max="524" width="9.42857142857143" style="26" customWidth="1"/>
    <col min="525" max="768" width="11.8571428571429" style="26"/>
    <col min="769" max="769" width="7.14285714285714" style="26" customWidth="1"/>
    <col min="770" max="770" width="39.1428571428571" style="26" customWidth="1"/>
    <col min="771" max="771" width="13.5714285714286" style="26" customWidth="1"/>
    <col min="772" max="772" width="9" style="26" bestFit="1" customWidth="1"/>
    <col min="773" max="773" width="7.85714285714286" style="26" bestFit="1" customWidth="1"/>
    <col min="774" max="774" width="8.57142857142857" style="26" customWidth="1"/>
    <col min="775" max="775" width="8.14285714285714" style="26" customWidth="1"/>
    <col min="776" max="776" width="1.85714285714286" style="26" customWidth="1"/>
    <col min="777" max="780" width="9.42857142857143" style="26" customWidth="1"/>
    <col min="781" max="1024" width="11.8571428571429" style="26"/>
    <col min="1025" max="1025" width="7.14285714285714" style="26" customWidth="1"/>
    <col min="1026" max="1026" width="39.1428571428571" style="26" customWidth="1"/>
    <col min="1027" max="1027" width="13.5714285714286" style="26" customWidth="1"/>
    <col min="1028" max="1028" width="9" style="26" bestFit="1" customWidth="1"/>
    <col min="1029" max="1029" width="7.85714285714286" style="26" bestFit="1" customWidth="1"/>
    <col min="1030" max="1030" width="8.57142857142857" style="26" customWidth="1"/>
    <col min="1031" max="1031" width="8.14285714285714" style="26" customWidth="1"/>
    <col min="1032" max="1032" width="1.85714285714286" style="26" customWidth="1"/>
    <col min="1033" max="1036" width="9.42857142857143" style="26" customWidth="1"/>
    <col min="1037" max="1280" width="11.8571428571429" style="26"/>
    <col min="1281" max="1281" width="7.14285714285714" style="26" customWidth="1"/>
    <col min="1282" max="1282" width="39.1428571428571" style="26" customWidth="1"/>
    <col min="1283" max="1283" width="13.5714285714286" style="26" customWidth="1"/>
    <col min="1284" max="1284" width="9" style="26" bestFit="1" customWidth="1"/>
    <col min="1285" max="1285" width="7.85714285714286" style="26" bestFit="1" customWidth="1"/>
    <col min="1286" max="1286" width="8.57142857142857" style="26" customWidth="1"/>
    <col min="1287" max="1287" width="8.14285714285714" style="26" customWidth="1"/>
    <col min="1288" max="1288" width="1.85714285714286" style="26" customWidth="1"/>
    <col min="1289" max="1292" width="9.42857142857143" style="26" customWidth="1"/>
    <col min="1293" max="1536" width="11.8571428571429" style="26"/>
    <col min="1537" max="1537" width="7.14285714285714" style="26" customWidth="1"/>
    <col min="1538" max="1538" width="39.1428571428571" style="26" customWidth="1"/>
    <col min="1539" max="1539" width="13.5714285714286" style="26" customWidth="1"/>
    <col min="1540" max="1540" width="9" style="26" bestFit="1" customWidth="1"/>
    <col min="1541" max="1541" width="7.85714285714286" style="26" bestFit="1" customWidth="1"/>
    <col min="1542" max="1542" width="8.57142857142857" style="26" customWidth="1"/>
    <col min="1543" max="1543" width="8.14285714285714" style="26" customWidth="1"/>
    <col min="1544" max="1544" width="1.85714285714286" style="26" customWidth="1"/>
    <col min="1545" max="1548" width="9.42857142857143" style="26" customWidth="1"/>
    <col min="1549" max="1792" width="11.8571428571429" style="26"/>
    <col min="1793" max="1793" width="7.14285714285714" style="26" customWidth="1"/>
    <col min="1794" max="1794" width="39.1428571428571" style="26" customWidth="1"/>
    <col min="1795" max="1795" width="13.5714285714286" style="26" customWidth="1"/>
    <col min="1796" max="1796" width="9" style="26" bestFit="1" customWidth="1"/>
    <col min="1797" max="1797" width="7.85714285714286" style="26" bestFit="1" customWidth="1"/>
    <col min="1798" max="1798" width="8.57142857142857" style="26" customWidth="1"/>
    <col min="1799" max="1799" width="8.14285714285714" style="26" customWidth="1"/>
    <col min="1800" max="1800" width="1.85714285714286" style="26" customWidth="1"/>
    <col min="1801" max="1804" width="9.42857142857143" style="26" customWidth="1"/>
    <col min="1805" max="2048" width="11.8571428571429" style="26"/>
    <col min="2049" max="2049" width="7.14285714285714" style="26" customWidth="1"/>
    <col min="2050" max="2050" width="39.1428571428571" style="26" customWidth="1"/>
    <col min="2051" max="2051" width="13.5714285714286" style="26" customWidth="1"/>
    <col min="2052" max="2052" width="9" style="26" bestFit="1" customWidth="1"/>
    <col min="2053" max="2053" width="7.85714285714286" style="26" bestFit="1" customWidth="1"/>
    <col min="2054" max="2054" width="8.57142857142857" style="26" customWidth="1"/>
    <col min="2055" max="2055" width="8.14285714285714" style="26" customWidth="1"/>
    <col min="2056" max="2056" width="1.85714285714286" style="26" customWidth="1"/>
    <col min="2057" max="2060" width="9.42857142857143" style="26" customWidth="1"/>
    <col min="2061" max="2304" width="11.8571428571429" style="26"/>
    <col min="2305" max="2305" width="7.14285714285714" style="26" customWidth="1"/>
    <col min="2306" max="2306" width="39.1428571428571" style="26" customWidth="1"/>
    <col min="2307" max="2307" width="13.5714285714286" style="26" customWidth="1"/>
    <col min="2308" max="2308" width="9" style="26" bestFit="1" customWidth="1"/>
    <col min="2309" max="2309" width="7.85714285714286" style="26" bestFit="1" customWidth="1"/>
    <col min="2310" max="2310" width="8.57142857142857" style="26" customWidth="1"/>
    <col min="2311" max="2311" width="8.14285714285714" style="26" customWidth="1"/>
    <col min="2312" max="2312" width="1.85714285714286" style="26" customWidth="1"/>
    <col min="2313" max="2316" width="9.42857142857143" style="26" customWidth="1"/>
    <col min="2317" max="2560" width="11.8571428571429" style="26"/>
    <col min="2561" max="2561" width="7.14285714285714" style="26" customWidth="1"/>
    <col min="2562" max="2562" width="39.1428571428571" style="26" customWidth="1"/>
    <col min="2563" max="2563" width="13.5714285714286" style="26" customWidth="1"/>
    <col min="2564" max="2564" width="9" style="26" bestFit="1" customWidth="1"/>
    <col min="2565" max="2565" width="7.85714285714286" style="26" bestFit="1" customWidth="1"/>
    <col min="2566" max="2566" width="8.57142857142857" style="26" customWidth="1"/>
    <col min="2567" max="2567" width="8.14285714285714" style="26" customWidth="1"/>
    <col min="2568" max="2568" width="1.85714285714286" style="26" customWidth="1"/>
    <col min="2569" max="2572" width="9.42857142857143" style="26" customWidth="1"/>
    <col min="2573" max="2816" width="11.8571428571429" style="26"/>
    <col min="2817" max="2817" width="7.14285714285714" style="26" customWidth="1"/>
    <col min="2818" max="2818" width="39.1428571428571" style="26" customWidth="1"/>
    <col min="2819" max="2819" width="13.5714285714286" style="26" customWidth="1"/>
    <col min="2820" max="2820" width="9" style="26" bestFit="1" customWidth="1"/>
    <col min="2821" max="2821" width="7.85714285714286" style="26" bestFit="1" customWidth="1"/>
    <col min="2822" max="2822" width="8.57142857142857" style="26" customWidth="1"/>
    <col min="2823" max="2823" width="8.14285714285714" style="26" customWidth="1"/>
    <col min="2824" max="2824" width="1.85714285714286" style="26" customWidth="1"/>
    <col min="2825" max="2828" width="9.42857142857143" style="26" customWidth="1"/>
    <col min="2829" max="3072" width="11.8571428571429" style="26"/>
    <col min="3073" max="3073" width="7.14285714285714" style="26" customWidth="1"/>
    <col min="3074" max="3074" width="39.1428571428571" style="26" customWidth="1"/>
    <col min="3075" max="3075" width="13.5714285714286" style="26" customWidth="1"/>
    <col min="3076" max="3076" width="9" style="26" bestFit="1" customWidth="1"/>
    <col min="3077" max="3077" width="7.85714285714286" style="26" bestFit="1" customWidth="1"/>
    <col min="3078" max="3078" width="8.57142857142857" style="26" customWidth="1"/>
    <col min="3079" max="3079" width="8.14285714285714" style="26" customWidth="1"/>
    <col min="3080" max="3080" width="1.85714285714286" style="26" customWidth="1"/>
    <col min="3081" max="3084" width="9.42857142857143" style="26" customWidth="1"/>
    <col min="3085" max="3328" width="11.8571428571429" style="26"/>
    <col min="3329" max="3329" width="7.14285714285714" style="26" customWidth="1"/>
    <col min="3330" max="3330" width="39.1428571428571" style="26" customWidth="1"/>
    <col min="3331" max="3331" width="13.5714285714286" style="26" customWidth="1"/>
    <col min="3332" max="3332" width="9" style="26" bestFit="1" customWidth="1"/>
    <col min="3333" max="3333" width="7.85714285714286" style="26" bestFit="1" customWidth="1"/>
    <col min="3334" max="3334" width="8.57142857142857" style="26" customWidth="1"/>
    <col min="3335" max="3335" width="8.14285714285714" style="26" customWidth="1"/>
    <col min="3336" max="3336" width="1.85714285714286" style="26" customWidth="1"/>
    <col min="3337" max="3340" width="9.42857142857143" style="26" customWidth="1"/>
    <col min="3341" max="3584" width="11.8571428571429" style="26"/>
    <col min="3585" max="3585" width="7.14285714285714" style="26" customWidth="1"/>
    <col min="3586" max="3586" width="39.1428571428571" style="26" customWidth="1"/>
    <col min="3587" max="3587" width="13.5714285714286" style="26" customWidth="1"/>
    <col min="3588" max="3588" width="9" style="26" bestFit="1" customWidth="1"/>
    <col min="3589" max="3589" width="7.85714285714286" style="26" bestFit="1" customWidth="1"/>
    <col min="3590" max="3590" width="8.57142857142857" style="26" customWidth="1"/>
    <col min="3591" max="3591" width="8.14285714285714" style="26" customWidth="1"/>
    <col min="3592" max="3592" width="1.85714285714286" style="26" customWidth="1"/>
    <col min="3593" max="3596" width="9.42857142857143" style="26" customWidth="1"/>
    <col min="3597" max="3840" width="11.8571428571429" style="26"/>
    <col min="3841" max="3841" width="7.14285714285714" style="26" customWidth="1"/>
    <col min="3842" max="3842" width="39.1428571428571" style="26" customWidth="1"/>
    <col min="3843" max="3843" width="13.5714285714286" style="26" customWidth="1"/>
    <col min="3844" max="3844" width="9" style="26" bestFit="1" customWidth="1"/>
    <col min="3845" max="3845" width="7.85714285714286" style="26" bestFit="1" customWidth="1"/>
    <col min="3846" max="3846" width="8.57142857142857" style="26" customWidth="1"/>
    <col min="3847" max="3847" width="8.14285714285714" style="26" customWidth="1"/>
    <col min="3848" max="3848" width="1.85714285714286" style="26" customWidth="1"/>
    <col min="3849" max="3852" width="9.42857142857143" style="26" customWidth="1"/>
    <col min="3853" max="4096" width="11.8571428571429" style="26"/>
    <col min="4097" max="4097" width="7.14285714285714" style="26" customWidth="1"/>
    <col min="4098" max="4098" width="39.1428571428571" style="26" customWidth="1"/>
    <col min="4099" max="4099" width="13.5714285714286" style="26" customWidth="1"/>
    <col min="4100" max="4100" width="9" style="26" bestFit="1" customWidth="1"/>
    <col min="4101" max="4101" width="7.85714285714286" style="26" bestFit="1" customWidth="1"/>
    <col min="4102" max="4102" width="8.57142857142857" style="26" customWidth="1"/>
    <col min="4103" max="4103" width="8.14285714285714" style="26" customWidth="1"/>
    <col min="4104" max="4104" width="1.85714285714286" style="26" customWidth="1"/>
    <col min="4105" max="4108" width="9.42857142857143" style="26" customWidth="1"/>
    <col min="4109" max="4352" width="11.8571428571429" style="26"/>
    <col min="4353" max="4353" width="7.14285714285714" style="26" customWidth="1"/>
    <col min="4354" max="4354" width="39.1428571428571" style="26" customWidth="1"/>
    <col min="4355" max="4355" width="13.5714285714286" style="26" customWidth="1"/>
    <col min="4356" max="4356" width="9" style="26" bestFit="1" customWidth="1"/>
    <col min="4357" max="4357" width="7.85714285714286" style="26" bestFit="1" customWidth="1"/>
    <col min="4358" max="4358" width="8.57142857142857" style="26" customWidth="1"/>
    <col min="4359" max="4359" width="8.14285714285714" style="26" customWidth="1"/>
    <col min="4360" max="4360" width="1.85714285714286" style="26" customWidth="1"/>
    <col min="4361" max="4364" width="9.42857142857143" style="26" customWidth="1"/>
    <col min="4365" max="4608" width="11.8571428571429" style="26"/>
    <col min="4609" max="4609" width="7.14285714285714" style="26" customWidth="1"/>
    <col min="4610" max="4610" width="39.1428571428571" style="26" customWidth="1"/>
    <col min="4611" max="4611" width="13.5714285714286" style="26" customWidth="1"/>
    <col min="4612" max="4612" width="9" style="26" bestFit="1" customWidth="1"/>
    <col min="4613" max="4613" width="7.85714285714286" style="26" bestFit="1" customWidth="1"/>
    <col min="4614" max="4614" width="8.57142857142857" style="26" customWidth="1"/>
    <col min="4615" max="4615" width="8.14285714285714" style="26" customWidth="1"/>
    <col min="4616" max="4616" width="1.85714285714286" style="26" customWidth="1"/>
    <col min="4617" max="4620" width="9.42857142857143" style="26" customWidth="1"/>
    <col min="4621" max="4864" width="11.8571428571429" style="26"/>
    <col min="4865" max="4865" width="7.14285714285714" style="26" customWidth="1"/>
    <col min="4866" max="4866" width="39.1428571428571" style="26" customWidth="1"/>
    <col min="4867" max="4867" width="13.5714285714286" style="26" customWidth="1"/>
    <col min="4868" max="4868" width="9" style="26" bestFit="1" customWidth="1"/>
    <col min="4869" max="4869" width="7.85714285714286" style="26" bestFit="1" customWidth="1"/>
    <col min="4870" max="4870" width="8.57142857142857" style="26" customWidth="1"/>
    <col min="4871" max="4871" width="8.14285714285714" style="26" customWidth="1"/>
    <col min="4872" max="4872" width="1.85714285714286" style="26" customWidth="1"/>
    <col min="4873" max="4876" width="9.42857142857143" style="26" customWidth="1"/>
    <col min="4877" max="5120" width="11.8571428571429" style="26"/>
    <col min="5121" max="5121" width="7.14285714285714" style="26" customWidth="1"/>
    <col min="5122" max="5122" width="39.1428571428571" style="26" customWidth="1"/>
    <col min="5123" max="5123" width="13.5714285714286" style="26" customWidth="1"/>
    <col min="5124" max="5124" width="9" style="26" bestFit="1" customWidth="1"/>
    <col min="5125" max="5125" width="7.85714285714286" style="26" bestFit="1" customWidth="1"/>
    <col min="5126" max="5126" width="8.57142857142857" style="26" customWidth="1"/>
    <col min="5127" max="5127" width="8.14285714285714" style="26" customWidth="1"/>
    <col min="5128" max="5128" width="1.85714285714286" style="26" customWidth="1"/>
    <col min="5129" max="5132" width="9.42857142857143" style="26" customWidth="1"/>
    <col min="5133" max="5376" width="11.8571428571429" style="26"/>
    <col min="5377" max="5377" width="7.14285714285714" style="26" customWidth="1"/>
    <col min="5378" max="5378" width="39.1428571428571" style="26" customWidth="1"/>
    <col min="5379" max="5379" width="13.5714285714286" style="26" customWidth="1"/>
    <col min="5380" max="5380" width="9" style="26" bestFit="1" customWidth="1"/>
    <col min="5381" max="5381" width="7.85714285714286" style="26" bestFit="1" customWidth="1"/>
    <col min="5382" max="5382" width="8.57142857142857" style="26" customWidth="1"/>
    <col min="5383" max="5383" width="8.14285714285714" style="26" customWidth="1"/>
    <col min="5384" max="5384" width="1.85714285714286" style="26" customWidth="1"/>
    <col min="5385" max="5388" width="9.42857142857143" style="26" customWidth="1"/>
    <col min="5389" max="5632" width="11.8571428571429" style="26"/>
    <col min="5633" max="5633" width="7.14285714285714" style="26" customWidth="1"/>
    <col min="5634" max="5634" width="39.1428571428571" style="26" customWidth="1"/>
    <col min="5635" max="5635" width="13.5714285714286" style="26" customWidth="1"/>
    <col min="5636" max="5636" width="9" style="26" bestFit="1" customWidth="1"/>
    <col min="5637" max="5637" width="7.85714285714286" style="26" bestFit="1" customWidth="1"/>
    <col min="5638" max="5638" width="8.57142857142857" style="26" customWidth="1"/>
    <col min="5639" max="5639" width="8.14285714285714" style="26" customWidth="1"/>
    <col min="5640" max="5640" width="1.85714285714286" style="26" customWidth="1"/>
    <col min="5641" max="5644" width="9.42857142857143" style="26" customWidth="1"/>
    <col min="5645" max="5888" width="11.8571428571429" style="26"/>
    <col min="5889" max="5889" width="7.14285714285714" style="26" customWidth="1"/>
    <col min="5890" max="5890" width="39.1428571428571" style="26" customWidth="1"/>
    <col min="5891" max="5891" width="13.5714285714286" style="26" customWidth="1"/>
    <col min="5892" max="5892" width="9" style="26" bestFit="1" customWidth="1"/>
    <col min="5893" max="5893" width="7.85714285714286" style="26" bestFit="1" customWidth="1"/>
    <col min="5894" max="5894" width="8.57142857142857" style="26" customWidth="1"/>
    <col min="5895" max="5895" width="8.14285714285714" style="26" customWidth="1"/>
    <col min="5896" max="5896" width="1.85714285714286" style="26" customWidth="1"/>
    <col min="5897" max="5900" width="9.42857142857143" style="26" customWidth="1"/>
    <col min="5901" max="6144" width="11.8571428571429" style="26"/>
    <col min="6145" max="6145" width="7.14285714285714" style="26" customWidth="1"/>
    <col min="6146" max="6146" width="39.1428571428571" style="26" customWidth="1"/>
    <col min="6147" max="6147" width="13.5714285714286" style="26" customWidth="1"/>
    <col min="6148" max="6148" width="9" style="26" bestFit="1" customWidth="1"/>
    <col min="6149" max="6149" width="7.85714285714286" style="26" bestFit="1" customWidth="1"/>
    <col min="6150" max="6150" width="8.57142857142857" style="26" customWidth="1"/>
    <col min="6151" max="6151" width="8.14285714285714" style="26" customWidth="1"/>
    <col min="6152" max="6152" width="1.85714285714286" style="26" customWidth="1"/>
    <col min="6153" max="6156" width="9.42857142857143" style="26" customWidth="1"/>
    <col min="6157" max="6400" width="11.8571428571429" style="26"/>
    <col min="6401" max="6401" width="7.14285714285714" style="26" customWidth="1"/>
    <col min="6402" max="6402" width="39.1428571428571" style="26" customWidth="1"/>
    <col min="6403" max="6403" width="13.5714285714286" style="26" customWidth="1"/>
    <col min="6404" max="6404" width="9" style="26" bestFit="1" customWidth="1"/>
    <col min="6405" max="6405" width="7.85714285714286" style="26" bestFit="1" customWidth="1"/>
    <col min="6406" max="6406" width="8.57142857142857" style="26" customWidth="1"/>
    <col min="6407" max="6407" width="8.14285714285714" style="26" customWidth="1"/>
    <col min="6408" max="6408" width="1.85714285714286" style="26" customWidth="1"/>
    <col min="6409" max="6412" width="9.42857142857143" style="26" customWidth="1"/>
    <col min="6413" max="6656" width="11.8571428571429" style="26"/>
    <col min="6657" max="6657" width="7.14285714285714" style="26" customWidth="1"/>
    <col min="6658" max="6658" width="39.1428571428571" style="26" customWidth="1"/>
    <col min="6659" max="6659" width="13.5714285714286" style="26" customWidth="1"/>
    <col min="6660" max="6660" width="9" style="26" bestFit="1" customWidth="1"/>
    <col min="6661" max="6661" width="7.85714285714286" style="26" bestFit="1" customWidth="1"/>
    <col min="6662" max="6662" width="8.57142857142857" style="26" customWidth="1"/>
    <col min="6663" max="6663" width="8.14285714285714" style="26" customWidth="1"/>
    <col min="6664" max="6664" width="1.85714285714286" style="26" customWidth="1"/>
    <col min="6665" max="6668" width="9.42857142857143" style="26" customWidth="1"/>
    <col min="6669" max="6912" width="11.8571428571429" style="26"/>
    <col min="6913" max="6913" width="7.14285714285714" style="26" customWidth="1"/>
    <col min="6914" max="6914" width="39.1428571428571" style="26" customWidth="1"/>
    <col min="6915" max="6915" width="13.5714285714286" style="26" customWidth="1"/>
    <col min="6916" max="6916" width="9" style="26" bestFit="1" customWidth="1"/>
    <col min="6917" max="6917" width="7.85714285714286" style="26" bestFit="1" customWidth="1"/>
    <col min="6918" max="6918" width="8.57142857142857" style="26" customWidth="1"/>
    <col min="6919" max="6919" width="8.14285714285714" style="26" customWidth="1"/>
    <col min="6920" max="6920" width="1.85714285714286" style="26" customWidth="1"/>
    <col min="6921" max="6924" width="9.42857142857143" style="26" customWidth="1"/>
    <col min="6925" max="7168" width="11.8571428571429" style="26"/>
    <col min="7169" max="7169" width="7.14285714285714" style="26" customWidth="1"/>
    <col min="7170" max="7170" width="39.1428571428571" style="26" customWidth="1"/>
    <col min="7171" max="7171" width="13.5714285714286" style="26" customWidth="1"/>
    <col min="7172" max="7172" width="9" style="26" bestFit="1" customWidth="1"/>
    <col min="7173" max="7173" width="7.85714285714286" style="26" bestFit="1" customWidth="1"/>
    <col min="7174" max="7174" width="8.57142857142857" style="26" customWidth="1"/>
    <col min="7175" max="7175" width="8.14285714285714" style="26" customWidth="1"/>
    <col min="7176" max="7176" width="1.85714285714286" style="26" customWidth="1"/>
    <col min="7177" max="7180" width="9.42857142857143" style="26" customWidth="1"/>
    <col min="7181" max="7424" width="11.8571428571429" style="26"/>
    <col min="7425" max="7425" width="7.14285714285714" style="26" customWidth="1"/>
    <col min="7426" max="7426" width="39.1428571428571" style="26" customWidth="1"/>
    <col min="7427" max="7427" width="13.5714285714286" style="26" customWidth="1"/>
    <col min="7428" max="7428" width="9" style="26" bestFit="1" customWidth="1"/>
    <col min="7429" max="7429" width="7.85714285714286" style="26" bestFit="1" customWidth="1"/>
    <col min="7430" max="7430" width="8.57142857142857" style="26" customWidth="1"/>
    <col min="7431" max="7431" width="8.14285714285714" style="26" customWidth="1"/>
    <col min="7432" max="7432" width="1.85714285714286" style="26" customWidth="1"/>
    <col min="7433" max="7436" width="9.42857142857143" style="26" customWidth="1"/>
    <col min="7437" max="7680" width="11.8571428571429" style="26"/>
    <col min="7681" max="7681" width="7.14285714285714" style="26" customWidth="1"/>
    <col min="7682" max="7682" width="39.1428571428571" style="26" customWidth="1"/>
    <col min="7683" max="7683" width="13.5714285714286" style="26" customWidth="1"/>
    <col min="7684" max="7684" width="9" style="26" bestFit="1" customWidth="1"/>
    <col min="7685" max="7685" width="7.85714285714286" style="26" bestFit="1" customWidth="1"/>
    <col min="7686" max="7686" width="8.57142857142857" style="26" customWidth="1"/>
    <col min="7687" max="7687" width="8.14285714285714" style="26" customWidth="1"/>
    <col min="7688" max="7688" width="1.85714285714286" style="26" customWidth="1"/>
    <col min="7689" max="7692" width="9.42857142857143" style="26" customWidth="1"/>
    <col min="7693" max="7936" width="11.8571428571429" style="26"/>
    <col min="7937" max="7937" width="7.14285714285714" style="26" customWidth="1"/>
    <col min="7938" max="7938" width="39.1428571428571" style="26" customWidth="1"/>
    <col min="7939" max="7939" width="13.5714285714286" style="26" customWidth="1"/>
    <col min="7940" max="7940" width="9" style="26" bestFit="1" customWidth="1"/>
    <col min="7941" max="7941" width="7.85714285714286" style="26" bestFit="1" customWidth="1"/>
    <col min="7942" max="7942" width="8.57142857142857" style="26" customWidth="1"/>
    <col min="7943" max="7943" width="8.14285714285714" style="26" customWidth="1"/>
    <col min="7944" max="7944" width="1.85714285714286" style="26" customWidth="1"/>
    <col min="7945" max="7948" width="9.42857142857143" style="26" customWidth="1"/>
    <col min="7949" max="8192" width="11.8571428571429" style="26"/>
    <col min="8193" max="8193" width="7.14285714285714" style="26" customWidth="1"/>
    <col min="8194" max="8194" width="39.1428571428571" style="26" customWidth="1"/>
    <col min="8195" max="8195" width="13.5714285714286" style="26" customWidth="1"/>
    <col min="8196" max="8196" width="9" style="26" bestFit="1" customWidth="1"/>
    <col min="8197" max="8197" width="7.85714285714286" style="26" bestFit="1" customWidth="1"/>
    <col min="8198" max="8198" width="8.57142857142857" style="26" customWidth="1"/>
    <col min="8199" max="8199" width="8.14285714285714" style="26" customWidth="1"/>
    <col min="8200" max="8200" width="1.85714285714286" style="26" customWidth="1"/>
    <col min="8201" max="8204" width="9.42857142857143" style="26" customWidth="1"/>
    <col min="8205" max="8448" width="11.8571428571429" style="26"/>
    <col min="8449" max="8449" width="7.14285714285714" style="26" customWidth="1"/>
    <col min="8450" max="8450" width="39.1428571428571" style="26" customWidth="1"/>
    <col min="8451" max="8451" width="13.5714285714286" style="26" customWidth="1"/>
    <col min="8452" max="8452" width="9" style="26" bestFit="1" customWidth="1"/>
    <col min="8453" max="8453" width="7.85714285714286" style="26" bestFit="1" customWidth="1"/>
    <col min="8454" max="8454" width="8.57142857142857" style="26" customWidth="1"/>
    <col min="8455" max="8455" width="8.14285714285714" style="26" customWidth="1"/>
    <col min="8456" max="8456" width="1.85714285714286" style="26" customWidth="1"/>
    <col min="8457" max="8460" width="9.42857142857143" style="26" customWidth="1"/>
    <col min="8461" max="8704" width="11.8571428571429" style="26"/>
    <col min="8705" max="8705" width="7.14285714285714" style="26" customWidth="1"/>
    <col min="8706" max="8706" width="39.1428571428571" style="26" customWidth="1"/>
    <col min="8707" max="8707" width="13.5714285714286" style="26" customWidth="1"/>
    <col min="8708" max="8708" width="9" style="26" bestFit="1" customWidth="1"/>
    <col min="8709" max="8709" width="7.85714285714286" style="26" bestFit="1" customWidth="1"/>
    <col min="8710" max="8710" width="8.57142857142857" style="26" customWidth="1"/>
    <col min="8711" max="8711" width="8.14285714285714" style="26" customWidth="1"/>
    <col min="8712" max="8712" width="1.85714285714286" style="26" customWidth="1"/>
    <col min="8713" max="8716" width="9.42857142857143" style="26" customWidth="1"/>
    <col min="8717" max="8960" width="11.8571428571429" style="26"/>
    <col min="8961" max="8961" width="7.14285714285714" style="26" customWidth="1"/>
    <col min="8962" max="8962" width="39.1428571428571" style="26" customWidth="1"/>
    <col min="8963" max="8963" width="13.5714285714286" style="26" customWidth="1"/>
    <col min="8964" max="8964" width="9" style="26" bestFit="1" customWidth="1"/>
    <col min="8965" max="8965" width="7.85714285714286" style="26" bestFit="1" customWidth="1"/>
    <col min="8966" max="8966" width="8.57142857142857" style="26" customWidth="1"/>
    <col min="8967" max="8967" width="8.14285714285714" style="26" customWidth="1"/>
    <col min="8968" max="8968" width="1.85714285714286" style="26" customWidth="1"/>
    <col min="8969" max="8972" width="9.42857142857143" style="26" customWidth="1"/>
    <col min="8973" max="9216" width="11.8571428571429" style="26"/>
    <col min="9217" max="9217" width="7.14285714285714" style="26" customWidth="1"/>
    <col min="9218" max="9218" width="39.1428571428571" style="26" customWidth="1"/>
    <col min="9219" max="9219" width="13.5714285714286" style="26" customWidth="1"/>
    <col min="9220" max="9220" width="9" style="26" bestFit="1" customWidth="1"/>
    <col min="9221" max="9221" width="7.85714285714286" style="26" bestFit="1" customWidth="1"/>
    <col min="9222" max="9222" width="8.57142857142857" style="26" customWidth="1"/>
    <col min="9223" max="9223" width="8.14285714285714" style="26" customWidth="1"/>
    <col min="9224" max="9224" width="1.85714285714286" style="26" customWidth="1"/>
    <col min="9225" max="9228" width="9.42857142857143" style="26" customWidth="1"/>
    <col min="9229" max="9472" width="11.8571428571429" style="26"/>
    <col min="9473" max="9473" width="7.14285714285714" style="26" customWidth="1"/>
    <col min="9474" max="9474" width="39.1428571428571" style="26" customWidth="1"/>
    <col min="9475" max="9475" width="13.5714285714286" style="26" customWidth="1"/>
    <col min="9476" max="9476" width="9" style="26" bestFit="1" customWidth="1"/>
    <col min="9477" max="9477" width="7.85714285714286" style="26" bestFit="1" customWidth="1"/>
    <col min="9478" max="9478" width="8.57142857142857" style="26" customWidth="1"/>
    <col min="9479" max="9479" width="8.14285714285714" style="26" customWidth="1"/>
    <col min="9480" max="9480" width="1.85714285714286" style="26" customWidth="1"/>
    <col min="9481" max="9484" width="9.42857142857143" style="26" customWidth="1"/>
    <col min="9485" max="9728" width="11.8571428571429" style="26"/>
    <col min="9729" max="9729" width="7.14285714285714" style="26" customWidth="1"/>
    <col min="9730" max="9730" width="39.1428571428571" style="26" customWidth="1"/>
    <col min="9731" max="9731" width="13.5714285714286" style="26" customWidth="1"/>
    <col min="9732" max="9732" width="9" style="26" bestFit="1" customWidth="1"/>
    <col min="9733" max="9733" width="7.85714285714286" style="26" bestFit="1" customWidth="1"/>
    <col min="9734" max="9734" width="8.57142857142857" style="26" customWidth="1"/>
    <col min="9735" max="9735" width="8.14285714285714" style="26" customWidth="1"/>
    <col min="9736" max="9736" width="1.85714285714286" style="26" customWidth="1"/>
    <col min="9737" max="9740" width="9.42857142857143" style="26" customWidth="1"/>
    <col min="9741" max="9984" width="11.8571428571429" style="26"/>
    <col min="9985" max="9985" width="7.14285714285714" style="26" customWidth="1"/>
    <col min="9986" max="9986" width="39.1428571428571" style="26" customWidth="1"/>
    <col min="9987" max="9987" width="13.5714285714286" style="26" customWidth="1"/>
    <col min="9988" max="9988" width="9" style="26" bestFit="1" customWidth="1"/>
    <col min="9989" max="9989" width="7.85714285714286" style="26" bestFit="1" customWidth="1"/>
    <col min="9990" max="9990" width="8.57142857142857" style="26" customWidth="1"/>
    <col min="9991" max="9991" width="8.14285714285714" style="26" customWidth="1"/>
    <col min="9992" max="9992" width="1.85714285714286" style="26" customWidth="1"/>
    <col min="9993" max="9996" width="9.42857142857143" style="26" customWidth="1"/>
    <col min="9997" max="10240" width="11.8571428571429" style="26"/>
    <col min="10241" max="10241" width="7.14285714285714" style="26" customWidth="1"/>
    <col min="10242" max="10242" width="39.1428571428571" style="26" customWidth="1"/>
    <col min="10243" max="10243" width="13.5714285714286" style="26" customWidth="1"/>
    <col min="10244" max="10244" width="9" style="26" bestFit="1" customWidth="1"/>
    <col min="10245" max="10245" width="7.85714285714286" style="26" bestFit="1" customWidth="1"/>
    <col min="10246" max="10246" width="8.57142857142857" style="26" customWidth="1"/>
    <col min="10247" max="10247" width="8.14285714285714" style="26" customWidth="1"/>
    <col min="10248" max="10248" width="1.85714285714286" style="26" customWidth="1"/>
    <col min="10249" max="10252" width="9.42857142857143" style="26" customWidth="1"/>
    <col min="10253" max="10496" width="11.8571428571429" style="26"/>
    <col min="10497" max="10497" width="7.14285714285714" style="26" customWidth="1"/>
    <col min="10498" max="10498" width="39.1428571428571" style="26" customWidth="1"/>
    <col min="10499" max="10499" width="13.5714285714286" style="26" customWidth="1"/>
    <col min="10500" max="10500" width="9" style="26" bestFit="1" customWidth="1"/>
    <col min="10501" max="10501" width="7.85714285714286" style="26" bestFit="1" customWidth="1"/>
    <col min="10502" max="10502" width="8.57142857142857" style="26" customWidth="1"/>
    <col min="10503" max="10503" width="8.14285714285714" style="26" customWidth="1"/>
    <col min="10504" max="10504" width="1.85714285714286" style="26" customWidth="1"/>
    <col min="10505" max="10508" width="9.42857142857143" style="26" customWidth="1"/>
    <col min="10509" max="10752" width="11.8571428571429" style="26"/>
    <col min="10753" max="10753" width="7.14285714285714" style="26" customWidth="1"/>
    <col min="10754" max="10754" width="39.1428571428571" style="26" customWidth="1"/>
    <col min="10755" max="10755" width="13.5714285714286" style="26" customWidth="1"/>
    <col min="10756" max="10756" width="9" style="26" bestFit="1" customWidth="1"/>
    <col min="10757" max="10757" width="7.85714285714286" style="26" bestFit="1" customWidth="1"/>
    <col min="10758" max="10758" width="8.57142857142857" style="26" customWidth="1"/>
    <col min="10759" max="10759" width="8.14285714285714" style="26" customWidth="1"/>
    <col min="10760" max="10760" width="1.85714285714286" style="26" customWidth="1"/>
    <col min="10761" max="10764" width="9.42857142857143" style="26" customWidth="1"/>
    <col min="10765" max="11008" width="11.8571428571429" style="26"/>
    <col min="11009" max="11009" width="7.14285714285714" style="26" customWidth="1"/>
    <col min="11010" max="11010" width="39.1428571428571" style="26" customWidth="1"/>
    <col min="11011" max="11011" width="13.5714285714286" style="26" customWidth="1"/>
    <col min="11012" max="11012" width="9" style="26" bestFit="1" customWidth="1"/>
    <col min="11013" max="11013" width="7.85714285714286" style="26" bestFit="1" customWidth="1"/>
    <col min="11014" max="11014" width="8.57142857142857" style="26" customWidth="1"/>
    <col min="11015" max="11015" width="8.14285714285714" style="26" customWidth="1"/>
    <col min="11016" max="11016" width="1.85714285714286" style="26" customWidth="1"/>
    <col min="11017" max="11020" width="9.42857142857143" style="26" customWidth="1"/>
    <col min="11021" max="11264" width="11.8571428571429" style="26"/>
    <col min="11265" max="11265" width="7.14285714285714" style="26" customWidth="1"/>
    <col min="11266" max="11266" width="39.1428571428571" style="26" customWidth="1"/>
    <col min="11267" max="11267" width="13.5714285714286" style="26" customWidth="1"/>
    <col min="11268" max="11268" width="9" style="26" bestFit="1" customWidth="1"/>
    <col min="11269" max="11269" width="7.85714285714286" style="26" bestFit="1" customWidth="1"/>
    <col min="11270" max="11270" width="8.57142857142857" style="26" customWidth="1"/>
    <col min="11271" max="11271" width="8.14285714285714" style="26" customWidth="1"/>
    <col min="11272" max="11272" width="1.85714285714286" style="26" customWidth="1"/>
    <col min="11273" max="11276" width="9.42857142857143" style="26" customWidth="1"/>
    <col min="11277" max="11520" width="11.8571428571429" style="26"/>
    <col min="11521" max="11521" width="7.14285714285714" style="26" customWidth="1"/>
    <col min="11522" max="11522" width="39.1428571428571" style="26" customWidth="1"/>
    <col min="11523" max="11523" width="13.5714285714286" style="26" customWidth="1"/>
    <col min="11524" max="11524" width="9" style="26" bestFit="1" customWidth="1"/>
    <col min="11525" max="11525" width="7.85714285714286" style="26" bestFit="1" customWidth="1"/>
    <col min="11526" max="11526" width="8.57142857142857" style="26" customWidth="1"/>
    <col min="11527" max="11527" width="8.14285714285714" style="26" customWidth="1"/>
    <col min="11528" max="11528" width="1.85714285714286" style="26" customWidth="1"/>
    <col min="11529" max="11532" width="9.42857142857143" style="26" customWidth="1"/>
    <col min="11533" max="11776" width="11.8571428571429" style="26"/>
    <col min="11777" max="11777" width="7.14285714285714" style="26" customWidth="1"/>
    <col min="11778" max="11778" width="39.1428571428571" style="26" customWidth="1"/>
    <col min="11779" max="11779" width="13.5714285714286" style="26" customWidth="1"/>
    <col min="11780" max="11780" width="9" style="26" bestFit="1" customWidth="1"/>
    <col min="11781" max="11781" width="7.85714285714286" style="26" bestFit="1" customWidth="1"/>
    <col min="11782" max="11782" width="8.57142857142857" style="26" customWidth="1"/>
    <col min="11783" max="11783" width="8.14285714285714" style="26" customWidth="1"/>
    <col min="11784" max="11784" width="1.85714285714286" style="26" customWidth="1"/>
    <col min="11785" max="11788" width="9.42857142857143" style="26" customWidth="1"/>
    <col min="11789" max="12032" width="11.8571428571429" style="26"/>
    <col min="12033" max="12033" width="7.14285714285714" style="26" customWidth="1"/>
    <col min="12034" max="12034" width="39.1428571428571" style="26" customWidth="1"/>
    <col min="12035" max="12035" width="13.5714285714286" style="26" customWidth="1"/>
    <col min="12036" max="12036" width="9" style="26" bestFit="1" customWidth="1"/>
    <col min="12037" max="12037" width="7.85714285714286" style="26" bestFit="1" customWidth="1"/>
    <col min="12038" max="12038" width="8.57142857142857" style="26" customWidth="1"/>
    <col min="12039" max="12039" width="8.14285714285714" style="26" customWidth="1"/>
    <col min="12040" max="12040" width="1.85714285714286" style="26" customWidth="1"/>
    <col min="12041" max="12044" width="9.42857142857143" style="26" customWidth="1"/>
    <col min="12045" max="12288" width="11.8571428571429" style="26"/>
    <col min="12289" max="12289" width="7.14285714285714" style="26" customWidth="1"/>
    <col min="12290" max="12290" width="39.1428571428571" style="26" customWidth="1"/>
    <col min="12291" max="12291" width="13.5714285714286" style="26" customWidth="1"/>
    <col min="12292" max="12292" width="9" style="26" bestFit="1" customWidth="1"/>
    <col min="12293" max="12293" width="7.85714285714286" style="26" bestFit="1" customWidth="1"/>
    <col min="12294" max="12294" width="8.57142857142857" style="26" customWidth="1"/>
    <col min="12295" max="12295" width="8.14285714285714" style="26" customWidth="1"/>
    <col min="12296" max="12296" width="1.85714285714286" style="26" customWidth="1"/>
    <col min="12297" max="12300" width="9.42857142857143" style="26" customWidth="1"/>
    <col min="12301" max="12544" width="11.8571428571429" style="26"/>
    <col min="12545" max="12545" width="7.14285714285714" style="26" customWidth="1"/>
    <col min="12546" max="12546" width="39.1428571428571" style="26" customWidth="1"/>
    <col min="12547" max="12547" width="13.5714285714286" style="26" customWidth="1"/>
    <col min="12548" max="12548" width="9" style="26" bestFit="1" customWidth="1"/>
    <col min="12549" max="12549" width="7.85714285714286" style="26" bestFit="1" customWidth="1"/>
    <col min="12550" max="12550" width="8.57142857142857" style="26" customWidth="1"/>
    <col min="12551" max="12551" width="8.14285714285714" style="26" customWidth="1"/>
    <col min="12552" max="12552" width="1.85714285714286" style="26" customWidth="1"/>
    <col min="12553" max="12556" width="9.42857142857143" style="26" customWidth="1"/>
    <col min="12557" max="12800" width="11.8571428571429" style="26"/>
    <col min="12801" max="12801" width="7.14285714285714" style="26" customWidth="1"/>
    <col min="12802" max="12802" width="39.1428571428571" style="26" customWidth="1"/>
    <col min="12803" max="12803" width="13.5714285714286" style="26" customWidth="1"/>
    <col min="12804" max="12804" width="9" style="26" bestFit="1" customWidth="1"/>
    <col min="12805" max="12805" width="7.85714285714286" style="26" bestFit="1" customWidth="1"/>
    <col min="12806" max="12806" width="8.57142857142857" style="26" customWidth="1"/>
    <col min="12807" max="12807" width="8.14285714285714" style="26" customWidth="1"/>
    <col min="12808" max="12808" width="1.85714285714286" style="26" customWidth="1"/>
    <col min="12809" max="12812" width="9.42857142857143" style="26" customWidth="1"/>
    <col min="12813" max="13056" width="11.8571428571429" style="26"/>
    <col min="13057" max="13057" width="7.14285714285714" style="26" customWidth="1"/>
    <col min="13058" max="13058" width="39.1428571428571" style="26" customWidth="1"/>
    <col min="13059" max="13059" width="13.5714285714286" style="26" customWidth="1"/>
    <col min="13060" max="13060" width="9" style="26" bestFit="1" customWidth="1"/>
    <col min="13061" max="13061" width="7.85714285714286" style="26" bestFit="1" customWidth="1"/>
    <col min="13062" max="13062" width="8.57142857142857" style="26" customWidth="1"/>
    <col min="13063" max="13063" width="8.14285714285714" style="26" customWidth="1"/>
    <col min="13064" max="13064" width="1.85714285714286" style="26" customWidth="1"/>
    <col min="13065" max="13068" width="9.42857142857143" style="26" customWidth="1"/>
    <col min="13069" max="13312" width="11.8571428571429" style="26"/>
    <col min="13313" max="13313" width="7.14285714285714" style="26" customWidth="1"/>
    <col min="13314" max="13314" width="39.1428571428571" style="26" customWidth="1"/>
    <col min="13315" max="13315" width="13.5714285714286" style="26" customWidth="1"/>
    <col min="13316" max="13316" width="9" style="26" bestFit="1" customWidth="1"/>
    <col min="13317" max="13317" width="7.85714285714286" style="26" bestFit="1" customWidth="1"/>
    <col min="13318" max="13318" width="8.57142857142857" style="26" customWidth="1"/>
    <col min="13319" max="13319" width="8.14285714285714" style="26" customWidth="1"/>
    <col min="13320" max="13320" width="1.85714285714286" style="26" customWidth="1"/>
    <col min="13321" max="13324" width="9.42857142857143" style="26" customWidth="1"/>
    <col min="13325" max="13568" width="11.8571428571429" style="26"/>
    <col min="13569" max="13569" width="7.14285714285714" style="26" customWidth="1"/>
    <col min="13570" max="13570" width="39.1428571428571" style="26" customWidth="1"/>
    <col min="13571" max="13571" width="13.5714285714286" style="26" customWidth="1"/>
    <col min="13572" max="13572" width="9" style="26" bestFit="1" customWidth="1"/>
    <col min="13573" max="13573" width="7.85714285714286" style="26" bestFit="1" customWidth="1"/>
    <col min="13574" max="13574" width="8.57142857142857" style="26" customWidth="1"/>
    <col min="13575" max="13575" width="8.14285714285714" style="26" customWidth="1"/>
    <col min="13576" max="13576" width="1.85714285714286" style="26" customWidth="1"/>
    <col min="13577" max="13580" width="9.42857142857143" style="26" customWidth="1"/>
    <col min="13581" max="13824" width="11.8571428571429" style="26"/>
    <col min="13825" max="13825" width="7.14285714285714" style="26" customWidth="1"/>
    <col min="13826" max="13826" width="39.1428571428571" style="26" customWidth="1"/>
    <col min="13827" max="13827" width="13.5714285714286" style="26" customWidth="1"/>
    <col min="13828" max="13828" width="9" style="26" bestFit="1" customWidth="1"/>
    <col min="13829" max="13829" width="7.85714285714286" style="26" bestFit="1" customWidth="1"/>
    <col min="13830" max="13830" width="8.57142857142857" style="26" customWidth="1"/>
    <col min="13831" max="13831" width="8.14285714285714" style="26" customWidth="1"/>
    <col min="13832" max="13832" width="1.85714285714286" style="26" customWidth="1"/>
    <col min="13833" max="13836" width="9.42857142857143" style="26" customWidth="1"/>
    <col min="13837" max="14080" width="11.8571428571429" style="26"/>
    <col min="14081" max="14081" width="7.14285714285714" style="26" customWidth="1"/>
    <col min="14082" max="14082" width="39.1428571428571" style="26" customWidth="1"/>
    <col min="14083" max="14083" width="13.5714285714286" style="26" customWidth="1"/>
    <col min="14084" max="14084" width="9" style="26" bestFit="1" customWidth="1"/>
    <col min="14085" max="14085" width="7.85714285714286" style="26" bestFit="1" customWidth="1"/>
    <col min="14086" max="14086" width="8.57142857142857" style="26" customWidth="1"/>
    <col min="14087" max="14087" width="8.14285714285714" style="26" customWidth="1"/>
    <col min="14088" max="14088" width="1.85714285714286" style="26" customWidth="1"/>
    <col min="14089" max="14092" width="9.42857142857143" style="26" customWidth="1"/>
    <col min="14093" max="14336" width="11.8571428571429" style="26"/>
    <col min="14337" max="14337" width="7.14285714285714" style="26" customWidth="1"/>
    <col min="14338" max="14338" width="39.1428571428571" style="26" customWidth="1"/>
    <col min="14339" max="14339" width="13.5714285714286" style="26" customWidth="1"/>
    <col min="14340" max="14340" width="9" style="26" bestFit="1" customWidth="1"/>
    <col min="14341" max="14341" width="7.85714285714286" style="26" bestFit="1" customWidth="1"/>
    <col min="14342" max="14342" width="8.57142857142857" style="26" customWidth="1"/>
    <col min="14343" max="14343" width="8.14285714285714" style="26" customWidth="1"/>
    <col min="14344" max="14344" width="1.85714285714286" style="26" customWidth="1"/>
    <col min="14345" max="14348" width="9.42857142857143" style="26" customWidth="1"/>
    <col min="14349" max="14592" width="11.8571428571429" style="26"/>
    <col min="14593" max="14593" width="7.14285714285714" style="26" customWidth="1"/>
    <col min="14594" max="14594" width="39.1428571428571" style="26" customWidth="1"/>
    <col min="14595" max="14595" width="13.5714285714286" style="26" customWidth="1"/>
    <col min="14596" max="14596" width="9" style="26" bestFit="1" customWidth="1"/>
    <col min="14597" max="14597" width="7.85714285714286" style="26" bestFit="1" customWidth="1"/>
    <col min="14598" max="14598" width="8.57142857142857" style="26" customWidth="1"/>
    <col min="14599" max="14599" width="8.14285714285714" style="26" customWidth="1"/>
    <col min="14600" max="14600" width="1.85714285714286" style="26" customWidth="1"/>
    <col min="14601" max="14604" width="9.42857142857143" style="26" customWidth="1"/>
    <col min="14605" max="14848" width="11.8571428571429" style="26"/>
    <col min="14849" max="14849" width="7.14285714285714" style="26" customWidth="1"/>
    <col min="14850" max="14850" width="39.1428571428571" style="26" customWidth="1"/>
    <col min="14851" max="14851" width="13.5714285714286" style="26" customWidth="1"/>
    <col min="14852" max="14852" width="9" style="26" bestFit="1" customWidth="1"/>
    <col min="14853" max="14853" width="7.85714285714286" style="26" bestFit="1" customWidth="1"/>
    <col min="14854" max="14854" width="8.57142857142857" style="26" customWidth="1"/>
    <col min="14855" max="14855" width="8.14285714285714" style="26" customWidth="1"/>
    <col min="14856" max="14856" width="1.85714285714286" style="26" customWidth="1"/>
    <col min="14857" max="14860" width="9.42857142857143" style="26" customWidth="1"/>
    <col min="14861" max="15104" width="11.8571428571429" style="26"/>
    <col min="15105" max="15105" width="7.14285714285714" style="26" customWidth="1"/>
    <col min="15106" max="15106" width="39.1428571428571" style="26" customWidth="1"/>
    <col min="15107" max="15107" width="13.5714285714286" style="26" customWidth="1"/>
    <col min="15108" max="15108" width="9" style="26" bestFit="1" customWidth="1"/>
    <col min="15109" max="15109" width="7.85714285714286" style="26" bestFit="1" customWidth="1"/>
    <col min="15110" max="15110" width="8.57142857142857" style="26" customWidth="1"/>
    <col min="15111" max="15111" width="8.14285714285714" style="26" customWidth="1"/>
    <col min="15112" max="15112" width="1.85714285714286" style="26" customWidth="1"/>
    <col min="15113" max="15116" width="9.42857142857143" style="26" customWidth="1"/>
    <col min="15117" max="15360" width="11.8571428571429" style="26"/>
    <col min="15361" max="15361" width="7.14285714285714" style="26" customWidth="1"/>
    <col min="15362" max="15362" width="39.1428571428571" style="26" customWidth="1"/>
    <col min="15363" max="15363" width="13.5714285714286" style="26" customWidth="1"/>
    <col min="15364" max="15364" width="9" style="26" bestFit="1" customWidth="1"/>
    <col min="15365" max="15365" width="7.85714285714286" style="26" bestFit="1" customWidth="1"/>
    <col min="15366" max="15366" width="8.57142857142857" style="26" customWidth="1"/>
    <col min="15367" max="15367" width="8.14285714285714" style="26" customWidth="1"/>
    <col min="15368" max="15368" width="1.85714285714286" style="26" customWidth="1"/>
    <col min="15369" max="15372" width="9.42857142857143" style="26" customWidth="1"/>
    <col min="15373" max="15616" width="11.8571428571429" style="26"/>
    <col min="15617" max="15617" width="7.14285714285714" style="26" customWidth="1"/>
    <col min="15618" max="15618" width="39.1428571428571" style="26" customWidth="1"/>
    <col min="15619" max="15619" width="13.5714285714286" style="26" customWidth="1"/>
    <col min="15620" max="15620" width="9" style="26" bestFit="1" customWidth="1"/>
    <col min="15621" max="15621" width="7.85714285714286" style="26" bestFit="1" customWidth="1"/>
    <col min="15622" max="15622" width="8.57142857142857" style="26" customWidth="1"/>
    <col min="15623" max="15623" width="8.14285714285714" style="26" customWidth="1"/>
    <col min="15624" max="15624" width="1.85714285714286" style="26" customWidth="1"/>
    <col min="15625" max="15628" width="9.42857142857143" style="26" customWidth="1"/>
    <col min="15629" max="15872" width="11.8571428571429" style="26"/>
    <col min="15873" max="15873" width="7.14285714285714" style="26" customWidth="1"/>
    <col min="15874" max="15874" width="39.1428571428571" style="26" customWidth="1"/>
    <col min="15875" max="15875" width="13.5714285714286" style="26" customWidth="1"/>
    <col min="15876" max="15876" width="9" style="26" bestFit="1" customWidth="1"/>
    <col min="15877" max="15877" width="7.85714285714286" style="26" bestFit="1" customWidth="1"/>
    <col min="15878" max="15878" width="8.57142857142857" style="26" customWidth="1"/>
    <col min="15879" max="15879" width="8.14285714285714" style="26" customWidth="1"/>
    <col min="15880" max="15880" width="1.85714285714286" style="26" customWidth="1"/>
    <col min="15881" max="15884" width="9.42857142857143" style="26" customWidth="1"/>
    <col min="15885" max="16128" width="11.8571428571429" style="26"/>
    <col min="16129" max="16129" width="7.14285714285714" style="26" customWidth="1"/>
    <col min="16130" max="16130" width="39.1428571428571" style="26" customWidth="1"/>
    <col min="16131" max="16131" width="13.5714285714286" style="26" customWidth="1"/>
    <col min="16132" max="16132" width="9" style="26" bestFit="1" customWidth="1"/>
    <col min="16133" max="16133" width="7.85714285714286" style="26" bestFit="1" customWidth="1"/>
    <col min="16134" max="16134" width="8.57142857142857" style="26" customWidth="1"/>
    <col min="16135" max="16135" width="8.14285714285714" style="26" customWidth="1"/>
    <col min="16136" max="16136" width="1.85714285714286" style="26" customWidth="1"/>
    <col min="16137" max="16140" width="9.42857142857143" style="26" customWidth="1"/>
    <col min="16141" max="16384" width="11.8571428571429" style="26"/>
  </cols>
  <sheetData>
    <row r="1" spans="1:12" ht="18">
      <c r="A1" s="864" t="s">
        <v>56</v>
      </c>
      <c r="B1" s="864"/>
      <c r="C1" s="864"/>
      <c r="D1" s="864"/>
      <c r="E1" s="864"/>
      <c r="F1" s="864"/>
      <c r="G1" s="864"/>
      <c r="H1" s="864"/>
      <c r="I1" s="864"/>
      <c r="J1" s="864"/>
      <c r="K1" s="864"/>
      <c r="L1" s="864"/>
    </row>
    <row r="2" spans="1:12" ht="12.75">
      <c r="A2" s="865" t="str">
        <f>Input!B3</f>
        <v>FPUC, FPUC - Common, FPUC - Indiantown, Florida Division of Chesapeake Utilities Corporation, FPUC - Ft Meade</v>
      </c>
      <c r="B2" s="865"/>
      <c r="C2" s="865"/>
      <c r="D2" s="865"/>
      <c r="E2" s="865"/>
      <c r="F2" s="865"/>
      <c r="G2" s="865"/>
      <c r="H2" s="865"/>
      <c r="I2" s="865"/>
      <c r="J2" s="865"/>
      <c r="K2" s="865"/>
      <c r="L2" s="865"/>
    </row>
    <row r="3" spans="1:12" ht="15.75">
      <c r="A3" s="863" t="s">
        <v>57</v>
      </c>
      <c r="B3" s="863"/>
      <c r="C3" s="863"/>
      <c r="D3" s="863"/>
      <c r="E3" s="863"/>
      <c r="F3" s="863"/>
      <c r="G3" s="863"/>
      <c r="H3" s="863"/>
      <c r="I3" s="863"/>
      <c r="J3" s="863"/>
      <c r="K3" s="863"/>
      <c r="L3" s="863"/>
    </row>
    <row r="4" spans="1:12" s="27" customFormat="1" ht="12.75">
      <c r="A4" s="866" t="str">
        <f>'Sch. A'!A4</f>
        <v>(Actual through 12/31/21 and Projected through 12/31/22)</v>
      </c>
      <c r="B4" s="866"/>
      <c r="C4" s="866"/>
      <c r="D4" s="866"/>
      <c r="E4" s="866"/>
      <c r="F4" s="866"/>
      <c r="G4" s="866"/>
      <c r="H4" s="866"/>
      <c r="I4" s="866"/>
      <c r="J4" s="866"/>
      <c r="K4" s="866"/>
      <c r="L4" s="866"/>
    </row>
    <row r="5" spans="1:12" ht="15.75">
      <c r="A5" s="863" t="s">
        <v>135</v>
      </c>
      <c r="B5" s="863"/>
      <c r="C5" s="863"/>
      <c r="D5" s="863"/>
      <c r="E5" s="863"/>
      <c r="F5" s="863"/>
      <c r="G5" s="863"/>
      <c r="H5" s="863"/>
      <c r="I5" s="863"/>
      <c r="J5" s="863"/>
      <c r="K5" s="863"/>
      <c r="L5" s="863"/>
    </row>
    <row r="6" spans="2:12" s="88" customFormat="1" ht="18.75" thickBot="1">
      <c r="B6" s="92"/>
      <c r="C6" s="306"/>
      <c r="D6" s="93"/>
      <c r="E6" s="93"/>
      <c r="F6" s="93"/>
      <c r="G6" s="93"/>
      <c r="H6" s="93"/>
      <c r="I6" s="93"/>
      <c r="J6" s="93"/>
      <c r="K6" s="93"/>
      <c r="L6" s="93"/>
    </row>
    <row r="7" spans="1:12" ht="35.25" thickTop="1" thickBot="1">
      <c r="A7" s="881"/>
      <c r="B7" s="882"/>
      <c r="C7" s="307" t="s">
        <v>136</v>
      </c>
      <c r="D7" s="885" t="s">
        <v>61</v>
      </c>
      <c r="E7" s="886"/>
      <c r="F7" s="886"/>
      <c r="G7" s="886"/>
      <c r="H7" s="887"/>
      <c r="I7" s="888" t="s">
        <v>137</v>
      </c>
      <c r="J7" s="889"/>
      <c r="K7" s="889"/>
      <c r="L7" s="890"/>
    </row>
    <row r="8" spans="1:12" ht="11.25">
      <c r="A8" s="881"/>
      <c r="B8" s="882"/>
      <c r="C8" s="422" t="s">
        <v>68</v>
      </c>
      <c r="D8" s="94" t="s">
        <v>65</v>
      </c>
      <c r="E8" s="40" t="s">
        <v>18</v>
      </c>
      <c r="F8" s="40" t="s">
        <v>66</v>
      </c>
      <c r="G8" s="891" t="s">
        <v>68</v>
      </c>
      <c r="H8" s="892"/>
      <c r="I8" s="95" t="s">
        <v>65</v>
      </c>
      <c r="J8" s="40" t="s">
        <v>18</v>
      </c>
      <c r="K8" s="40" t="s">
        <v>66</v>
      </c>
      <c r="L8" s="96" t="s">
        <v>68</v>
      </c>
    </row>
    <row r="9" spans="1:12" ht="11.25">
      <c r="A9" s="881"/>
      <c r="B9" s="882"/>
      <c r="C9" s="423" t="s">
        <v>70</v>
      </c>
      <c r="D9" s="97" t="s">
        <v>68</v>
      </c>
      <c r="E9" s="40" t="s">
        <v>69</v>
      </c>
      <c r="F9" s="41">
        <f>'Sch. A'!D10</f>
        <v>44927</v>
      </c>
      <c r="G9" s="893" t="s">
        <v>70</v>
      </c>
      <c r="H9" s="894"/>
      <c r="I9" s="40" t="s">
        <v>68</v>
      </c>
      <c r="J9" s="40" t="s">
        <v>69</v>
      </c>
      <c r="K9" s="41">
        <f>'Sch. A'!D10</f>
        <v>44927</v>
      </c>
      <c r="L9" s="96" t="s">
        <v>70</v>
      </c>
    </row>
    <row r="10" spans="1:12" ht="12" thickBot="1">
      <c r="A10" s="883"/>
      <c r="B10" s="884"/>
      <c r="C10" s="423" t="s">
        <v>138</v>
      </c>
      <c r="D10" s="97" t="s">
        <v>70</v>
      </c>
      <c r="E10" s="40" t="s">
        <v>71</v>
      </c>
      <c r="F10" s="40" t="s">
        <v>76</v>
      </c>
      <c r="G10" s="893" t="s">
        <v>138</v>
      </c>
      <c r="H10" s="894"/>
      <c r="I10" s="40" t="s">
        <v>70</v>
      </c>
      <c r="J10" s="40" t="s">
        <v>71</v>
      </c>
      <c r="K10" s="40" t="s">
        <v>76</v>
      </c>
      <c r="L10" s="96" t="s">
        <v>138</v>
      </c>
    </row>
    <row r="11" spans="1:12" ht="12.75" thickTop="1" thickBot="1">
      <c r="A11" s="47" t="s">
        <v>74</v>
      </c>
      <c r="B11" s="98"/>
      <c r="C11" s="424" t="s">
        <v>78</v>
      </c>
      <c r="D11" s="99" t="s">
        <v>77</v>
      </c>
      <c r="E11" s="49" t="s">
        <v>78</v>
      </c>
      <c r="F11" s="49" t="s">
        <v>78</v>
      </c>
      <c r="G11" s="879" t="s">
        <v>78</v>
      </c>
      <c r="H11" s="880"/>
      <c r="I11" s="99" t="s">
        <v>77</v>
      </c>
      <c r="J11" s="49" t="s">
        <v>78</v>
      </c>
      <c r="K11" s="49" t="s">
        <v>78</v>
      </c>
      <c r="L11" s="100" t="s">
        <v>78</v>
      </c>
    </row>
    <row r="12" spans="1:12" s="58" customFormat="1" ht="12" thickTop="1">
      <c r="A12" s="52"/>
      <c r="B12" s="101"/>
      <c r="C12" s="803"/>
      <c r="D12" s="804"/>
      <c r="E12" s="805"/>
      <c r="F12" s="805"/>
      <c r="G12" s="806"/>
      <c r="H12" s="807"/>
      <c r="I12" s="804"/>
      <c r="J12" s="805"/>
      <c r="K12" s="55"/>
      <c r="L12" s="103"/>
    </row>
    <row r="13" spans="1:12" s="58" customFormat="1" ht="11.25">
      <c r="A13" s="59" t="s">
        <v>79</v>
      </c>
      <c r="B13" s="104"/>
      <c r="C13" s="808"/>
      <c r="D13" s="756"/>
      <c r="E13" s="809"/>
      <c r="F13" s="809"/>
      <c r="G13" s="810"/>
      <c r="H13" s="809"/>
      <c r="I13" s="756"/>
      <c r="J13" s="809"/>
      <c r="K13" s="62"/>
      <c r="L13" s="96"/>
    </row>
    <row r="14" spans="1:12" ht="12.75">
      <c r="A14" s="63">
        <v>3741</v>
      </c>
      <c r="B14" s="105" t="s">
        <v>80</v>
      </c>
      <c r="C14" s="481">
        <v>5.5</v>
      </c>
      <c r="D14" s="482">
        <f>'Sch. A'!L14</f>
        <v>56</v>
      </c>
      <c r="E14" s="483">
        <f>'Sch. A'!M14</f>
        <v>0</v>
      </c>
      <c r="F14" s="484">
        <f>ROUND((+'Sch. A'!$D14/'Sch. A'!$C14*100),2)</f>
        <v>34.670000000000002</v>
      </c>
      <c r="G14" s="485">
        <f>ROUND((100-E14-F14)/D14,1)</f>
        <v>1.2</v>
      </c>
      <c r="H14" s="476" t="s">
        <v>106</v>
      </c>
      <c r="I14" s="493"/>
      <c r="J14" s="811"/>
      <c r="K14" s="107"/>
      <c r="L14" s="108" t="str">
        <f>IF(ISERR(ROUND((100-J14-K14)/I14,1)),"",ROUND((100-J14-K14)/I14,1))</f>
        <v/>
      </c>
    </row>
    <row r="15" spans="1:12" ht="12.75">
      <c r="A15" s="63">
        <v>375</v>
      </c>
      <c r="B15" s="105" t="s">
        <v>82</v>
      </c>
      <c r="C15" s="486">
        <v>2.5</v>
      </c>
      <c r="D15" s="482">
        <f>'Sch. A'!L15</f>
        <v>28</v>
      </c>
      <c r="E15" s="483">
        <f>'Sch. A'!M15</f>
        <v>0</v>
      </c>
      <c r="F15" s="484">
        <f>ROUND((+'Sch. A'!$D15/'Sch. A'!$C15*100),2)</f>
        <v>22.379999999999999</v>
      </c>
      <c r="G15" s="485">
        <f t="shared" si="0" ref="G15:G31">ROUND((100-E15-F15)/D15,1)</f>
        <v>2.7999999999999998</v>
      </c>
      <c r="H15" s="478" t="s">
        <v>106</v>
      </c>
      <c r="I15" s="493"/>
      <c r="J15" s="811"/>
      <c r="K15" s="107"/>
      <c r="L15" s="108" t="str">
        <f t="shared" si="1" ref="L15:L31">IF(ISERR(ROUND((100-J15-K15)/I15,1)),"",ROUND((100-J15-K15)/I15,1))</f>
        <v/>
      </c>
    </row>
    <row r="16" spans="1:12" ht="12.75">
      <c r="A16" s="63">
        <v>3761</v>
      </c>
      <c r="B16" s="105" t="s">
        <v>84</v>
      </c>
      <c r="C16" s="486">
        <v>2.1000000000000001</v>
      </c>
      <c r="D16" s="482">
        <f>'Sch. A'!L16</f>
        <v>67</v>
      </c>
      <c r="E16" s="483">
        <f>'Sch. A'!M16</f>
        <v>-25</v>
      </c>
      <c r="F16" s="484">
        <f>ROUND((('Sch. A'!$D16+'Sch. A'!$D18)/('Sch. A'!$C16+'Sch. A'!$C18)*100),2)</f>
        <v>18.02</v>
      </c>
      <c r="G16" s="485">
        <f t="shared" si="0"/>
        <v>1.6000000000000001</v>
      </c>
      <c r="H16" s="478" t="s">
        <v>106</v>
      </c>
      <c r="I16" s="493"/>
      <c r="J16" s="811"/>
      <c r="K16" s="107"/>
      <c r="L16" s="108" t="str">
        <f t="shared" si="1"/>
        <v/>
      </c>
    </row>
    <row r="17" spans="1:12" ht="12.75">
      <c r="A17" s="63">
        <v>3762</v>
      </c>
      <c r="B17" s="105" t="s">
        <v>86</v>
      </c>
      <c r="C17" s="486">
        <v>2.2000000000000002</v>
      </c>
      <c r="D17" s="482">
        <f>'Sch. A'!L17</f>
        <v>43</v>
      </c>
      <c r="E17" s="483">
        <f>'Sch. A'!M17</f>
        <v>-40</v>
      </c>
      <c r="F17" s="484">
        <f>ROUND((+'Sch. A'!$D17/'Sch. A'!$C17*100),2)</f>
        <v>48.799999999999997</v>
      </c>
      <c r="G17" s="485">
        <f t="shared" si="0"/>
        <v>2.1000000000000001</v>
      </c>
      <c r="H17" s="478" t="s">
        <v>106</v>
      </c>
      <c r="I17" s="493"/>
      <c r="J17" s="811"/>
      <c r="K17" s="107"/>
      <c r="L17" s="108" t="str">
        <f t="shared" si="1"/>
        <v/>
      </c>
    </row>
    <row r="18" spans="1:12" ht="12.75">
      <c r="A18" s="63" t="s">
        <v>87</v>
      </c>
      <c r="B18" s="105" t="s">
        <v>88</v>
      </c>
      <c r="C18" s="486">
        <v>2.1000000000000001</v>
      </c>
      <c r="D18" s="482">
        <f>'Sch. A'!L18</f>
        <v>67</v>
      </c>
      <c r="E18" s="483">
        <f>'Sch. A'!M18</f>
        <v>-25</v>
      </c>
      <c r="F18" s="484">
        <f>F16</f>
        <v>18.02</v>
      </c>
      <c r="G18" s="485">
        <f t="shared" si="0"/>
        <v>1.6000000000000001</v>
      </c>
      <c r="H18" s="478" t="s">
        <v>106</v>
      </c>
      <c r="I18" s="493"/>
      <c r="J18" s="811"/>
      <c r="K18" s="107"/>
      <c r="L18" s="108"/>
    </row>
    <row r="19" spans="1:12" ht="12.75">
      <c r="A19" s="63">
        <v>378</v>
      </c>
      <c r="B19" s="105" t="s">
        <v>89</v>
      </c>
      <c r="C19" s="486">
        <v>3.5</v>
      </c>
      <c r="D19" s="482">
        <f>'Sch. A'!L19</f>
        <v>32</v>
      </c>
      <c r="E19" s="483">
        <f>'Sch. A'!M19</f>
        <v>-10</v>
      </c>
      <c r="F19" s="484">
        <f>ROUND((+'Sch. A'!$D19/'Sch. A'!$C19*100),2)</f>
        <v>24.710000000000001</v>
      </c>
      <c r="G19" s="485">
        <f t="shared" si="0"/>
        <v>2.7000000000000002</v>
      </c>
      <c r="H19" s="478" t="s">
        <v>106</v>
      </c>
      <c r="I19" s="493"/>
      <c r="J19" s="811"/>
      <c r="K19" s="107"/>
      <c r="L19" s="108" t="str">
        <f t="shared" si="1"/>
        <v/>
      </c>
    </row>
    <row r="20" spans="1:12" ht="25.5">
      <c r="A20" s="63">
        <v>379</v>
      </c>
      <c r="B20" s="105" t="s">
        <v>139</v>
      </c>
      <c r="C20" s="486">
        <v>3.1000000000000001</v>
      </c>
      <c r="D20" s="482">
        <f>'Sch. A'!L20</f>
        <v>28</v>
      </c>
      <c r="E20" s="483">
        <f>'Sch. A'!M20</f>
        <v>-10</v>
      </c>
      <c r="F20" s="484">
        <f>ROUND((+'Sch. A'!$D20/'Sch. A'!$C20*100),2)</f>
        <v>39.640000000000001</v>
      </c>
      <c r="G20" s="485">
        <f t="shared" si="0"/>
        <v>2.5</v>
      </c>
      <c r="H20" s="478" t="s">
        <v>106</v>
      </c>
      <c r="I20" s="493"/>
      <c r="J20" s="811"/>
      <c r="K20" s="107"/>
      <c r="L20" s="108" t="str">
        <f t="shared" si="1"/>
        <v/>
      </c>
    </row>
    <row r="21" spans="1:12" ht="12.75">
      <c r="A21" s="63">
        <v>3801</v>
      </c>
      <c r="B21" s="105" t="s">
        <v>92</v>
      </c>
      <c r="C21" s="486">
        <v>2.2000000000000002</v>
      </c>
      <c r="D21" s="482">
        <f>'Sch. A'!L21</f>
        <v>46</v>
      </c>
      <c r="E21" s="483">
        <f>'Sch. A'!M21</f>
        <v>-30</v>
      </c>
      <c r="F21" s="484">
        <f>ROUND((('Sch. A'!$D21+'Sch. A'!$D23)/('Sch. A'!$C21+'Sch. A'!$C23)*100),2)</f>
        <v>16</v>
      </c>
      <c r="G21" s="485">
        <f t="shared" si="0"/>
        <v>2.5</v>
      </c>
      <c r="H21" s="478" t="s">
        <v>106</v>
      </c>
      <c r="I21" s="493"/>
      <c r="J21" s="811"/>
      <c r="K21" s="107"/>
      <c r="L21" s="108" t="str">
        <f t="shared" si="1"/>
        <v/>
      </c>
    </row>
    <row r="22" spans="1:12" ht="12.75">
      <c r="A22" s="63">
        <v>3802</v>
      </c>
      <c r="B22" s="105" t="s">
        <v>93</v>
      </c>
      <c r="C22" s="486">
        <v>9.1999999999999993</v>
      </c>
      <c r="D22" s="482">
        <f>'Sch. A'!L22</f>
        <v>35</v>
      </c>
      <c r="E22" s="483">
        <f>'Sch. A'!M22</f>
        <v>-130</v>
      </c>
      <c r="F22" s="484">
        <f>ROUND((+'Sch. A'!$D22/'Sch. A'!$C22*100),2)</f>
        <v>106.92</v>
      </c>
      <c r="G22" s="485">
        <f t="shared" si="0"/>
        <v>3.5</v>
      </c>
      <c r="H22" s="478" t="s">
        <v>106</v>
      </c>
      <c r="I22" s="493"/>
      <c r="J22" s="811"/>
      <c r="K22" s="107"/>
      <c r="L22" s="108" t="str">
        <f t="shared" si="1"/>
        <v/>
      </c>
    </row>
    <row r="23" spans="1:12" ht="12.75">
      <c r="A23" s="63" t="s">
        <v>95</v>
      </c>
      <c r="B23" s="105" t="s">
        <v>96</v>
      </c>
      <c r="C23" s="486">
        <v>2.2000000000000002</v>
      </c>
      <c r="D23" s="482">
        <f>'Sch. A'!L23</f>
        <v>46</v>
      </c>
      <c r="E23" s="483">
        <f>'Sch. A'!M23</f>
        <v>-30</v>
      </c>
      <c r="F23" s="484">
        <f>F21</f>
        <v>16</v>
      </c>
      <c r="G23" s="485">
        <f t="shared" si="0"/>
        <v>2.5</v>
      </c>
      <c r="H23" s="478" t="s">
        <v>106</v>
      </c>
      <c r="I23" s="493"/>
      <c r="J23" s="811"/>
      <c r="K23" s="107"/>
      <c r="L23" s="108"/>
    </row>
    <row r="24" spans="1:12" ht="12.75">
      <c r="A24" s="63">
        <v>381</v>
      </c>
      <c r="B24" s="105" t="s">
        <v>97</v>
      </c>
      <c r="C24" s="486">
        <v>3.6000000000000001</v>
      </c>
      <c r="D24" s="482">
        <f>'Sch. A'!L24</f>
        <v>18.600000000000001</v>
      </c>
      <c r="E24" s="483">
        <f>'Sch. A'!M24</f>
        <v>0</v>
      </c>
      <c r="F24" s="484">
        <f>ROUND((+'Sch. A'!$D24/'Sch. A'!$C24*100),2)</f>
        <v>31.609999999999999</v>
      </c>
      <c r="G24" s="485">
        <f t="shared" si="0"/>
        <v>3.7000000000000002</v>
      </c>
      <c r="H24" s="478" t="s">
        <v>106</v>
      </c>
      <c r="I24" s="493"/>
      <c r="J24" s="811"/>
      <c r="K24" s="107"/>
      <c r="L24" s="108" t="str">
        <f t="shared" si="1"/>
        <v/>
      </c>
    </row>
    <row r="25" spans="1:12" ht="12.75">
      <c r="A25" s="63">
        <v>3811</v>
      </c>
      <c r="B25" s="105" t="s">
        <v>98</v>
      </c>
      <c r="C25" s="486">
        <v>4.2999999999999998</v>
      </c>
      <c r="D25" s="482">
        <f>'Sch. A'!L25</f>
        <v>16.699999999999999</v>
      </c>
      <c r="E25" s="483">
        <f>'Sch. A'!M25</f>
        <v>0</v>
      </c>
      <c r="F25" s="484">
        <f>ROUND((+'Sch. A'!$D25/'Sch. A'!$C25*100),2)</f>
        <v>63.079999999999998</v>
      </c>
      <c r="G25" s="485">
        <f t="shared" si="0"/>
        <v>2.2000000000000002</v>
      </c>
      <c r="H25" s="478" t="s">
        <v>106</v>
      </c>
      <c r="I25" s="493"/>
      <c r="J25" s="811"/>
      <c r="K25" s="107"/>
      <c r="L25" s="108" t="str">
        <f t="shared" si="1"/>
        <v/>
      </c>
    </row>
    <row r="26" spans="1:12" ht="12.75">
      <c r="A26" s="63">
        <v>382</v>
      </c>
      <c r="B26" s="105" t="s">
        <v>99</v>
      </c>
      <c r="C26" s="486">
        <v>3.2000000000000002</v>
      </c>
      <c r="D26" s="482">
        <f>'Sch. A'!L26</f>
        <v>35</v>
      </c>
      <c r="E26" s="483">
        <f>'Sch. A'!M26</f>
        <v>-20</v>
      </c>
      <c r="F26" s="484">
        <f>ROUND((+'Sch. A'!$D26/'Sch. A'!$C26*100),2)</f>
        <v>28.829999999999998</v>
      </c>
      <c r="G26" s="485">
        <f t="shared" si="0"/>
        <v>2.6000000000000001</v>
      </c>
      <c r="H26" s="478" t="s">
        <v>106</v>
      </c>
      <c r="I26" s="493"/>
      <c r="J26" s="811"/>
      <c r="K26" s="107"/>
      <c r="L26" s="108" t="str">
        <f t="shared" si="1"/>
        <v/>
      </c>
    </row>
    <row r="27" spans="1:12" ht="12.75">
      <c r="A27" s="63">
        <v>3821</v>
      </c>
      <c r="B27" s="105" t="s">
        <v>100</v>
      </c>
      <c r="C27" s="486">
        <v>2.6000000000000001</v>
      </c>
      <c r="D27" s="482">
        <f>'Sch. A'!L27</f>
        <v>33</v>
      </c>
      <c r="E27" s="483">
        <f>'Sch. A'!M27</f>
        <v>-20</v>
      </c>
      <c r="F27" s="484">
        <f>ROUND((+'Sch. A'!$D27/'Sch. A'!$C27*100),2)</f>
        <v>47.799999999999997</v>
      </c>
      <c r="G27" s="485">
        <f t="shared" si="0"/>
        <v>2.2000000000000002</v>
      </c>
      <c r="H27" s="478" t="s">
        <v>106</v>
      </c>
      <c r="I27" s="493"/>
      <c r="J27" s="811"/>
      <c r="K27" s="107"/>
      <c r="L27" s="108" t="str">
        <f t="shared" si="1"/>
        <v/>
      </c>
    </row>
    <row r="28" spans="1:12" ht="12.75">
      <c r="A28" s="63">
        <v>383</v>
      </c>
      <c r="B28" s="105" t="s">
        <v>101</v>
      </c>
      <c r="C28" s="486">
        <v>3.2999999999999998</v>
      </c>
      <c r="D28" s="482">
        <f>'Sch. A'!L28</f>
        <v>27</v>
      </c>
      <c r="E28" s="483">
        <f>'Sch. A'!M28</f>
        <v>0</v>
      </c>
      <c r="F28" s="484">
        <f>ROUND((+'Sch. A'!$D28/'Sch. A'!$C28*100),2)</f>
        <v>45.649999999999999</v>
      </c>
      <c r="G28" s="485">
        <f t="shared" si="0"/>
        <v>2</v>
      </c>
      <c r="H28" s="478" t="s">
        <v>106</v>
      </c>
      <c r="I28" s="493"/>
      <c r="J28" s="811"/>
      <c r="K28" s="107"/>
      <c r="L28" s="108" t="str">
        <f t="shared" si="1"/>
        <v/>
      </c>
    </row>
    <row r="29" spans="1:12" ht="12.75">
      <c r="A29" s="63">
        <v>384</v>
      </c>
      <c r="B29" s="105" t="s">
        <v>103</v>
      </c>
      <c r="C29" s="486">
        <v>2.7000000000000002</v>
      </c>
      <c r="D29" s="482">
        <f>'Sch. A'!L29</f>
        <v>23</v>
      </c>
      <c r="E29" s="483">
        <f>'Sch. A'!M29</f>
        <v>-20</v>
      </c>
      <c r="F29" s="484">
        <f>ROUND((+'Sch. A'!$D29/'Sch. A'!$C29*100),2)</f>
        <v>64.180000000000007</v>
      </c>
      <c r="G29" s="485">
        <f t="shared" si="0"/>
        <v>2.3999999999999999</v>
      </c>
      <c r="H29" s="478" t="s">
        <v>106</v>
      </c>
      <c r="I29" s="493"/>
      <c r="J29" s="811"/>
      <c r="K29" s="107"/>
      <c r="L29" s="108" t="str">
        <f t="shared" si="1"/>
        <v/>
      </c>
    </row>
    <row r="30" spans="1:12" ht="12.75">
      <c r="A30" s="63">
        <v>385</v>
      </c>
      <c r="B30" s="105" t="s">
        <v>104</v>
      </c>
      <c r="C30" s="486">
        <v>2.2999999999999998</v>
      </c>
      <c r="D30" s="482">
        <f>'Sch. A'!L30</f>
        <v>17.800000000000001</v>
      </c>
      <c r="E30" s="483">
        <f>'Sch. A'!M30</f>
        <v>0</v>
      </c>
      <c r="F30" s="484">
        <f>ROUND((+'Sch. A'!$D30/'Sch. A'!$C30*100),2)</f>
        <v>65.159999999999997</v>
      </c>
      <c r="G30" s="485">
        <f t="shared" si="0"/>
        <v>2</v>
      </c>
      <c r="H30" s="478" t="s">
        <v>106</v>
      </c>
      <c r="I30" s="493"/>
      <c r="J30" s="811"/>
      <c r="K30" s="107"/>
      <c r="L30" s="108" t="str">
        <f t="shared" si="1"/>
        <v/>
      </c>
    </row>
    <row r="31" spans="1:12" ht="12.75">
      <c r="A31" s="63">
        <v>387</v>
      </c>
      <c r="B31" s="105" t="s">
        <v>105</v>
      </c>
      <c r="C31" s="486">
        <v>4</v>
      </c>
      <c r="D31" s="482">
        <f>'Sch. A'!L31</f>
        <v>19.199999999999999</v>
      </c>
      <c r="E31" s="483">
        <f>'Sch. A'!M31</f>
        <v>0</v>
      </c>
      <c r="F31" s="484">
        <f>ROUND((+'Sch. A'!$D31/'Sch. A'!$C31*100),2)</f>
        <v>43.280000000000001</v>
      </c>
      <c r="G31" s="485">
        <f t="shared" si="0"/>
        <v>3</v>
      </c>
      <c r="H31" s="478" t="s">
        <v>106</v>
      </c>
      <c r="I31" s="493"/>
      <c r="J31" s="811"/>
      <c r="K31" s="107"/>
      <c r="L31" s="108" t="str">
        <f t="shared" si="1"/>
        <v/>
      </c>
    </row>
    <row r="32" spans="1:12" s="58" customFormat="1" ht="12.75">
      <c r="A32" s="52"/>
      <c r="B32" s="109"/>
      <c r="C32" s="487" t="s">
        <v>106</v>
      </c>
      <c r="D32" s="488" t="s">
        <v>106</v>
      </c>
      <c r="E32" s="489"/>
      <c r="F32" s="490" t="s">
        <v>106</v>
      </c>
      <c r="G32" s="489"/>
      <c r="H32" s="490"/>
      <c r="I32" s="763"/>
      <c r="J32" s="812"/>
      <c r="K32" s="110"/>
      <c r="L32" s="111"/>
    </row>
    <row r="33" spans="1:12" s="58" customFormat="1" ht="12.75">
      <c r="A33" s="59" t="s">
        <v>107</v>
      </c>
      <c r="B33" s="104"/>
      <c r="C33" s="491" t="s">
        <v>106</v>
      </c>
      <c r="D33" s="490" t="s">
        <v>106</v>
      </c>
      <c r="E33" s="492"/>
      <c r="F33" s="478" t="s">
        <v>106</v>
      </c>
      <c r="G33" s="492"/>
      <c r="H33" s="490"/>
      <c r="I33" s="769"/>
      <c r="J33" s="813"/>
      <c r="K33" s="112"/>
      <c r="L33" s="113"/>
    </row>
    <row r="34" spans="1:12" ht="12.75">
      <c r="A34" s="63">
        <v>390</v>
      </c>
      <c r="B34" s="105" t="s">
        <v>140</v>
      </c>
      <c r="C34" s="481">
        <v>2.2999999999999998</v>
      </c>
      <c r="D34" s="482">
        <f>'Sch. A'!L34</f>
        <v>35</v>
      </c>
      <c r="E34" s="483">
        <f>'Sch. A'!M34</f>
        <v>10</v>
      </c>
      <c r="F34" s="484">
        <f>ROUND((+'Sch. A'!$D34/'Sch. A'!$C34*100),2)</f>
        <v>7.8099999999999996</v>
      </c>
      <c r="G34" s="485">
        <f>ROUND((100-E34-F34)/D34,1)</f>
        <v>2.2999999999999998</v>
      </c>
      <c r="H34" s="476" t="s">
        <v>106</v>
      </c>
      <c r="I34" s="493"/>
      <c r="J34" s="811"/>
      <c r="K34" s="107"/>
      <c r="L34" s="108" t="str">
        <f t="shared" si="2" ref="L34:L48">IF(ISERR(ROUND((100-J34-K34)/I34,1)),"",ROUND((100-J34-K34)/I34,1))</f>
        <v/>
      </c>
    </row>
    <row r="35" spans="1:12" ht="12.75">
      <c r="A35" s="63">
        <v>3910</v>
      </c>
      <c r="B35" s="105" t="s">
        <v>109</v>
      </c>
      <c r="C35" s="876" t="s">
        <v>110</v>
      </c>
      <c r="D35" s="857"/>
      <c r="E35" s="857"/>
      <c r="F35" s="857"/>
      <c r="G35" s="857"/>
      <c r="H35" s="877"/>
      <c r="I35" s="493"/>
      <c r="J35" s="811"/>
      <c r="K35" s="107"/>
      <c r="L35" s="108" t="str">
        <f t="shared" si="2"/>
        <v/>
      </c>
    </row>
    <row r="36" spans="1:12" ht="12.75">
      <c r="A36" s="63">
        <v>3912</v>
      </c>
      <c r="B36" s="105" t="s">
        <v>141</v>
      </c>
      <c r="C36" s="876" t="s">
        <v>112</v>
      </c>
      <c r="D36" s="857"/>
      <c r="E36" s="857"/>
      <c r="F36" s="857"/>
      <c r="G36" s="857"/>
      <c r="H36" s="877"/>
      <c r="I36" s="493"/>
      <c r="J36" s="811"/>
      <c r="K36" s="107"/>
      <c r="L36" s="108" t="str">
        <f t="shared" si="2"/>
        <v/>
      </c>
    </row>
    <row r="37" spans="1:12" ht="12.75">
      <c r="A37" s="75">
        <v>3913</v>
      </c>
      <c r="B37" s="105" t="s">
        <v>113</v>
      </c>
      <c r="C37" s="876" t="s">
        <v>114</v>
      </c>
      <c r="D37" s="857"/>
      <c r="E37" s="857"/>
      <c r="F37" s="857"/>
      <c r="G37" s="857"/>
      <c r="H37" s="877"/>
      <c r="I37" s="493"/>
      <c r="J37" s="811"/>
      <c r="K37" s="107"/>
      <c r="L37" s="108" t="str">
        <f t="shared" si="2"/>
        <v/>
      </c>
    </row>
    <row r="38" spans="1:12" ht="12.75">
      <c r="A38" s="75">
        <v>3914</v>
      </c>
      <c r="B38" s="105" t="s">
        <v>115</v>
      </c>
      <c r="C38" s="876" t="s">
        <v>112</v>
      </c>
      <c r="D38" s="857"/>
      <c r="E38" s="857"/>
      <c r="F38" s="857"/>
      <c r="G38" s="857"/>
      <c r="H38" s="877"/>
      <c r="I38" s="493"/>
      <c r="J38" s="811"/>
      <c r="K38" s="107"/>
      <c r="L38" s="108"/>
    </row>
    <row r="39" spans="1:12" ht="12.75">
      <c r="A39" s="63">
        <v>3921</v>
      </c>
      <c r="B39" s="105" t="s">
        <v>116</v>
      </c>
      <c r="C39" s="486">
        <v>17.399999999999999</v>
      </c>
      <c r="D39" s="482">
        <f>'Sch. A'!L39</f>
        <v>9.0999999999999996</v>
      </c>
      <c r="E39" s="483">
        <f>'Sch. A'!M39</f>
        <v>10</v>
      </c>
      <c r="F39" s="484">
        <f>ROUND((+'Sch. A'!$D39/'Sch. A'!$C39*100),2)</f>
        <v>38.509999999999998</v>
      </c>
      <c r="G39" s="485">
        <f>ROUND((100-E39-F39)/D39,1)</f>
        <v>5.7000000000000002</v>
      </c>
      <c r="H39" s="478" t="s">
        <v>106</v>
      </c>
      <c r="I39" s="493"/>
      <c r="J39" s="811"/>
      <c r="K39" s="107"/>
      <c r="L39" s="108" t="str">
        <f t="shared" si="2"/>
        <v/>
      </c>
    </row>
    <row r="40" spans="1:12" ht="12.75">
      <c r="A40" s="63">
        <v>3922</v>
      </c>
      <c r="B40" s="105" t="s">
        <v>117</v>
      </c>
      <c r="C40" s="486">
        <v>8.4000000000000004</v>
      </c>
      <c r="D40" s="482">
        <f>'Sch. A'!L40</f>
        <v>6.4000000000000004</v>
      </c>
      <c r="E40" s="483">
        <f>'Sch. A'!M40</f>
        <v>20</v>
      </c>
      <c r="F40" s="484">
        <f>ROUND((+'Sch. A'!$D40/'Sch. A'!$C40*100),2)</f>
        <v>44.369999999999997</v>
      </c>
      <c r="G40" s="485">
        <f>ROUND((100-E40-F40)/D40,1)</f>
        <v>5.5999999999999996</v>
      </c>
      <c r="H40" s="478" t="s">
        <v>106</v>
      </c>
      <c r="I40" s="493"/>
      <c r="J40" s="811"/>
      <c r="K40" s="107"/>
      <c r="L40" s="108" t="str">
        <f t="shared" si="2"/>
        <v/>
      </c>
    </row>
    <row r="41" spans="1:12" ht="12.75">
      <c r="A41" s="63">
        <v>3923</v>
      </c>
      <c r="B41" s="105" t="s">
        <v>118</v>
      </c>
      <c r="C41" s="486">
        <v>8.1999999999999993</v>
      </c>
      <c r="D41" s="482">
        <f>'Sch. A'!L41</f>
        <v>11</v>
      </c>
      <c r="E41" s="483">
        <f>'Sch. A'!M41</f>
        <v>10</v>
      </c>
      <c r="F41" s="484"/>
      <c r="G41" s="485">
        <f>ROUND((100-E41-F41)/D41,1)</f>
        <v>8.1999999999999993</v>
      </c>
      <c r="H41" s="478" t="s">
        <v>106</v>
      </c>
      <c r="I41" s="493"/>
      <c r="J41" s="811"/>
      <c r="K41" s="114"/>
      <c r="L41" s="108"/>
    </row>
    <row r="42" spans="1:12" ht="12.75">
      <c r="A42" s="63">
        <v>3924</v>
      </c>
      <c r="B42" s="105" t="s">
        <v>119</v>
      </c>
      <c r="C42" s="486">
        <v>5.7999999999999998</v>
      </c>
      <c r="D42" s="482">
        <f>'Sch. A'!L42</f>
        <v>11.6</v>
      </c>
      <c r="E42" s="483">
        <f>'Sch. A'!M42</f>
        <v>0</v>
      </c>
      <c r="F42" s="484">
        <f>ROUND((+'Sch. A'!$D42/'Sch. A'!$C42*100),2)</f>
        <v>78.540000000000006</v>
      </c>
      <c r="G42" s="485">
        <f>ROUND((100-E42-F42)/D42,1)</f>
        <v>1.8999999999999999</v>
      </c>
      <c r="H42" s="478" t="s">
        <v>106</v>
      </c>
      <c r="I42" s="493"/>
      <c r="J42" s="811"/>
      <c r="K42" s="107"/>
      <c r="L42" s="108" t="str">
        <f t="shared" si="2"/>
        <v/>
      </c>
    </row>
    <row r="43" spans="1:12" ht="12.75">
      <c r="A43" s="63">
        <v>393</v>
      </c>
      <c r="B43" s="105" t="s">
        <v>120</v>
      </c>
      <c r="C43" s="876" t="s">
        <v>121</v>
      </c>
      <c r="D43" s="857"/>
      <c r="E43" s="857"/>
      <c r="F43" s="857"/>
      <c r="G43" s="857"/>
      <c r="H43" s="877"/>
      <c r="I43" s="493"/>
      <c r="J43" s="811"/>
      <c r="K43" s="107"/>
      <c r="L43" s="108" t="str">
        <f t="shared" si="2"/>
        <v/>
      </c>
    </row>
    <row r="44" spans="1:12" ht="12.75">
      <c r="A44" s="63">
        <v>394</v>
      </c>
      <c r="B44" s="105" t="s">
        <v>122</v>
      </c>
      <c r="C44" s="876" t="s">
        <v>123</v>
      </c>
      <c r="D44" s="857"/>
      <c r="E44" s="857"/>
      <c r="F44" s="857"/>
      <c r="G44" s="857"/>
      <c r="H44" s="877"/>
      <c r="I44" s="493"/>
      <c r="J44" s="811"/>
      <c r="K44" s="107"/>
      <c r="L44" s="108" t="str">
        <f t="shared" si="2"/>
        <v/>
      </c>
    </row>
    <row r="45" spans="1:12" ht="12.75">
      <c r="A45" s="63">
        <v>395</v>
      </c>
      <c r="B45" s="105" t="s">
        <v>124</v>
      </c>
      <c r="C45" s="876" t="s">
        <v>114</v>
      </c>
      <c r="D45" s="857"/>
      <c r="E45" s="857"/>
      <c r="F45" s="857"/>
      <c r="G45" s="857"/>
      <c r="H45" s="877"/>
      <c r="I45" s="493"/>
      <c r="J45" s="811"/>
      <c r="K45" s="114"/>
      <c r="L45" s="108"/>
    </row>
    <row r="46" spans="1:12" ht="12.75">
      <c r="A46" s="63">
        <v>396</v>
      </c>
      <c r="B46" s="105" t="s">
        <v>125</v>
      </c>
      <c r="C46" s="486">
        <v>5.0999999999999996</v>
      </c>
      <c r="D46" s="482">
        <f>'Sch. A'!L46</f>
        <v>9</v>
      </c>
      <c r="E46" s="483">
        <f>'Sch. A'!M46</f>
        <v>5</v>
      </c>
      <c r="F46" s="484">
        <f>ROUND((+'Sch. A'!$D46/'Sch. A'!$C46*100),2)</f>
        <v>59.090000000000003</v>
      </c>
      <c r="G46" s="485">
        <f>ROUND((100-E46-F46)/D46,1)</f>
        <v>4</v>
      </c>
      <c r="H46" s="478" t="s">
        <v>106</v>
      </c>
      <c r="I46" s="493"/>
      <c r="J46" s="811"/>
      <c r="K46" s="107"/>
      <c r="L46" s="108" t="str">
        <f t="shared" si="2"/>
        <v/>
      </c>
    </row>
    <row r="47" spans="1:12" ht="12.75">
      <c r="A47" s="63">
        <v>397</v>
      </c>
      <c r="B47" s="105" t="s">
        <v>126</v>
      </c>
      <c r="C47" s="876" t="s">
        <v>127</v>
      </c>
      <c r="D47" s="857"/>
      <c r="E47" s="857"/>
      <c r="F47" s="857"/>
      <c r="G47" s="857"/>
      <c r="H47" s="877"/>
      <c r="I47" s="493"/>
      <c r="J47" s="811"/>
      <c r="K47" s="107"/>
      <c r="L47" s="108" t="str">
        <f t="shared" si="2"/>
        <v/>
      </c>
    </row>
    <row r="48" spans="1:12" ht="12.75">
      <c r="A48" s="63">
        <v>398</v>
      </c>
      <c r="B48" s="105" t="s">
        <v>128</v>
      </c>
      <c r="C48" s="873" t="s">
        <v>129</v>
      </c>
      <c r="D48" s="874"/>
      <c r="E48" s="874"/>
      <c r="F48" s="874"/>
      <c r="G48" s="874"/>
      <c r="H48" s="875"/>
      <c r="I48" s="493"/>
      <c r="J48" s="811"/>
      <c r="K48" s="107"/>
      <c r="L48" s="108" t="str">
        <f t="shared" si="2"/>
        <v/>
      </c>
    </row>
    <row r="49" spans="1:12" ht="15" customHeight="1">
      <c r="A49" s="63">
        <v>399</v>
      </c>
      <c r="B49" s="115" t="s">
        <v>130</v>
      </c>
      <c r="C49" s="878" t="s">
        <v>142</v>
      </c>
      <c r="D49" s="878"/>
      <c r="E49" s="878"/>
      <c r="F49" s="878"/>
      <c r="G49" s="878"/>
      <c r="H49" s="878"/>
      <c r="I49" s="814"/>
      <c r="J49" s="814"/>
      <c r="K49" s="116"/>
      <c r="L49" s="117"/>
    </row>
    <row r="50" spans="1:12" ht="18.75" thickBot="1">
      <c r="A50" s="118"/>
      <c r="B50" s="119"/>
      <c r="C50" s="308"/>
      <c r="D50" s="85"/>
      <c r="E50" s="85"/>
      <c r="F50" s="85"/>
      <c r="G50" s="84"/>
      <c r="H50" s="85"/>
      <c r="I50" s="85"/>
      <c r="J50" s="85"/>
      <c r="K50" s="85"/>
      <c r="L50" s="87"/>
    </row>
    <row r="51" ht="18.75" thickTop="1"/>
  </sheetData>
  <mergeCells count="22">
    <mergeCell ref="C49:H49"/>
    <mergeCell ref="A5:L5"/>
    <mergeCell ref="A1:L1"/>
    <mergeCell ref="A2:L2"/>
    <mergeCell ref="A3:L3"/>
    <mergeCell ref="A4:L4"/>
    <mergeCell ref="G11:H11"/>
    <mergeCell ref="A7:B10"/>
    <mergeCell ref="D7:H7"/>
    <mergeCell ref="I7:L7"/>
    <mergeCell ref="G8:H8"/>
    <mergeCell ref="G9:H9"/>
    <mergeCell ref="G10:H10"/>
    <mergeCell ref="C44:H44"/>
    <mergeCell ref="C45:H45"/>
    <mergeCell ref="C47:H47"/>
    <mergeCell ref="C48:H48"/>
    <mergeCell ref="C35:H35"/>
    <mergeCell ref="C36:H36"/>
    <mergeCell ref="C37:H37"/>
    <mergeCell ref="C38:H38"/>
    <mergeCell ref="C43:H43"/>
  </mergeCells>
  <printOptions horizontalCentered="1"/>
  <pageMargins left="0.5" right="0.5" top="1.05" bottom="0.5" header="0.5" footer="0.2"/>
  <pageSetup fitToWidth="0" orientation="landscape" scale="75" r:id="rId1"/>
  <headerFooter>
    <oddHeader>&amp;L&amp;"Arial,Bold"&amp;12Florida Public Utilities Natural Gas Division
2023 Consolidated Depreciation Study Workbook
Docket No. 20220067&amp;R&amp;"Arial,Bold"&amp;12Revised Exhibit PSL-2
Page &amp;P of 93
Schedule B</oddHeader>
    <oddFooter>&amp;C&amp;A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78"/>
  <sheetViews>
    <sheetView workbookViewId="0" topLeftCell="A33">
      <selection pane="topLeft" activeCell="J53" sqref="J53"/>
    </sheetView>
  </sheetViews>
  <sheetFormatPr defaultColWidth="11.8542857142857" defaultRowHeight="18"/>
  <cols>
    <col min="1" max="1" width="7.57142857142857" style="88" customWidth="1"/>
    <col min="2" max="2" width="37.8571428571429" style="120" bestFit="1" customWidth="1"/>
    <col min="3" max="3" width="12.4285714285714" style="88" bestFit="1" customWidth="1"/>
    <col min="4" max="4" width="1.85714285714286" style="88" customWidth="1"/>
    <col min="5" max="5" width="11.8571428571429" style="88" bestFit="1" customWidth="1"/>
    <col min="6" max="6" width="3.42857142857143" style="686" customWidth="1"/>
    <col min="7" max="7" width="5.57142857142857" style="89" bestFit="1" customWidth="1"/>
    <col min="8" max="8" width="10.4285714285714" style="89" bestFit="1" customWidth="1"/>
    <col min="9" max="9" width="5.57142857142857" style="89" bestFit="1" customWidth="1"/>
    <col min="10" max="10" width="10.4285714285714" style="89" bestFit="1" customWidth="1"/>
    <col min="11" max="11" width="1.57142857142857" style="89" customWidth="1"/>
    <col min="12" max="12" width="12.5714285714286" style="90" bestFit="1" customWidth="1"/>
    <col min="13" max="13" width="5.57142857142857" style="89" bestFit="1" customWidth="1"/>
    <col min="14" max="14" width="10.4285714285714" style="89" bestFit="1" customWidth="1"/>
    <col min="15" max="15" width="12.5714285714286" style="90" bestFit="1" customWidth="1"/>
    <col min="16" max="257" width="11.8571428571429" style="26"/>
    <col min="258" max="258" width="7.57142857142857" style="26" customWidth="1"/>
    <col min="259" max="259" width="37.8571428571429" style="26" bestFit="1" customWidth="1"/>
    <col min="260" max="260" width="15.5714285714286" style="26" customWidth="1"/>
    <col min="261" max="261" width="1.85714285714286" style="26" customWidth="1"/>
    <col min="262" max="262" width="15.8571428571429" style="26" customWidth="1"/>
    <col min="263" max="263" width="7" style="26" customWidth="1"/>
    <col min="264" max="264" width="11.2857142857143" style="26" customWidth="1"/>
    <col min="265" max="265" width="7" style="26" customWidth="1"/>
    <col min="266" max="266" width="11.2857142857143" style="26" customWidth="1"/>
    <col min="267" max="267" width="1.57142857142857" style="26" customWidth="1"/>
    <col min="268" max="268" width="13.4285714285714" style="26" bestFit="1" customWidth="1"/>
    <col min="269" max="269" width="8.42857142857143" style="26" customWidth="1"/>
    <col min="270" max="270" width="11.2857142857143" style="26" customWidth="1"/>
    <col min="271" max="271" width="13.4285714285714" style="26" bestFit="1" customWidth="1"/>
    <col min="272" max="513" width="11.8571428571429" style="26"/>
    <col min="514" max="514" width="7.57142857142857" style="26" customWidth="1"/>
    <col min="515" max="515" width="37.8571428571429" style="26" bestFit="1" customWidth="1"/>
    <col min="516" max="516" width="15.5714285714286" style="26" customWidth="1"/>
    <col min="517" max="517" width="1.85714285714286" style="26" customWidth="1"/>
    <col min="518" max="518" width="15.8571428571429" style="26" customWidth="1"/>
    <col min="519" max="519" width="7" style="26" customWidth="1"/>
    <col min="520" max="520" width="11.2857142857143" style="26" customWidth="1"/>
    <col min="521" max="521" width="7" style="26" customWidth="1"/>
    <col min="522" max="522" width="11.2857142857143" style="26" customWidth="1"/>
    <col min="523" max="523" width="1.57142857142857" style="26" customWidth="1"/>
    <col min="524" max="524" width="13.4285714285714" style="26" bestFit="1" customWidth="1"/>
    <col min="525" max="525" width="8.42857142857143" style="26" customWidth="1"/>
    <col min="526" max="526" width="11.2857142857143" style="26" customWidth="1"/>
    <col min="527" max="527" width="13.4285714285714" style="26" bestFit="1" customWidth="1"/>
    <col min="528" max="769" width="11.8571428571429" style="26"/>
    <col min="770" max="770" width="7.57142857142857" style="26" customWidth="1"/>
    <col min="771" max="771" width="37.8571428571429" style="26" bestFit="1" customWidth="1"/>
    <col min="772" max="772" width="15.5714285714286" style="26" customWidth="1"/>
    <col min="773" max="773" width="1.85714285714286" style="26" customWidth="1"/>
    <col min="774" max="774" width="15.8571428571429" style="26" customWidth="1"/>
    <col min="775" max="775" width="7" style="26" customWidth="1"/>
    <col min="776" max="776" width="11.2857142857143" style="26" customWidth="1"/>
    <col min="777" max="777" width="7" style="26" customWidth="1"/>
    <col min="778" max="778" width="11.2857142857143" style="26" customWidth="1"/>
    <col min="779" max="779" width="1.57142857142857" style="26" customWidth="1"/>
    <col min="780" max="780" width="13.4285714285714" style="26" bestFit="1" customWidth="1"/>
    <col min="781" max="781" width="8.42857142857143" style="26" customWidth="1"/>
    <col min="782" max="782" width="11.2857142857143" style="26" customWidth="1"/>
    <col min="783" max="783" width="13.4285714285714" style="26" bestFit="1" customWidth="1"/>
    <col min="784" max="1025" width="11.8571428571429" style="26"/>
    <col min="1026" max="1026" width="7.57142857142857" style="26" customWidth="1"/>
    <col min="1027" max="1027" width="37.8571428571429" style="26" bestFit="1" customWidth="1"/>
    <col min="1028" max="1028" width="15.5714285714286" style="26" customWidth="1"/>
    <col min="1029" max="1029" width="1.85714285714286" style="26" customWidth="1"/>
    <col min="1030" max="1030" width="15.8571428571429" style="26" customWidth="1"/>
    <col min="1031" max="1031" width="7" style="26" customWidth="1"/>
    <col min="1032" max="1032" width="11.2857142857143" style="26" customWidth="1"/>
    <col min="1033" max="1033" width="7" style="26" customWidth="1"/>
    <col min="1034" max="1034" width="11.2857142857143" style="26" customWidth="1"/>
    <col min="1035" max="1035" width="1.57142857142857" style="26" customWidth="1"/>
    <col min="1036" max="1036" width="13.4285714285714" style="26" bestFit="1" customWidth="1"/>
    <col min="1037" max="1037" width="8.42857142857143" style="26" customWidth="1"/>
    <col min="1038" max="1038" width="11.2857142857143" style="26" customWidth="1"/>
    <col min="1039" max="1039" width="13.4285714285714" style="26" bestFit="1" customWidth="1"/>
    <col min="1040" max="1281" width="11.8571428571429" style="26"/>
    <col min="1282" max="1282" width="7.57142857142857" style="26" customWidth="1"/>
    <col min="1283" max="1283" width="37.8571428571429" style="26" bestFit="1" customWidth="1"/>
    <col min="1284" max="1284" width="15.5714285714286" style="26" customWidth="1"/>
    <col min="1285" max="1285" width="1.85714285714286" style="26" customWidth="1"/>
    <col min="1286" max="1286" width="15.8571428571429" style="26" customWidth="1"/>
    <col min="1287" max="1287" width="7" style="26" customWidth="1"/>
    <col min="1288" max="1288" width="11.2857142857143" style="26" customWidth="1"/>
    <col min="1289" max="1289" width="7" style="26" customWidth="1"/>
    <col min="1290" max="1290" width="11.2857142857143" style="26" customWidth="1"/>
    <col min="1291" max="1291" width="1.57142857142857" style="26" customWidth="1"/>
    <col min="1292" max="1292" width="13.4285714285714" style="26" bestFit="1" customWidth="1"/>
    <col min="1293" max="1293" width="8.42857142857143" style="26" customWidth="1"/>
    <col min="1294" max="1294" width="11.2857142857143" style="26" customWidth="1"/>
    <col min="1295" max="1295" width="13.4285714285714" style="26" bestFit="1" customWidth="1"/>
    <col min="1296" max="1537" width="11.8571428571429" style="26"/>
    <col min="1538" max="1538" width="7.57142857142857" style="26" customWidth="1"/>
    <col min="1539" max="1539" width="37.8571428571429" style="26" bestFit="1" customWidth="1"/>
    <col min="1540" max="1540" width="15.5714285714286" style="26" customWidth="1"/>
    <col min="1541" max="1541" width="1.85714285714286" style="26" customWidth="1"/>
    <col min="1542" max="1542" width="15.8571428571429" style="26" customWidth="1"/>
    <col min="1543" max="1543" width="7" style="26" customWidth="1"/>
    <col min="1544" max="1544" width="11.2857142857143" style="26" customWidth="1"/>
    <col min="1545" max="1545" width="7" style="26" customWidth="1"/>
    <col min="1546" max="1546" width="11.2857142857143" style="26" customWidth="1"/>
    <col min="1547" max="1547" width="1.57142857142857" style="26" customWidth="1"/>
    <col min="1548" max="1548" width="13.4285714285714" style="26" bestFit="1" customWidth="1"/>
    <col min="1549" max="1549" width="8.42857142857143" style="26" customWidth="1"/>
    <col min="1550" max="1550" width="11.2857142857143" style="26" customWidth="1"/>
    <col min="1551" max="1551" width="13.4285714285714" style="26" bestFit="1" customWidth="1"/>
    <col min="1552" max="1793" width="11.8571428571429" style="26"/>
    <col min="1794" max="1794" width="7.57142857142857" style="26" customWidth="1"/>
    <col min="1795" max="1795" width="37.8571428571429" style="26" bestFit="1" customWidth="1"/>
    <col min="1796" max="1796" width="15.5714285714286" style="26" customWidth="1"/>
    <col min="1797" max="1797" width="1.85714285714286" style="26" customWidth="1"/>
    <col min="1798" max="1798" width="15.8571428571429" style="26" customWidth="1"/>
    <col min="1799" max="1799" width="7" style="26" customWidth="1"/>
    <col min="1800" max="1800" width="11.2857142857143" style="26" customWidth="1"/>
    <col min="1801" max="1801" width="7" style="26" customWidth="1"/>
    <col min="1802" max="1802" width="11.2857142857143" style="26" customWidth="1"/>
    <col min="1803" max="1803" width="1.57142857142857" style="26" customWidth="1"/>
    <col min="1804" max="1804" width="13.4285714285714" style="26" bestFit="1" customWidth="1"/>
    <col min="1805" max="1805" width="8.42857142857143" style="26" customWidth="1"/>
    <col min="1806" max="1806" width="11.2857142857143" style="26" customWidth="1"/>
    <col min="1807" max="1807" width="13.4285714285714" style="26" bestFit="1" customWidth="1"/>
    <col min="1808" max="2049" width="11.8571428571429" style="26"/>
    <col min="2050" max="2050" width="7.57142857142857" style="26" customWidth="1"/>
    <col min="2051" max="2051" width="37.8571428571429" style="26" bestFit="1" customWidth="1"/>
    <col min="2052" max="2052" width="15.5714285714286" style="26" customWidth="1"/>
    <col min="2053" max="2053" width="1.85714285714286" style="26" customWidth="1"/>
    <col min="2054" max="2054" width="15.8571428571429" style="26" customWidth="1"/>
    <col min="2055" max="2055" width="7" style="26" customWidth="1"/>
    <col min="2056" max="2056" width="11.2857142857143" style="26" customWidth="1"/>
    <col min="2057" max="2057" width="7" style="26" customWidth="1"/>
    <col min="2058" max="2058" width="11.2857142857143" style="26" customWidth="1"/>
    <col min="2059" max="2059" width="1.57142857142857" style="26" customWidth="1"/>
    <col min="2060" max="2060" width="13.4285714285714" style="26" bestFit="1" customWidth="1"/>
    <col min="2061" max="2061" width="8.42857142857143" style="26" customWidth="1"/>
    <col min="2062" max="2062" width="11.2857142857143" style="26" customWidth="1"/>
    <col min="2063" max="2063" width="13.4285714285714" style="26" bestFit="1" customWidth="1"/>
    <col min="2064" max="2305" width="11.8571428571429" style="26"/>
    <col min="2306" max="2306" width="7.57142857142857" style="26" customWidth="1"/>
    <col min="2307" max="2307" width="37.8571428571429" style="26" bestFit="1" customWidth="1"/>
    <col min="2308" max="2308" width="15.5714285714286" style="26" customWidth="1"/>
    <col min="2309" max="2309" width="1.85714285714286" style="26" customWidth="1"/>
    <col min="2310" max="2310" width="15.8571428571429" style="26" customWidth="1"/>
    <col min="2311" max="2311" width="7" style="26" customWidth="1"/>
    <col min="2312" max="2312" width="11.2857142857143" style="26" customWidth="1"/>
    <col min="2313" max="2313" width="7" style="26" customWidth="1"/>
    <col min="2314" max="2314" width="11.2857142857143" style="26" customWidth="1"/>
    <col min="2315" max="2315" width="1.57142857142857" style="26" customWidth="1"/>
    <col min="2316" max="2316" width="13.4285714285714" style="26" bestFit="1" customWidth="1"/>
    <col min="2317" max="2317" width="8.42857142857143" style="26" customWidth="1"/>
    <col min="2318" max="2318" width="11.2857142857143" style="26" customWidth="1"/>
    <col min="2319" max="2319" width="13.4285714285714" style="26" bestFit="1" customWidth="1"/>
    <col min="2320" max="2561" width="11.8571428571429" style="26"/>
    <col min="2562" max="2562" width="7.57142857142857" style="26" customWidth="1"/>
    <col min="2563" max="2563" width="37.8571428571429" style="26" bestFit="1" customWidth="1"/>
    <col min="2564" max="2564" width="15.5714285714286" style="26" customWidth="1"/>
    <col min="2565" max="2565" width="1.85714285714286" style="26" customWidth="1"/>
    <col min="2566" max="2566" width="15.8571428571429" style="26" customWidth="1"/>
    <col min="2567" max="2567" width="7" style="26" customWidth="1"/>
    <col min="2568" max="2568" width="11.2857142857143" style="26" customWidth="1"/>
    <col min="2569" max="2569" width="7" style="26" customWidth="1"/>
    <col min="2570" max="2570" width="11.2857142857143" style="26" customWidth="1"/>
    <col min="2571" max="2571" width="1.57142857142857" style="26" customWidth="1"/>
    <col min="2572" max="2572" width="13.4285714285714" style="26" bestFit="1" customWidth="1"/>
    <col min="2573" max="2573" width="8.42857142857143" style="26" customWidth="1"/>
    <col min="2574" max="2574" width="11.2857142857143" style="26" customWidth="1"/>
    <col min="2575" max="2575" width="13.4285714285714" style="26" bestFit="1" customWidth="1"/>
    <col min="2576" max="2817" width="11.8571428571429" style="26"/>
    <col min="2818" max="2818" width="7.57142857142857" style="26" customWidth="1"/>
    <col min="2819" max="2819" width="37.8571428571429" style="26" bestFit="1" customWidth="1"/>
    <col min="2820" max="2820" width="15.5714285714286" style="26" customWidth="1"/>
    <col min="2821" max="2821" width="1.85714285714286" style="26" customWidth="1"/>
    <col min="2822" max="2822" width="15.8571428571429" style="26" customWidth="1"/>
    <col min="2823" max="2823" width="7" style="26" customWidth="1"/>
    <col min="2824" max="2824" width="11.2857142857143" style="26" customWidth="1"/>
    <col min="2825" max="2825" width="7" style="26" customWidth="1"/>
    <col min="2826" max="2826" width="11.2857142857143" style="26" customWidth="1"/>
    <col min="2827" max="2827" width="1.57142857142857" style="26" customWidth="1"/>
    <col min="2828" max="2828" width="13.4285714285714" style="26" bestFit="1" customWidth="1"/>
    <col min="2829" max="2829" width="8.42857142857143" style="26" customWidth="1"/>
    <col min="2830" max="2830" width="11.2857142857143" style="26" customWidth="1"/>
    <col min="2831" max="2831" width="13.4285714285714" style="26" bestFit="1" customWidth="1"/>
    <col min="2832" max="3073" width="11.8571428571429" style="26"/>
    <col min="3074" max="3074" width="7.57142857142857" style="26" customWidth="1"/>
    <col min="3075" max="3075" width="37.8571428571429" style="26" bestFit="1" customWidth="1"/>
    <col min="3076" max="3076" width="15.5714285714286" style="26" customWidth="1"/>
    <col min="3077" max="3077" width="1.85714285714286" style="26" customWidth="1"/>
    <col min="3078" max="3078" width="15.8571428571429" style="26" customWidth="1"/>
    <col min="3079" max="3079" width="7" style="26" customWidth="1"/>
    <col min="3080" max="3080" width="11.2857142857143" style="26" customWidth="1"/>
    <col min="3081" max="3081" width="7" style="26" customWidth="1"/>
    <col min="3082" max="3082" width="11.2857142857143" style="26" customWidth="1"/>
    <col min="3083" max="3083" width="1.57142857142857" style="26" customWidth="1"/>
    <col min="3084" max="3084" width="13.4285714285714" style="26" bestFit="1" customWidth="1"/>
    <col min="3085" max="3085" width="8.42857142857143" style="26" customWidth="1"/>
    <col min="3086" max="3086" width="11.2857142857143" style="26" customWidth="1"/>
    <col min="3087" max="3087" width="13.4285714285714" style="26" bestFit="1" customWidth="1"/>
    <col min="3088" max="3329" width="11.8571428571429" style="26"/>
    <col min="3330" max="3330" width="7.57142857142857" style="26" customWidth="1"/>
    <col min="3331" max="3331" width="37.8571428571429" style="26" bestFit="1" customWidth="1"/>
    <col min="3332" max="3332" width="15.5714285714286" style="26" customWidth="1"/>
    <col min="3333" max="3333" width="1.85714285714286" style="26" customWidth="1"/>
    <col min="3334" max="3334" width="15.8571428571429" style="26" customWidth="1"/>
    <col min="3335" max="3335" width="7" style="26" customWidth="1"/>
    <col min="3336" max="3336" width="11.2857142857143" style="26" customWidth="1"/>
    <col min="3337" max="3337" width="7" style="26" customWidth="1"/>
    <col min="3338" max="3338" width="11.2857142857143" style="26" customWidth="1"/>
    <col min="3339" max="3339" width="1.57142857142857" style="26" customWidth="1"/>
    <col min="3340" max="3340" width="13.4285714285714" style="26" bestFit="1" customWidth="1"/>
    <col min="3341" max="3341" width="8.42857142857143" style="26" customWidth="1"/>
    <col min="3342" max="3342" width="11.2857142857143" style="26" customWidth="1"/>
    <col min="3343" max="3343" width="13.4285714285714" style="26" bestFit="1" customWidth="1"/>
    <col min="3344" max="3585" width="11.8571428571429" style="26"/>
    <col min="3586" max="3586" width="7.57142857142857" style="26" customWidth="1"/>
    <col min="3587" max="3587" width="37.8571428571429" style="26" bestFit="1" customWidth="1"/>
    <col min="3588" max="3588" width="15.5714285714286" style="26" customWidth="1"/>
    <col min="3589" max="3589" width="1.85714285714286" style="26" customWidth="1"/>
    <col min="3590" max="3590" width="15.8571428571429" style="26" customWidth="1"/>
    <col min="3591" max="3591" width="7" style="26" customWidth="1"/>
    <col min="3592" max="3592" width="11.2857142857143" style="26" customWidth="1"/>
    <col min="3593" max="3593" width="7" style="26" customWidth="1"/>
    <col min="3594" max="3594" width="11.2857142857143" style="26" customWidth="1"/>
    <col min="3595" max="3595" width="1.57142857142857" style="26" customWidth="1"/>
    <col min="3596" max="3596" width="13.4285714285714" style="26" bestFit="1" customWidth="1"/>
    <col min="3597" max="3597" width="8.42857142857143" style="26" customWidth="1"/>
    <col min="3598" max="3598" width="11.2857142857143" style="26" customWidth="1"/>
    <col min="3599" max="3599" width="13.4285714285714" style="26" bestFit="1" customWidth="1"/>
    <col min="3600" max="3841" width="11.8571428571429" style="26"/>
    <col min="3842" max="3842" width="7.57142857142857" style="26" customWidth="1"/>
    <col min="3843" max="3843" width="37.8571428571429" style="26" bestFit="1" customWidth="1"/>
    <col min="3844" max="3844" width="15.5714285714286" style="26" customWidth="1"/>
    <col min="3845" max="3845" width="1.85714285714286" style="26" customWidth="1"/>
    <col min="3846" max="3846" width="15.8571428571429" style="26" customWidth="1"/>
    <col min="3847" max="3847" width="7" style="26" customWidth="1"/>
    <col min="3848" max="3848" width="11.2857142857143" style="26" customWidth="1"/>
    <col min="3849" max="3849" width="7" style="26" customWidth="1"/>
    <col min="3850" max="3850" width="11.2857142857143" style="26" customWidth="1"/>
    <col min="3851" max="3851" width="1.57142857142857" style="26" customWidth="1"/>
    <col min="3852" max="3852" width="13.4285714285714" style="26" bestFit="1" customWidth="1"/>
    <col min="3853" max="3853" width="8.42857142857143" style="26" customWidth="1"/>
    <col min="3854" max="3854" width="11.2857142857143" style="26" customWidth="1"/>
    <col min="3855" max="3855" width="13.4285714285714" style="26" bestFit="1" customWidth="1"/>
    <col min="3856" max="4097" width="11.8571428571429" style="26"/>
    <col min="4098" max="4098" width="7.57142857142857" style="26" customWidth="1"/>
    <col min="4099" max="4099" width="37.8571428571429" style="26" bestFit="1" customWidth="1"/>
    <col min="4100" max="4100" width="15.5714285714286" style="26" customWidth="1"/>
    <col min="4101" max="4101" width="1.85714285714286" style="26" customWidth="1"/>
    <col min="4102" max="4102" width="15.8571428571429" style="26" customWidth="1"/>
    <col min="4103" max="4103" width="7" style="26" customWidth="1"/>
    <col min="4104" max="4104" width="11.2857142857143" style="26" customWidth="1"/>
    <col min="4105" max="4105" width="7" style="26" customWidth="1"/>
    <col min="4106" max="4106" width="11.2857142857143" style="26" customWidth="1"/>
    <col min="4107" max="4107" width="1.57142857142857" style="26" customWidth="1"/>
    <col min="4108" max="4108" width="13.4285714285714" style="26" bestFit="1" customWidth="1"/>
    <col min="4109" max="4109" width="8.42857142857143" style="26" customWidth="1"/>
    <col min="4110" max="4110" width="11.2857142857143" style="26" customWidth="1"/>
    <col min="4111" max="4111" width="13.4285714285714" style="26" bestFit="1" customWidth="1"/>
    <col min="4112" max="4353" width="11.8571428571429" style="26"/>
    <col min="4354" max="4354" width="7.57142857142857" style="26" customWidth="1"/>
    <col min="4355" max="4355" width="37.8571428571429" style="26" bestFit="1" customWidth="1"/>
    <col min="4356" max="4356" width="15.5714285714286" style="26" customWidth="1"/>
    <col min="4357" max="4357" width="1.85714285714286" style="26" customWidth="1"/>
    <col min="4358" max="4358" width="15.8571428571429" style="26" customWidth="1"/>
    <col min="4359" max="4359" width="7" style="26" customWidth="1"/>
    <col min="4360" max="4360" width="11.2857142857143" style="26" customWidth="1"/>
    <col min="4361" max="4361" width="7" style="26" customWidth="1"/>
    <col min="4362" max="4362" width="11.2857142857143" style="26" customWidth="1"/>
    <col min="4363" max="4363" width="1.57142857142857" style="26" customWidth="1"/>
    <col min="4364" max="4364" width="13.4285714285714" style="26" bestFit="1" customWidth="1"/>
    <col min="4365" max="4365" width="8.42857142857143" style="26" customWidth="1"/>
    <col min="4366" max="4366" width="11.2857142857143" style="26" customWidth="1"/>
    <col min="4367" max="4367" width="13.4285714285714" style="26" bestFit="1" customWidth="1"/>
    <col min="4368" max="4609" width="11.8571428571429" style="26"/>
    <col min="4610" max="4610" width="7.57142857142857" style="26" customWidth="1"/>
    <col min="4611" max="4611" width="37.8571428571429" style="26" bestFit="1" customWidth="1"/>
    <col min="4612" max="4612" width="15.5714285714286" style="26" customWidth="1"/>
    <col min="4613" max="4613" width="1.85714285714286" style="26" customWidth="1"/>
    <col min="4614" max="4614" width="15.8571428571429" style="26" customWidth="1"/>
    <col min="4615" max="4615" width="7" style="26" customWidth="1"/>
    <col min="4616" max="4616" width="11.2857142857143" style="26" customWidth="1"/>
    <col min="4617" max="4617" width="7" style="26" customWidth="1"/>
    <col min="4618" max="4618" width="11.2857142857143" style="26" customWidth="1"/>
    <col min="4619" max="4619" width="1.57142857142857" style="26" customWidth="1"/>
    <col min="4620" max="4620" width="13.4285714285714" style="26" bestFit="1" customWidth="1"/>
    <col min="4621" max="4621" width="8.42857142857143" style="26" customWidth="1"/>
    <col min="4622" max="4622" width="11.2857142857143" style="26" customWidth="1"/>
    <col min="4623" max="4623" width="13.4285714285714" style="26" bestFit="1" customWidth="1"/>
    <col min="4624" max="4865" width="11.8571428571429" style="26"/>
    <col min="4866" max="4866" width="7.57142857142857" style="26" customWidth="1"/>
    <col min="4867" max="4867" width="37.8571428571429" style="26" bestFit="1" customWidth="1"/>
    <col min="4868" max="4868" width="15.5714285714286" style="26" customWidth="1"/>
    <col min="4869" max="4869" width="1.85714285714286" style="26" customWidth="1"/>
    <col min="4870" max="4870" width="15.8571428571429" style="26" customWidth="1"/>
    <col min="4871" max="4871" width="7" style="26" customWidth="1"/>
    <col min="4872" max="4872" width="11.2857142857143" style="26" customWidth="1"/>
    <col min="4873" max="4873" width="7" style="26" customWidth="1"/>
    <col min="4874" max="4874" width="11.2857142857143" style="26" customWidth="1"/>
    <col min="4875" max="4875" width="1.57142857142857" style="26" customWidth="1"/>
    <col min="4876" max="4876" width="13.4285714285714" style="26" bestFit="1" customWidth="1"/>
    <col min="4877" max="4877" width="8.42857142857143" style="26" customWidth="1"/>
    <col min="4878" max="4878" width="11.2857142857143" style="26" customWidth="1"/>
    <col min="4879" max="4879" width="13.4285714285714" style="26" bestFit="1" customWidth="1"/>
    <col min="4880" max="5121" width="11.8571428571429" style="26"/>
    <col min="5122" max="5122" width="7.57142857142857" style="26" customWidth="1"/>
    <col min="5123" max="5123" width="37.8571428571429" style="26" bestFit="1" customWidth="1"/>
    <col min="5124" max="5124" width="15.5714285714286" style="26" customWidth="1"/>
    <col min="5125" max="5125" width="1.85714285714286" style="26" customWidth="1"/>
    <col min="5126" max="5126" width="15.8571428571429" style="26" customWidth="1"/>
    <col min="5127" max="5127" width="7" style="26" customWidth="1"/>
    <col min="5128" max="5128" width="11.2857142857143" style="26" customWidth="1"/>
    <col min="5129" max="5129" width="7" style="26" customWidth="1"/>
    <col min="5130" max="5130" width="11.2857142857143" style="26" customWidth="1"/>
    <col min="5131" max="5131" width="1.57142857142857" style="26" customWidth="1"/>
    <col min="5132" max="5132" width="13.4285714285714" style="26" bestFit="1" customWidth="1"/>
    <col min="5133" max="5133" width="8.42857142857143" style="26" customWidth="1"/>
    <col min="5134" max="5134" width="11.2857142857143" style="26" customWidth="1"/>
    <col min="5135" max="5135" width="13.4285714285714" style="26" bestFit="1" customWidth="1"/>
    <col min="5136" max="5377" width="11.8571428571429" style="26"/>
    <col min="5378" max="5378" width="7.57142857142857" style="26" customWidth="1"/>
    <col min="5379" max="5379" width="37.8571428571429" style="26" bestFit="1" customWidth="1"/>
    <col min="5380" max="5380" width="15.5714285714286" style="26" customWidth="1"/>
    <col min="5381" max="5381" width="1.85714285714286" style="26" customWidth="1"/>
    <col min="5382" max="5382" width="15.8571428571429" style="26" customWidth="1"/>
    <col min="5383" max="5383" width="7" style="26" customWidth="1"/>
    <col min="5384" max="5384" width="11.2857142857143" style="26" customWidth="1"/>
    <col min="5385" max="5385" width="7" style="26" customWidth="1"/>
    <col min="5386" max="5386" width="11.2857142857143" style="26" customWidth="1"/>
    <col min="5387" max="5387" width="1.57142857142857" style="26" customWidth="1"/>
    <col min="5388" max="5388" width="13.4285714285714" style="26" bestFit="1" customWidth="1"/>
    <col min="5389" max="5389" width="8.42857142857143" style="26" customWidth="1"/>
    <col min="5390" max="5390" width="11.2857142857143" style="26" customWidth="1"/>
    <col min="5391" max="5391" width="13.4285714285714" style="26" bestFit="1" customWidth="1"/>
    <col min="5392" max="5633" width="11.8571428571429" style="26"/>
    <col min="5634" max="5634" width="7.57142857142857" style="26" customWidth="1"/>
    <col min="5635" max="5635" width="37.8571428571429" style="26" bestFit="1" customWidth="1"/>
    <col min="5636" max="5636" width="15.5714285714286" style="26" customWidth="1"/>
    <col min="5637" max="5637" width="1.85714285714286" style="26" customWidth="1"/>
    <col min="5638" max="5638" width="15.8571428571429" style="26" customWidth="1"/>
    <col min="5639" max="5639" width="7" style="26" customWidth="1"/>
    <col min="5640" max="5640" width="11.2857142857143" style="26" customWidth="1"/>
    <col min="5641" max="5641" width="7" style="26" customWidth="1"/>
    <col min="5642" max="5642" width="11.2857142857143" style="26" customWidth="1"/>
    <col min="5643" max="5643" width="1.57142857142857" style="26" customWidth="1"/>
    <col min="5644" max="5644" width="13.4285714285714" style="26" bestFit="1" customWidth="1"/>
    <col min="5645" max="5645" width="8.42857142857143" style="26" customWidth="1"/>
    <col min="5646" max="5646" width="11.2857142857143" style="26" customWidth="1"/>
    <col min="5647" max="5647" width="13.4285714285714" style="26" bestFit="1" customWidth="1"/>
    <col min="5648" max="5889" width="11.8571428571429" style="26"/>
    <col min="5890" max="5890" width="7.57142857142857" style="26" customWidth="1"/>
    <col min="5891" max="5891" width="37.8571428571429" style="26" bestFit="1" customWidth="1"/>
    <col min="5892" max="5892" width="15.5714285714286" style="26" customWidth="1"/>
    <col min="5893" max="5893" width="1.85714285714286" style="26" customWidth="1"/>
    <col min="5894" max="5894" width="15.8571428571429" style="26" customWidth="1"/>
    <col min="5895" max="5895" width="7" style="26" customWidth="1"/>
    <col min="5896" max="5896" width="11.2857142857143" style="26" customWidth="1"/>
    <col min="5897" max="5897" width="7" style="26" customWidth="1"/>
    <col min="5898" max="5898" width="11.2857142857143" style="26" customWidth="1"/>
    <col min="5899" max="5899" width="1.57142857142857" style="26" customWidth="1"/>
    <col min="5900" max="5900" width="13.4285714285714" style="26" bestFit="1" customWidth="1"/>
    <col min="5901" max="5901" width="8.42857142857143" style="26" customWidth="1"/>
    <col min="5902" max="5902" width="11.2857142857143" style="26" customWidth="1"/>
    <col min="5903" max="5903" width="13.4285714285714" style="26" bestFit="1" customWidth="1"/>
    <col min="5904" max="6145" width="11.8571428571429" style="26"/>
    <col min="6146" max="6146" width="7.57142857142857" style="26" customWidth="1"/>
    <col min="6147" max="6147" width="37.8571428571429" style="26" bestFit="1" customWidth="1"/>
    <col min="6148" max="6148" width="15.5714285714286" style="26" customWidth="1"/>
    <col min="6149" max="6149" width="1.85714285714286" style="26" customWidth="1"/>
    <col min="6150" max="6150" width="15.8571428571429" style="26" customWidth="1"/>
    <col min="6151" max="6151" width="7" style="26" customWidth="1"/>
    <col min="6152" max="6152" width="11.2857142857143" style="26" customWidth="1"/>
    <col min="6153" max="6153" width="7" style="26" customWidth="1"/>
    <col min="6154" max="6154" width="11.2857142857143" style="26" customWidth="1"/>
    <col min="6155" max="6155" width="1.57142857142857" style="26" customWidth="1"/>
    <col min="6156" max="6156" width="13.4285714285714" style="26" bestFit="1" customWidth="1"/>
    <col min="6157" max="6157" width="8.42857142857143" style="26" customWidth="1"/>
    <col min="6158" max="6158" width="11.2857142857143" style="26" customWidth="1"/>
    <col min="6159" max="6159" width="13.4285714285714" style="26" bestFit="1" customWidth="1"/>
    <col min="6160" max="6401" width="11.8571428571429" style="26"/>
    <col min="6402" max="6402" width="7.57142857142857" style="26" customWidth="1"/>
    <col min="6403" max="6403" width="37.8571428571429" style="26" bestFit="1" customWidth="1"/>
    <col min="6404" max="6404" width="15.5714285714286" style="26" customWidth="1"/>
    <col min="6405" max="6405" width="1.85714285714286" style="26" customWidth="1"/>
    <col min="6406" max="6406" width="15.8571428571429" style="26" customWidth="1"/>
    <col min="6407" max="6407" width="7" style="26" customWidth="1"/>
    <col min="6408" max="6408" width="11.2857142857143" style="26" customWidth="1"/>
    <col min="6409" max="6409" width="7" style="26" customWidth="1"/>
    <col min="6410" max="6410" width="11.2857142857143" style="26" customWidth="1"/>
    <col min="6411" max="6411" width="1.57142857142857" style="26" customWidth="1"/>
    <col min="6412" max="6412" width="13.4285714285714" style="26" bestFit="1" customWidth="1"/>
    <col min="6413" max="6413" width="8.42857142857143" style="26" customWidth="1"/>
    <col min="6414" max="6414" width="11.2857142857143" style="26" customWidth="1"/>
    <col min="6415" max="6415" width="13.4285714285714" style="26" bestFit="1" customWidth="1"/>
    <col min="6416" max="6657" width="11.8571428571429" style="26"/>
    <col min="6658" max="6658" width="7.57142857142857" style="26" customWidth="1"/>
    <col min="6659" max="6659" width="37.8571428571429" style="26" bestFit="1" customWidth="1"/>
    <col min="6660" max="6660" width="15.5714285714286" style="26" customWidth="1"/>
    <col min="6661" max="6661" width="1.85714285714286" style="26" customWidth="1"/>
    <col min="6662" max="6662" width="15.8571428571429" style="26" customWidth="1"/>
    <col min="6663" max="6663" width="7" style="26" customWidth="1"/>
    <col min="6664" max="6664" width="11.2857142857143" style="26" customWidth="1"/>
    <col min="6665" max="6665" width="7" style="26" customWidth="1"/>
    <col min="6666" max="6666" width="11.2857142857143" style="26" customWidth="1"/>
    <col min="6667" max="6667" width="1.57142857142857" style="26" customWidth="1"/>
    <col min="6668" max="6668" width="13.4285714285714" style="26" bestFit="1" customWidth="1"/>
    <col min="6669" max="6669" width="8.42857142857143" style="26" customWidth="1"/>
    <col min="6670" max="6670" width="11.2857142857143" style="26" customWidth="1"/>
    <col min="6671" max="6671" width="13.4285714285714" style="26" bestFit="1" customWidth="1"/>
    <col min="6672" max="6913" width="11.8571428571429" style="26"/>
    <col min="6914" max="6914" width="7.57142857142857" style="26" customWidth="1"/>
    <col min="6915" max="6915" width="37.8571428571429" style="26" bestFit="1" customWidth="1"/>
    <col min="6916" max="6916" width="15.5714285714286" style="26" customWidth="1"/>
    <col min="6917" max="6917" width="1.85714285714286" style="26" customWidth="1"/>
    <col min="6918" max="6918" width="15.8571428571429" style="26" customWidth="1"/>
    <col min="6919" max="6919" width="7" style="26" customWidth="1"/>
    <col min="6920" max="6920" width="11.2857142857143" style="26" customWidth="1"/>
    <col min="6921" max="6921" width="7" style="26" customWidth="1"/>
    <col min="6922" max="6922" width="11.2857142857143" style="26" customWidth="1"/>
    <col min="6923" max="6923" width="1.57142857142857" style="26" customWidth="1"/>
    <col min="6924" max="6924" width="13.4285714285714" style="26" bestFit="1" customWidth="1"/>
    <col min="6925" max="6925" width="8.42857142857143" style="26" customWidth="1"/>
    <col min="6926" max="6926" width="11.2857142857143" style="26" customWidth="1"/>
    <col min="6927" max="6927" width="13.4285714285714" style="26" bestFit="1" customWidth="1"/>
    <col min="6928" max="7169" width="11.8571428571429" style="26"/>
    <col min="7170" max="7170" width="7.57142857142857" style="26" customWidth="1"/>
    <col min="7171" max="7171" width="37.8571428571429" style="26" bestFit="1" customWidth="1"/>
    <col min="7172" max="7172" width="15.5714285714286" style="26" customWidth="1"/>
    <col min="7173" max="7173" width="1.85714285714286" style="26" customWidth="1"/>
    <col min="7174" max="7174" width="15.8571428571429" style="26" customWidth="1"/>
    <col min="7175" max="7175" width="7" style="26" customWidth="1"/>
    <col min="7176" max="7176" width="11.2857142857143" style="26" customWidth="1"/>
    <col min="7177" max="7177" width="7" style="26" customWidth="1"/>
    <col min="7178" max="7178" width="11.2857142857143" style="26" customWidth="1"/>
    <col min="7179" max="7179" width="1.57142857142857" style="26" customWidth="1"/>
    <col min="7180" max="7180" width="13.4285714285714" style="26" bestFit="1" customWidth="1"/>
    <col min="7181" max="7181" width="8.42857142857143" style="26" customWidth="1"/>
    <col min="7182" max="7182" width="11.2857142857143" style="26" customWidth="1"/>
    <col min="7183" max="7183" width="13.4285714285714" style="26" bestFit="1" customWidth="1"/>
    <col min="7184" max="7425" width="11.8571428571429" style="26"/>
    <col min="7426" max="7426" width="7.57142857142857" style="26" customWidth="1"/>
    <col min="7427" max="7427" width="37.8571428571429" style="26" bestFit="1" customWidth="1"/>
    <col min="7428" max="7428" width="15.5714285714286" style="26" customWidth="1"/>
    <col min="7429" max="7429" width="1.85714285714286" style="26" customWidth="1"/>
    <col min="7430" max="7430" width="15.8571428571429" style="26" customWidth="1"/>
    <col min="7431" max="7431" width="7" style="26" customWidth="1"/>
    <col min="7432" max="7432" width="11.2857142857143" style="26" customWidth="1"/>
    <col min="7433" max="7433" width="7" style="26" customWidth="1"/>
    <col min="7434" max="7434" width="11.2857142857143" style="26" customWidth="1"/>
    <col min="7435" max="7435" width="1.57142857142857" style="26" customWidth="1"/>
    <col min="7436" max="7436" width="13.4285714285714" style="26" bestFit="1" customWidth="1"/>
    <col min="7437" max="7437" width="8.42857142857143" style="26" customWidth="1"/>
    <col min="7438" max="7438" width="11.2857142857143" style="26" customWidth="1"/>
    <col min="7439" max="7439" width="13.4285714285714" style="26" bestFit="1" customWidth="1"/>
    <col min="7440" max="7681" width="11.8571428571429" style="26"/>
    <col min="7682" max="7682" width="7.57142857142857" style="26" customWidth="1"/>
    <col min="7683" max="7683" width="37.8571428571429" style="26" bestFit="1" customWidth="1"/>
    <col min="7684" max="7684" width="15.5714285714286" style="26" customWidth="1"/>
    <col min="7685" max="7685" width="1.85714285714286" style="26" customWidth="1"/>
    <col min="7686" max="7686" width="15.8571428571429" style="26" customWidth="1"/>
    <col min="7687" max="7687" width="7" style="26" customWidth="1"/>
    <col min="7688" max="7688" width="11.2857142857143" style="26" customWidth="1"/>
    <col min="7689" max="7689" width="7" style="26" customWidth="1"/>
    <col min="7690" max="7690" width="11.2857142857143" style="26" customWidth="1"/>
    <col min="7691" max="7691" width="1.57142857142857" style="26" customWidth="1"/>
    <col min="7692" max="7692" width="13.4285714285714" style="26" bestFit="1" customWidth="1"/>
    <col min="7693" max="7693" width="8.42857142857143" style="26" customWidth="1"/>
    <col min="7694" max="7694" width="11.2857142857143" style="26" customWidth="1"/>
    <col min="7695" max="7695" width="13.4285714285714" style="26" bestFit="1" customWidth="1"/>
    <col min="7696" max="7937" width="11.8571428571429" style="26"/>
    <col min="7938" max="7938" width="7.57142857142857" style="26" customWidth="1"/>
    <col min="7939" max="7939" width="37.8571428571429" style="26" bestFit="1" customWidth="1"/>
    <col min="7940" max="7940" width="15.5714285714286" style="26" customWidth="1"/>
    <col min="7941" max="7941" width="1.85714285714286" style="26" customWidth="1"/>
    <col min="7942" max="7942" width="15.8571428571429" style="26" customWidth="1"/>
    <col min="7943" max="7943" width="7" style="26" customWidth="1"/>
    <col min="7944" max="7944" width="11.2857142857143" style="26" customWidth="1"/>
    <col min="7945" max="7945" width="7" style="26" customWidth="1"/>
    <col min="7946" max="7946" width="11.2857142857143" style="26" customWidth="1"/>
    <col min="7947" max="7947" width="1.57142857142857" style="26" customWidth="1"/>
    <col min="7948" max="7948" width="13.4285714285714" style="26" bestFit="1" customWidth="1"/>
    <col min="7949" max="7949" width="8.42857142857143" style="26" customWidth="1"/>
    <col min="7950" max="7950" width="11.2857142857143" style="26" customWidth="1"/>
    <col min="7951" max="7951" width="13.4285714285714" style="26" bestFit="1" customWidth="1"/>
    <col min="7952" max="8193" width="11.8571428571429" style="26"/>
    <col min="8194" max="8194" width="7.57142857142857" style="26" customWidth="1"/>
    <col min="8195" max="8195" width="37.8571428571429" style="26" bestFit="1" customWidth="1"/>
    <col min="8196" max="8196" width="15.5714285714286" style="26" customWidth="1"/>
    <col min="8197" max="8197" width="1.85714285714286" style="26" customWidth="1"/>
    <col min="8198" max="8198" width="15.8571428571429" style="26" customWidth="1"/>
    <col min="8199" max="8199" width="7" style="26" customWidth="1"/>
    <col min="8200" max="8200" width="11.2857142857143" style="26" customWidth="1"/>
    <col min="8201" max="8201" width="7" style="26" customWidth="1"/>
    <col min="8202" max="8202" width="11.2857142857143" style="26" customWidth="1"/>
    <col min="8203" max="8203" width="1.57142857142857" style="26" customWidth="1"/>
    <col min="8204" max="8204" width="13.4285714285714" style="26" bestFit="1" customWidth="1"/>
    <col min="8205" max="8205" width="8.42857142857143" style="26" customWidth="1"/>
    <col min="8206" max="8206" width="11.2857142857143" style="26" customWidth="1"/>
    <col min="8207" max="8207" width="13.4285714285714" style="26" bestFit="1" customWidth="1"/>
    <col min="8208" max="8449" width="11.8571428571429" style="26"/>
    <col min="8450" max="8450" width="7.57142857142857" style="26" customWidth="1"/>
    <col min="8451" max="8451" width="37.8571428571429" style="26" bestFit="1" customWidth="1"/>
    <col min="8452" max="8452" width="15.5714285714286" style="26" customWidth="1"/>
    <col min="8453" max="8453" width="1.85714285714286" style="26" customWidth="1"/>
    <col min="8454" max="8454" width="15.8571428571429" style="26" customWidth="1"/>
    <col min="8455" max="8455" width="7" style="26" customWidth="1"/>
    <col min="8456" max="8456" width="11.2857142857143" style="26" customWidth="1"/>
    <col min="8457" max="8457" width="7" style="26" customWidth="1"/>
    <col min="8458" max="8458" width="11.2857142857143" style="26" customWidth="1"/>
    <col min="8459" max="8459" width="1.57142857142857" style="26" customWidth="1"/>
    <col min="8460" max="8460" width="13.4285714285714" style="26" bestFit="1" customWidth="1"/>
    <col min="8461" max="8461" width="8.42857142857143" style="26" customWidth="1"/>
    <col min="8462" max="8462" width="11.2857142857143" style="26" customWidth="1"/>
    <col min="8463" max="8463" width="13.4285714285714" style="26" bestFit="1" customWidth="1"/>
    <col min="8464" max="8705" width="11.8571428571429" style="26"/>
    <col min="8706" max="8706" width="7.57142857142857" style="26" customWidth="1"/>
    <col min="8707" max="8707" width="37.8571428571429" style="26" bestFit="1" customWidth="1"/>
    <col min="8708" max="8708" width="15.5714285714286" style="26" customWidth="1"/>
    <col min="8709" max="8709" width="1.85714285714286" style="26" customWidth="1"/>
    <col min="8710" max="8710" width="15.8571428571429" style="26" customWidth="1"/>
    <col min="8711" max="8711" width="7" style="26" customWidth="1"/>
    <col min="8712" max="8712" width="11.2857142857143" style="26" customWidth="1"/>
    <col min="8713" max="8713" width="7" style="26" customWidth="1"/>
    <col min="8714" max="8714" width="11.2857142857143" style="26" customWidth="1"/>
    <col min="8715" max="8715" width="1.57142857142857" style="26" customWidth="1"/>
    <col min="8716" max="8716" width="13.4285714285714" style="26" bestFit="1" customWidth="1"/>
    <col min="8717" max="8717" width="8.42857142857143" style="26" customWidth="1"/>
    <col min="8718" max="8718" width="11.2857142857143" style="26" customWidth="1"/>
    <col min="8719" max="8719" width="13.4285714285714" style="26" bestFit="1" customWidth="1"/>
    <col min="8720" max="8961" width="11.8571428571429" style="26"/>
    <col min="8962" max="8962" width="7.57142857142857" style="26" customWidth="1"/>
    <col min="8963" max="8963" width="37.8571428571429" style="26" bestFit="1" customWidth="1"/>
    <col min="8964" max="8964" width="15.5714285714286" style="26" customWidth="1"/>
    <col min="8965" max="8965" width="1.85714285714286" style="26" customWidth="1"/>
    <col min="8966" max="8966" width="15.8571428571429" style="26" customWidth="1"/>
    <col min="8967" max="8967" width="7" style="26" customWidth="1"/>
    <col min="8968" max="8968" width="11.2857142857143" style="26" customWidth="1"/>
    <col min="8969" max="8969" width="7" style="26" customWidth="1"/>
    <col min="8970" max="8970" width="11.2857142857143" style="26" customWidth="1"/>
    <col min="8971" max="8971" width="1.57142857142857" style="26" customWidth="1"/>
    <col min="8972" max="8972" width="13.4285714285714" style="26" bestFit="1" customWidth="1"/>
    <col min="8973" max="8973" width="8.42857142857143" style="26" customWidth="1"/>
    <col min="8974" max="8974" width="11.2857142857143" style="26" customWidth="1"/>
    <col min="8975" max="8975" width="13.4285714285714" style="26" bestFit="1" customWidth="1"/>
    <col min="8976" max="9217" width="11.8571428571429" style="26"/>
    <col min="9218" max="9218" width="7.57142857142857" style="26" customWidth="1"/>
    <col min="9219" max="9219" width="37.8571428571429" style="26" bestFit="1" customWidth="1"/>
    <col min="9220" max="9220" width="15.5714285714286" style="26" customWidth="1"/>
    <col min="9221" max="9221" width="1.85714285714286" style="26" customWidth="1"/>
    <col min="9222" max="9222" width="15.8571428571429" style="26" customWidth="1"/>
    <col min="9223" max="9223" width="7" style="26" customWidth="1"/>
    <col min="9224" max="9224" width="11.2857142857143" style="26" customWidth="1"/>
    <col min="9225" max="9225" width="7" style="26" customWidth="1"/>
    <col min="9226" max="9226" width="11.2857142857143" style="26" customWidth="1"/>
    <col min="9227" max="9227" width="1.57142857142857" style="26" customWidth="1"/>
    <col min="9228" max="9228" width="13.4285714285714" style="26" bestFit="1" customWidth="1"/>
    <col min="9229" max="9229" width="8.42857142857143" style="26" customWidth="1"/>
    <col min="9230" max="9230" width="11.2857142857143" style="26" customWidth="1"/>
    <col min="9231" max="9231" width="13.4285714285714" style="26" bestFit="1" customWidth="1"/>
    <col min="9232" max="9473" width="11.8571428571429" style="26"/>
    <col min="9474" max="9474" width="7.57142857142857" style="26" customWidth="1"/>
    <col min="9475" max="9475" width="37.8571428571429" style="26" bestFit="1" customWidth="1"/>
    <col min="9476" max="9476" width="15.5714285714286" style="26" customWidth="1"/>
    <col min="9477" max="9477" width="1.85714285714286" style="26" customWidth="1"/>
    <col min="9478" max="9478" width="15.8571428571429" style="26" customWidth="1"/>
    <col min="9479" max="9479" width="7" style="26" customWidth="1"/>
    <col min="9480" max="9480" width="11.2857142857143" style="26" customWidth="1"/>
    <col min="9481" max="9481" width="7" style="26" customWidth="1"/>
    <col min="9482" max="9482" width="11.2857142857143" style="26" customWidth="1"/>
    <col min="9483" max="9483" width="1.57142857142857" style="26" customWidth="1"/>
    <col min="9484" max="9484" width="13.4285714285714" style="26" bestFit="1" customWidth="1"/>
    <col min="9485" max="9485" width="8.42857142857143" style="26" customWidth="1"/>
    <col min="9486" max="9486" width="11.2857142857143" style="26" customWidth="1"/>
    <col min="9487" max="9487" width="13.4285714285714" style="26" bestFit="1" customWidth="1"/>
    <col min="9488" max="9729" width="11.8571428571429" style="26"/>
    <col min="9730" max="9730" width="7.57142857142857" style="26" customWidth="1"/>
    <col min="9731" max="9731" width="37.8571428571429" style="26" bestFit="1" customWidth="1"/>
    <col min="9732" max="9732" width="15.5714285714286" style="26" customWidth="1"/>
    <col min="9733" max="9733" width="1.85714285714286" style="26" customWidth="1"/>
    <col min="9734" max="9734" width="15.8571428571429" style="26" customWidth="1"/>
    <col min="9735" max="9735" width="7" style="26" customWidth="1"/>
    <col min="9736" max="9736" width="11.2857142857143" style="26" customWidth="1"/>
    <col min="9737" max="9737" width="7" style="26" customWidth="1"/>
    <col min="9738" max="9738" width="11.2857142857143" style="26" customWidth="1"/>
    <col min="9739" max="9739" width="1.57142857142857" style="26" customWidth="1"/>
    <col min="9740" max="9740" width="13.4285714285714" style="26" bestFit="1" customWidth="1"/>
    <col min="9741" max="9741" width="8.42857142857143" style="26" customWidth="1"/>
    <col min="9742" max="9742" width="11.2857142857143" style="26" customWidth="1"/>
    <col min="9743" max="9743" width="13.4285714285714" style="26" bestFit="1" customWidth="1"/>
    <col min="9744" max="9985" width="11.8571428571429" style="26"/>
    <col min="9986" max="9986" width="7.57142857142857" style="26" customWidth="1"/>
    <col min="9987" max="9987" width="37.8571428571429" style="26" bestFit="1" customWidth="1"/>
    <col min="9988" max="9988" width="15.5714285714286" style="26" customWidth="1"/>
    <col min="9989" max="9989" width="1.85714285714286" style="26" customWidth="1"/>
    <col min="9990" max="9990" width="15.8571428571429" style="26" customWidth="1"/>
    <col min="9991" max="9991" width="7" style="26" customWidth="1"/>
    <col min="9992" max="9992" width="11.2857142857143" style="26" customWidth="1"/>
    <col min="9993" max="9993" width="7" style="26" customWidth="1"/>
    <col min="9994" max="9994" width="11.2857142857143" style="26" customWidth="1"/>
    <col min="9995" max="9995" width="1.57142857142857" style="26" customWidth="1"/>
    <col min="9996" max="9996" width="13.4285714285714" style="26" bestFit="1" customWidth="1"/>
    <col min="9997" max="9997" width="8.42857142857143" style="26" customWidth="1"/>
    <col min="9998" max="9998" width="11.2857142857143" style="26" customWidth="1"/>
    <col min="9999" max="9999" width="13.4285714285714" style="26" bestFit="1" customWidth="1"/>
    <col min="10000" max="10241" width="11.8571428571429" style="26"/>
    <col min="10242" max="10242" width="7.57142857142857" style="26" customWidth="1"/>
    <col min="10243" max="10243" width="37.8571428571429" style="26" bestFit="1" customWidth="1"/>
    <col min="10244" max="10244" width="15.5714285714286" style="26" customWidth="1"/>
    <col min="10245" max="10245" width="1.85714285714286" style="26" customWidth="1"/>
    <col min="10246" max="10246" width="15.8571428571429" style="26" customWidth="1"/>
    <col min="10247" max="10247" width="7" style="26" customWidth="1"/>
    <col min="10248" max="10248" width="11.2857142857143" style="26" customWidth="1"/>
    <col min="10249" max="10249" width="7" style="26" customWidth="1"/>
    <col min="10250" max="10250" width="11.2857142857143" style="26" customWidth="1"/>
    <col min="10251" max="10251" width="1.57142857142857" style="26" customWidth="1"/>
    <col min="10252" max="10252" width="13.4285714285714" style="26" bestFit="1" customWidth="1"/>
    <col min="10253" max="10253" width="8.42857142857143" style="26" customWidth="1"/>
    <col min="10254" max="10254" width="11.2857142857143" style="26" customWidth="1"/>
    <col min="10255" max="10255" width="13.4285714285714" style="26" bestFit="1" customWidth="1"/>
    <col min="10256" max="10497" width="11.8571428571429" style="26"/>
    <col min="10498" max="10498" width="7.57142857142857" style="26" customWidth="1"/>
    <col min="10499" max="10499" width="37.8571428571429" style="26" bestFit="1" customWidth="1"/>
    <col min="10500" max="10500" width="15.5714285714286" style="26" customWidth="1"/>
    <col min="10501" max="10501" width="1.85714285714286" style="26" customWidth="1"/>
    <col min="10502" max="10502" width="15.8571428571429" style="26" customWidth="1"/>
    <col min="10503" max="10503" width="7" style="26" customWidth="1"/>
    <col min="10504" max="10504" width="11.2857142857143" style="26" customWidth="1"/>
    <col min="10505" max="10505" width="7" style="26" customWidth="1"/>
    <col min="10506" max="10506" width="11.2857142857143" style="26" customWidth="1"/>
    <col min="10507" max="10507" width="1.57142857142857" style="26" customWidth="1"/>
    <col min="10508" max="10508" width="13.4285714285714" style="26" bestFit="1" customWidth="1"/>
    <col min="10509" max="10509" width="8.42857142857143" style="26" customWidth="1"/>
    <col min="10510" max="10510" width="11.2857142857143" style="26" customWidth="1"/>
    <col min="10511" max="10511" width="13.4285714285714" style="26" bestFit="1" customWidth="1"/>
    <col min="10512" max="10753" width="11.8571428571429" style="26"/>
    <col min="10754" max="10754" width="7.57142857142857" style="26" customWidth="1"/>
    <col min="10755" max="10755" width="37.8571428571429" style="26" bestFit="1" customWidth="1"/>
    <col min="10756" max="10756" width="15.5714285714286" style="26" customWidth="1"/>
    <col min="10757" max="10757" width="1.85714285714286" style="26" customWidth="1"/>
    <col min="10758" max="10758" width="15.8571428571429" style="26" customWidth="1"/>
    <col min="10759" max="10759" width="7" style="26" customWidth="1"/>
    <col min="10760" max="10760" width="11.2857142857143" style="26" customWidth="1"/>
    <col min="10761" max="10761" width="7" style="26" customWidth="1"/>
    <col min="10762" max="10762" width="11.2857142857143" style="26" customWidth="1"/>
    <col min="10763" max="10763" width="1.57142857142857" style="26" customWidth="1"/>
    <col min="10764" max="10764" width="13.4285714285714" style="26" bestFit="1" customWidth="1"/>
    <col min="10765" max="10765" width="8.42857142857143" style="26" customWidth="1"/>
    <col min="10766" max="10766" width="11.2857142857143" style="26" customWidth="1"/>
    <col min="10767" max="10767" width="13.4285714285714" style="26" bestFit="1" customWidth="1"/>
    <col min="10768" max="11009" width="11.8571428571429" style="26"/>
    <col min="11010" max="11010" width="7.57142857142857" style="26" customWidth="1"/>
    <col min="11011" max="11011" width="37.8571428571429" style="26" bestFit="1" customWidth="1"/>
    <col min="11012" max="11012" width="15.5714285714286" style="26" customWidth="1"/>
    <col min="11013" max="11013" width="1.85714285714286" style="26" customWidth="1"/>
    <col min="11014" max="11014" width="15.8571428571429" style="26" customWidth="1"/>
    <col min="11015" max="11015" width="7" style="26" customWidth="1"/>
    <col min="11016" max="11016" width="11.2857142857143" style="26" customWidth="1"/>
    <col min="11017" max="11017" width="7" style="26" customWidth="1"/>
    <col min="11018" max="11018" width="11.2857142857143" style="26" customWidth="1"/>
    <col min="11019" max="11019" width="1.57142857142857" style="26" customWidth="1"/>
    <col min="11020" max="11020" width="13.4285714285714" style="26" bestFit="1" customWidth="1"/>
    <col min="11021" max="11021" width="8.42857142857143" style="26" customWidth="1"/>
    <col min="11022" max="11022" width="11.2857142857143" style="26" customWidth="1"/>
    <col min="11023" max="11023" width="13.4285714285714" style="26" bestFit="1" customWidth="1"/>
    <col min="11024" max="11265" width="11.8571428571429" style="26"/>
    <col min="11266" max="11266" width="7.57142857142857" style="26" customWidth="1"/>
    <col min="11267" max="11267" width="37.8571428571429" style="26" bestFit="1" customWidth="1"/>
    <col min="11268" max="11268" width="15.5714285714286" style="26" customWidth="1"/>
    <col min="11269" max="11269" width="1.85714285714286" style="26" customWidth="1"/>
    <col min="11270" max="11270" width="15.8571428571429" style="26" customWidth="1"/>
    <col min="11271" max="11271" width="7" style="26" customWidth="1"/>
    <col min="11272" max="11272" width="11.2857142857143" style="26" customWidth="1"/>
    <col min="11273" max="11273" width="7" style="26" customWidth="1"/>
    <col min="11274" max="11274" width="11.2857142857143" style="26" customWidth="1"/>
    <col min="11275" max="11275" width="1.57142857142857" style="26" customWidth="1"/>
    <col min="11276" max="11276" width="13.4285714285714" style="26" bestFit="1" customWidth="1"/>
    <col min="11277" max="11277" width="8.42857142857143" style="26" customWidth="1"/>
    <col min="11278" max="11278" width="11.2857142857143" style="26" customWidth="1"/>
    <col min="11279" max="11279" width="13.4285714285714" style="26" bestFit="1" customWidth="1"/>
    <col min="11280" max="11521" width="11.8571428571429" style="26"/>
    <col min="11522" max="11522" width="7.57142857142857" style="26" customWidth="1"/>
    <col min="11523" max="11523" width="37.8571428571429" style="26" bestFit="1" customWidth="1"/>
    <col min="11524" max="11524" width="15.5714285714286" style="26" customWidth="1"/>
    <col min="11525" max="11525" width="1.85714285714286" style="26" customWidth="1"/>
    <col min="11526" max="11526" width="15.8571428571429" style="26" customWidth="1"/>
    <col min="11527" max="11527" width="7" style="26" customWidth="1"/>
    <col min="11528" max="11528" width="11.2857142857143" style="26" customWidth="1"/>
    <col min="11529" max="11529" width="7" style="26" customWidth="1"/>
    <col min="11530" max="11530" width="11.2857142857143" style="26" customWidth="1"/>
    <col min="11531" max="11531" width="1.57142857142857" style="26" customWidth="1"/>
    <col min="11532" max="11532" width="13.4285714285714" style="26" bestFit="1" customWidth="1"/>
    <col min="11533" max="11533" width="8.42857142857143" style="26" customWidth="1"/>
    <col min="11534" max="11534" width="11.2857142857143" style="26" customWidth="1"/>
    <col min="11535" max="11535" width="13.4285714285714" style="26" bestFit="1" customWidth="1"/>
    <col min="11536" max="11777" width="11.8571428571429" style="26"/>
    <col min="11778" max="11778" width="7.57142857142857" style="26" customWidth="1"/>
    <col min="11779" max="11779" width="37.8571428571429" style="26" bestFit="1" customWidth="1"/>
    <col min="11780" max="11780" width="15.5714285714286" style="26" customWidth="1"/>
    <col min="11781" max="11781" width="1.85714285714286" style="26" customWidth="1"/>
    <col min="11782" max="11782" width="15.8571428571429" style="26" customWidth="1"/>
    <col min="11783" max="11783" width="7" style="26" customWidth="1"/>
    <col min="11784" max="11784" width="11.2857142857143" style="26" customWidth="1"/>
    <col min="11785" max="11785" width="7" style="26" customWidth="1"/>
    <col min="11786" max="11786" width="11.2857142857143" style="26" customWidth="1"/>
    <col min="11787" max="11787" width="1.57142857142857" style="26" customWidth="1"/>
    <col min="11788" max="11788" width="13.4285714285714" style="26" bestFit="1" customWidth="1"/>
    <col min="11789" max="11789" width="8.42857142857143" style="26" customWidth="1"/>
    <col min="11790" max="11790" width="11.2857142857143" style="26" customWidth="1"/>
    <col min="11791" max="11791" width="13.4285714285714" style="26" bestFit="1" customWidth="1"/>
    <col min="11792" max="12033" width="11.8571428571429" style="26"/>
    <col min="12034" max="12034" width="7.57142857142857" style="26" customWidth="1"/>
    <col min="12035" max="12035" width="37.8571428571429" style="26" bestFit="1" customWidth="1"/>
    <col min="12036" max="12036" width="15.5714285714286" style="26" customWidth="1"/>
    <col min="12037" max="12037" width="1.85714285714286" style="26" customWidth="1"/>
    <col min="12038" max="12038" width="15.8571428571429" style="26" customWidth="1"/>
    <col min="12039" max="12039" width="7" style="26" customWidth="1"/>
    <col min="12040" max="12040" width="11.2857142857143" style="26" customWidth="1"/>
    <col min="12041" max="12041" width="7" style="26" customWidth="1"/>
    <col min="12042" max="12042" width="11.2857142857143" style="26" customWidth="1"/>
    <col min="12043" max="12043" width="1.57142857142857" style="26" customWidth="1"/>
    <col min="12044" max="12044" width="13.4285714285714" style="26" bestFit="1" customWidth="1"/>
    <col min="12045" max="12045" width="8.42857142857143" style="26" customWidth="1"/>
    <col min="12046" max="12046" width="11.2857142857143" style="26" customWidth="1"/>
    <col min="12047" max="12047" width="13.4285714285714" style="26" bestFit="1" customWidth="1"/>
    <col min="12048" max="12289" width="11.8571428571429" style="26"/>
    <col min="12290" max="12290" width="7.57142857142857" style="26" customWidth="1"/>
    <col min="12291" max="12291" width="37.8571428571429" style="26" bestFit="1" customWidth="1"/>
    <col min="12292" max="12292" width="15.5714285714286" style="26" customWidth="1"/>
    <col min="12293" max="12293" width="1.85714285714286" style="26" customWidth="1"/>
    <col min="12294" max="12294" width="15.8571428571429" style="26" customWidth="1"/>
    <col min="12295" max="12295" width="7" style="26" customWidth="1"/>
    <col min="12296" max="12296" width="11.2857142857143" style="26" customWidth="1"/>
    <col min="12297" max="12297" width="7" style="26" customWidth="1"/>
    <col min="12298" max="12298" width="11.2857142857143" style="26" customWidth="1"/>
    <col min="12299" max="12299" width="1.57142857142857" style="26" customWidth="1"/>
    <col min="12300" max="12300" width="13.4285714285714" style="26" bestFit="1" customWidth="1"/>
    <col min="12301" max="12301" width="8.42857142857143" style="26" customWidth="1"/>
    <col min="12302" max="12302" width="11.2857142857143" style="26" customWidth="1"/>
    <col min="12303" max="12303" width="13.4285714285714" style="26" bestFit="1" customWidth="1"/>
    <col min="12304" max="12545" width="11.8571428571429" style="26"/>
    <col min="12546" max="12546" width="7.57142857142857" style="26" customWidth="1"/>
    <col min="12547" max="12547" width="37.8571428571429" style="26" bestFit="1" customWidth="1"/>
    <col min="12548" max="12548" width="15.5714285714286" style="26" customWidth="1"/>
    <col min="12549" max="12549" width="1.85714285714286" style="26" customWidth="1"/>
    <col min="12550" max="12550" width="15.8571428571429" style="26" customWidth="1"/>
    <col min="12551" max="12551" width="7" style="26" customWidth="1"/>
    <col min="12552" max="12552" width="11.2857142857143" style="26" customWidth="1"/>
    <col min="12553" max="12553" width="7" style="26" customWidth="1"/>
    <col min="12554" max="12554" width="11.2857142857143" style="26" customWidth="1"/>
    <col min="12555" max="12555" width="1.57142857142857" style="26" customWidth="1"/>
    <col min="12556" max="12556" width="13.4285714285714" style="26" bestFit="1" customWidth="1"/>
    <col min="12557" max="12557" width="8.42857142857143" style="26" customWidth="1"/>
    <col min="12558" max="12558" width="11.2857142857143" style="26" customWidth="1"/>
    <col min="12559" max="12559" width="13.4285714285714" style="26" bestFit="1" customWidth="1"/>
    <col min="12560" max="12801" width="11.8571428571429" style="26"/>
    <col min="12802" max="12802" width="7.57142857142857" style="26" customWidth="1"/>
    <col min="12803" max="12803" width="37.8571428571429" style="26" bestFit="1" customWidth="1"/>
    <col min="12804" max="12804" width="15.5714285714286" style="26" customWidth="1"/>
    <col min="12805" max="12805" width="1.85714285714286" style="26" customWidth="1"/>
    <col min="12806" max="12806" width="15.8571428571429" style="26" customWidth="1"/>
    <col min="12807" max="12807" width="7" style="26" customWidth="1"/>
    <col min="12808" max="12808" width="11.2857142857143" style="26" customWidth="1"/>
    <col min="12809" max="12809" width="7" style="26" customWidth="1"/>
    <col min="12810" max="12810" width="11.2857142857143" style="26" customWidth="1"/>
    <col min="12811" max="12811" width="1.57142857142857" style="26" customWidth="1"/>
    <col min="12812" max="12812" width="13.4285714285714" style="26" bestFit="1" customWidth="1"/>
    <col min="12813" max="12813" width="8.42857142857143" style="26" customWidth="1"/>
    <col min="12814" max="12814" width="11.2857142857143" style="26" customWidth="1"/>
    <col min="12815" max="12815" width="13.4285714285714" style="26" bestFit="1" customWidth="1"/>
    <col min="12816" max="13057" width="11.8571428571429" style="26"/>
    <col min="13058" max="13058" width="7.57142857142857" style="26" customWidth="1"/>
    <col min="13059" max="13059" width="37.8571428571429" style="26" bestFit="1" customWidth="1"/>
    <col min="13060" max="13060" width="15.5714285714286" style="26" customWidth="1"/>
    <col min="13061" max="13061" width="1.85714285714286" style="26" customWidth="1"/>
    <col min="13062" max="13062" width="15.8571428571429" style="26" customWidth="1"/>
    <col min="13063" max="13063" width="7" style="26" customWidth="1"/>
    <col min="13064" max="13064" width="11.2857142857143" style="26" customWidth="1"/>
    <col min="13065" max="13065" width="7" style="26" customWidth="1"/>
    <col min="13066" max="13066" width="11.2857142857143" style="26" customWidth="1"/>
    <col min="13067" max="13067" width="1.57142857142857" style="26" customWidth="1"/>
    <col min="13068" max="13068" width="13.4285714285714" style="26" bestFit="1" customWidth="1"/>
    <col min="13069" max="13069" width="8.42857142857143" style="26" customWidth="1"/>
    <col min="13070" max="13070" width="11.2857142857143" style="26" customWidth="1"/>
    <col min="13071" max="13071" width="13.4285714285714" style="26" bestFit="1" customWidth="1"/>
    <col min="13072" max="13313" width="11.8571428571429" style="26"/>
    <col min="13314" max="13314" width="7.57142857142857" style="26" customWidth="1"/>
    <col min="13315" max="13315" width="37.8571428571429" style="26" bestFit="1" customWidth="1"/>
    <col min="13316" max="13316" width="15.5714285714286" style="26" customWidth="1"/>
    <col min="13317" max="13317" width="1.85714285714286" style="26" customWidth="1"/>
    <col min="13318" max="13318" width="15.8571428571429" style="26" customWidth="1"/>
    <col min="13319" max="13319" width="7" style="26" customWidth="1"/>
    <col min="13320" max="13320" width="11.2857142857143" style="26" customWidth="1"/>
    <col min="13321" max="13321" width="7" style="26" customWidth="1"/>
    <col min="13322" max="13322" width="11.2857142857143" style="26" customWidth="1"/>
    <col min="13323" max="13323" width="1.57142857142857" style="26" customWidth="1"/>
    <col min="13324" max="13324" width="13.4285714285714" style="26" bestFit="1" customWidth="1"/>
    <col min="13325" max="13325" width="8.42857142857143" style="26" customWidth="1"/>
    <col min="13326" max="13326" width="11.2857142857143" style="26" customWidth="1"/>
    <col min="13327" max="13327" width="13.4285714285714" style="26" bestFit="1" customWidth="1"/>
    <col min="13328" max="13569" width="11.8571428571429" style="26"/>
    <col min="13570" max="13570" width="7.57142857142857" style="26" customWidth="1"/>
    <col min="13571" max="13571" width="37.8571428571429" style="26" bestFit="1" customWidth="1"/>
    <col min="13572" max="13572" width="15.5714285714286" style="26" customWidth="1"/>
    <col min="13573" max="13573" width="1.85714285714286" style="26" customWidth="1"/>
    <col min="13574" max="13574" width="15.8571428571429" style="26" customWidth="1"/>
    <col min="13575" max="13575" width="7" style="26" customWidth="1"/>
    <col min="13576" max="13576" width="11.2857142857143" style="26" customWidth="1"/>
    <col min="13577" max="13577" width="7" style="26" customWidth="1"/>
    <col min="13578" max="13578" width="11.2857142857143" style="26" customWidth="1"/>
    <col min="13579" max="13579" width="1.57142857142857" style="26" customWidth="1"/>
    <col min="13580" max="13580" width="13.4285714285714" style="26" bestFit="1" customWidth="1"/>
    <col min="13581" max="13581" width="8.42857142857143" style="26" customWidth="1"/>
    <col min="13582" max="13582" width="11.2857142857143" style="26" customWidth="1"/>
    <col min="13583" max="13583" width="13.4285714285714" style="26" bestFit="1" customWidth="1"/>
    <col min="13584" max="13825" width="11.8571428571429" style="26"/>
    <col min="13826" max="13826" width="7.57142857142857" style="26" customWidth="1"/>
    <col min="13827" max="13827" width="37.8571428571429" style="26" bestFit="1" customWidth="1"/>
    <col min="13828" max="13828" width="15.5714285714286" style="26" customWidth="1"/>
    <col min="13829" max="13829" width="1.85714285714286" style="26" customWidth="1"/>
    <col min="13830" max="13830" width="15.8571428571429" style="26" customWidth="1"/>
    <col min="13831" max="13831" width="7" style="26" customWidth="1"/>
    <col min="13832" max="13832" width="11.2857142857143" style="26" customWidth="1"/>
    <col min="13833" max="13833" width="7" style="26" customWidth="1"/>
    <col min="13834" max="13834" width="11.2857142857143" style="26" customWidth="1"/>
    <col min="13835" max="13835" width="1.57142857142857" style="26" customWidth="1"/>
    <col min="13836" max="13836" width="13.4285714285714" style="26" bestFit="1" customWidth="1"/>
    <col min="13837" max="13837" width="8.42857142857143" style="26" customWidth="1"/>
    <col min="13838" max="13838" width="11.2857142857143" style="26" customWidth="1"/>
    <col min="13839" max="13839" width="13.4285714285714" style="26" bestFit="1" customWidth="1"/>
    <col min="13840" max="14081" width="11.8571428571429" style="26"/>
    <col min="14082" max="14082" width="7.57142857142857" style="26" customWidth="1"/>
    <col min="14083" max="14083" width="37.8571428571429" style="26" bestFit="1" customWidth="1"/>
    <col min="14084" max="14084" width="15.5714285714286" style="26" customWidth="1"/>
    <col min="14085" max="14085" width="1.85714285714286" style="26" customWidth="1"/>
    <col min="14086" max="14086" width="15.8571428571429" style="26" customWidth="1"/>
    <col min="14087" max="14087" width="7" style="26" customWidth="1"/>
    <col min="14088" max="14088" width="11.2857142857143" style="26" customWidth="1"/>
    <col min="14089" max="14089" width="7" style="26" customWidth="1"/>
    <col min="14090" max="14090" width="11.2857142857143" style="26" customWidth="1"/>
    <col min="14091" max="14091" width="1.57142857142857" style="26" customWidth="1"/>
    <col min="14092" max="14092" width="13.4285714285714" style="26" bestFit="1" customWidth="1"/>
    <col min="14093" max="14093" width="8.42857142857143" style="26" customWidth="1"/>
    <col min="14094" max="14094" width="11.2857142857143" style="26" customWidth="1"/>
    <col min="14095" max="14095" width="13.4285714285714" style="26" bestFit="1" customWidth="1"/>
    <col min="14096" max="14337" width="11.8571428571429" style="26"/>
    <col min="14338" max="14338" width="7.57142857142857" style="26" customWidth="1"/>
    <col min="14339" max="14339" width="37.8571428571429" style="26" bestFit="1" customWidth="1"/>
    <col min="14340" max="14340" width="15.5714285714286" style="26" customWidth="1"/>
    <col min="14341" max="14341" width="1.85714285714286" style="26" customWidth="1"/>
    <col min="14342" max="14342" width="15.8571428571429" style="26" customWidth="1"/>
    <col min="14343" max="14343" width="7" style="26" customWidth="1"/>
    <col min="14344" max="14344" width="11.2857142857143" style="26" customWidth="1"/>
    <col min="14345" max="14345" width="7" style="26" customWidth="1"/>
    <col min="14346" max="14346" width="11.2857142857143" style="26" customWidth="1"/>
    <col min="14347" max="14347" width="1.57142857142857" style="26" customWidth="1"/>
    <col min="14348" max="14348" width="13.4285714285714" style="26" bestFit="1" customWidth="1"/>
    <col min="14349" max="14349" width="8.42857142857143" style="26" customWidth="1"/>
    <col min="14350" max="14350" width="11.2857142857143" style="26" customWidth="1"/>
    <col min="14351" max="14351" width="13.4285714285714" style="26" bestFit="1" customWidth="1"/>
    <col min="14352" max="14593" width="11.8571428571429" style="26"/>
    <col min="14594" max="14594" width="7.57142857142857" style="26" customWidth="1"/>
    <col min="14595" max="14595" width="37.8571428571429" style="26" bestFit="1" customWidth="1"/>
    <col min="14596" max="14596" width="15.5714285714286" style="26" customWidth="1"/>
    <col min="14597" max="14597" width="1.85714285714286" style="26" customWidth="1"/>
    <col min="14598" max="14598" width="15.8571428571429" style="26" customWidth="1"/>
    <col min="14599" max="14599" width="7" style="26" customWidth="1"/>
    <col min="14600" max="14600" width="11.2857142857143" style="26" customWidth="1"/>
    <col min="14601" max="14601" width="7" style="26" customWidth="1"/>
    <col min="14602" max="14602" width="11.2857142857143" style="26" customWidth="1"/>
    <col min="14603" max="14603" width="1.57142857142857" style="26" customWidth="1"/>
    <col min="14604" max="14604" width="13.4285714285714" style="26" bestFit="1" customWidth="1"/>
    <col min="14605" max="14605" width="8.42857142857143" style="26" customWidth="1"/>
    <col min="14606" max="14606" width="11.2857142857143" style="26" customWidth="1"/>
    <col min="14607" max="14607" width="13.4285714285714" style="26" bestFit="1" customWidth="1"/>
    <col min="14608" max="14849" width="11.8571428571429" style="26"/>
    <col min="14850" max="14850" width="7.57142857142857" style="26" customWidth="1"/>
    <col min="14851" max="14851" width="37.8571428571429" style="26" bestFit="1" customWidth="1"/>
    <col min="14852" max="14852" width="15.5714285714286" style="26" customWidth="1"/>
    <col min="14853" max="14853" width="1.85714285714286" style="26" customWidth="1"/>
    <col min="14854" max="14854" width="15.8571428571429" style="26" customWidth="1"/>
    <col min="14855" max="14855" width="7" style="26" customWidth="1"/>
    <col min="14856" max="14856" width="11.2857142857143" style="26" customWidth="1"/>
    <col min="14857" max="14857" width="7" style="26" customWidth="1"/>
    <col min="14858" max="14858" width="11.2857142857143" style="26" customWidth="1"/>
    <col min="14859" max="14859" width="1.57142857142857" style="26" customWidth="1"/>
    <col min="14860" max="14860" width="13.4285714285714" style="26" bestFit="1" customWidth="1"/>
    <col min="14861" max="14861" width="8.42857142857143" style="26" customWidth="1"/>
    <col min="14862" max="14862" width="11.2857142857143" style="26" customWidth="1"/>
    <col min="14863" max="14863" width="13.4285714285714" style="26" bestFit="1" customWidth="1"/>
    <col min="14864" max="15105" width="11.8571428571429" style="26"/>
    <col min="15106" max="15106" width="7.57142857142857" style="26" customWidth="1"/>
    <col min="15107" max="15107" width="37.8571428571429" style="26" bestFit="1" customWidth="1"/>
    <col min="15108" max="15108" width="15.5714285714286" style="26" customWidth="1"/>
    <col min="15109" max="15109" width="1.85714285714286" style="26" customWidth="1"/>
    <col min="15110" max="15110" width="15.8571428571429" style="26" customWidth="1"/>
    <col min="15111" max="15111" width="7" style="26" customWidth="1"/>
    <col min="15112" max="15112" width="11.2857142857143" style="26" customWidth="1"/>
    <col min="15113" max="15113" width="7" style="26" customWidth="1"/>
    <col min="15114" max="15114" width="11.2857142857143" style="26" customWidth="1"/>
    <col min="15115" max="15115" width="1.57142857142857" style="26" customWidth="1"/>
    <col min="15116" max="15116" width="13.4285714285714" style="26" bestFit="1" customWidth="1"/>
    <col min="15117" max="15117" width="8.42857142857143" style="26" customWidth="1"/>
    <col min="15118" max="15118" width="11.2857142857143" style="26" customWidth="1"/>
    <col min="15119" max="15119" width="13.4285714285714" style="26" bestFit="1" customWidth="1"/>
    <col min="15120" max="15361" width="11.8571428571429" style="26"/>
    <col min="15362" max="15362" width="7.57142857142857" style="26" customWidth="1"/>
    <col min="15363" max="15363" width="37.8571428571429" style="26" bestFit="1" customWidth="1"/>
    <col min="15364" max="15364" width="15.5714285714286" style="26" customWidth="1"/>
    <col min="15365" max="15365" width="1.85714285714286" style="26" customWidth="1"/>
    <col min="15366" max="15366" width="15.8571428571429" style="26" customWidth="1"/>
    <col min="15367" max="15367" width="7" style="26" customWidth="1"/>
    <col min="15368" max="15368" width="11.2857142857143" style="26" customWidth="1"/>
    <col min="15369" max="15369" width="7" style="26" customWidth="1"/>
    <col min="15370" max="15370" width="11.2857142857143" style="26" customWidth="1"/>
    <col min="15371" max="15371" width="1.57142857142857" style="26" customWidth="1"/>
    <col min="15372" max="15372" width="13.4285714285714" style="26" bestFit="1" customWidth="1"/>
    <col min="15373" max="15373" width="8.42857142857143" style="26" customWidth="1"/>
    <col min="15374" max="15374" width="11.2857142857143" style="26" customWidth="1"/>
    <col min="15375" max="15375" width="13.4285714285714" style="26" bestFit="1" customWidth="1"/>
    <col min="15376" max="15617" width="11.8571428571429" style="26"/>
    <col min="15618" max="15618" width="7.57142857142857" style="26" customWidth="1"/>
    <col min="15619" max="15619" width="37.8571428571429" style="26" bestFit="1" customWidth="1"/>
    <col min="15620" max="15620" width="15.5714285714286" style="26" customWidth="1"/>
    <col min="15621" max="15621" width="1.85714285714286" style="26" customWidth="1"/>
    <col min="15622" max="15622" width="15.8571428571429" style="26" customWidth="1"/>
    <col min="15623" max="15623" width="7" style="26" customWidth="1"/>
    <col min="15624" max="15624" width="11.2857142857143" style="26" customWidth="1"/>
    <col min="15625" max="15625" width="7" style="26" customWidth="1"/>
    <col min="15626" max="15626" width="11.2857142857143" style="26" customWidth="1"/>
    <col min="15627" max="15627" width="1.57142857142857" style="26" customWidth="1"/>
    <col min="15628" max="15628" width="13.4285714285714" style="26" bestFit="1" customWidth="1"/>
    <col min="15629" max="15629" width="8.42857142857143" style="26" customWidth="1"/>
    <col min="15630" max="15630" width="11.2857142857143" style="26" customWidth="1"/>
    <col min="15631" max="15631" width="13.4285714285714" style="26" bestFit="1" customWidth="1"/>
    <col min="15632" max="15873" width="11.8571428571429" style="26"/>
    <col min="15874" max="15874" width="7.57142857142857" style="26" customWidth="1"/>
    <col min="15875" max="15875" width="37.8571428571429" style="26" bestFit="1" customWidth="1"/>
    <col min="15876" max="15876" width="15.5714285714286" style="26" customWidth="1"/>
    <col min="15877" max="15877" width="1.85714285714286" style="26" customWidth="1"/>
    <col min="15878" max="15878" width="15.8571428571429" style="26" customWidth="1"/>
    <col min="15879" max="15879" width="7" style="26" customWidth="1"/>
    <col min="15880" max="15880" width="11.2857142857143" style="26" customWidth="1"/>
    <col min="15881" max="15881" width="7" style="26" customWidth="1"/>
    <col min="15882" max="15882" width="11.2857142857143" style="26" customWidth="1"/>
    <col min="15883" max="15883" width="1.57142857142857" style="26" customWidth="1"/>
    <col min="15884" max="15884" width="13.4285714285714" style="26" bestFit="1" customWidth="1"/>
    <col min="15885" max="15885" width="8.42857142857143" style="26" customWidth="1"/>
    <col min="15886" max="15886" width="11.2857142857143" style="26" customWidth="1"/>
    <col min="15887" max="15887" width="13.4285714285714" style="26" bestFit="1" customWidth="1"/>
    <col min="15888" max="16129" width="11.8571428571429" style="26"/>
    <col min="16130" max="16130" width="7.57142857142857" style="26" customWidth="1"/>
    <col min="16131" max="16131" width="37.8571428571429" style="26" bestFit="1" customWidth="1"/>
    <col min="16132" max="16132" width="15.5714285714286" style="26" customWidth="1"/>
    <col min="16133" max="16133" width="1.85714285714286" style="26" customWidth="1"/>
    <col min="16134" max="16134" width="15.8571428571429" style="26" customWidth="1"/>
    <col min="16135" max="16135" width="7" style="26" customWidth="1"/>
    <col min="16136" max="16136" width="11.2857142857143" style="26" customWidth="1"/>
    <col min="16137" max="16137" width="7" style="26" customWidth="1"/>
    <col min="16138" max="16138" width="11.2857142857143" style="26" customWidth="1"/>
    <col min="16139" max="16139" width="1.57142857142857" style="26" customWidth="1"/>
    <col min="16140" max="16140" width="13.4285714285714" style="26" bestFit="1" customWidth="1"/>
    <col min="16141" max="16141" width="8.42857142857143" style="26" customWidth="1"/>
    <col min="16142" max="16142" width="11.2857142857143" style="26" customWidth="1"/>
    <col min="16143" max="16143" width="13.4285714285714" style="26" bestFit="1" customWidth="1"/>
    <col min="16144" max="16384" width="11.8571428571429" style="26"/>
  </cols>
  <sheetData>
    <row r="1" spans="1:15" ht="18">
      <c r="A1" s="864" t="s">
        <v>56</v>
      </c>
      <c r="B1" s="864"/>
      <c r="C1" s="864"/>
      <c r="D1" s="864"/>
      <c r="E1" s="864"/>
      <c r="F1" s="864"/>
      <c r="G1" s="864"/>
      <c r="H1" s="864"/>
      <c r="I1" s="864"/>
      <c r="J1" s="864"/>
      <c r="K1" s="864"/>
      <c r="L1" s="864"/>
      <c r="M1" s="864"/>
      <c r="N1" s="864"/>
      <c r="O1" s="864"/>
    </row>
    <row r="2" spans="1:15" ht="12.75">
      <c r="A2" s="865" t="str">
        <f>Input!B3</f>
        <v>FPUC, FPUC - Common, FPUC - Indiantown, Florida Division of Chesapeake Utilities Corporation, FPUC - Ft Meade</v>
      </c>
      <c r="B2" s="865"/>
      <c r="C2" s="865"/>
      <c r="D2" s="865"/>
      <c r="E2" s="865"/>
      <c r="F2" s="865"/>
      <c r="G2" s="865"/>
      <c r="H2" s="865"/>
      <c r="I2" s="865"/>
      <c r="J2" s="865"/>
      <c r="K2" s="865"/>
      <c r="L2" s="865"/>
      <c r="M2" s="865"/>
      <c r="N2" s="865"/>
      <c r="O2" s="865"/>
    </row>
    <row r="3" spans="1:15" ht="15.75">
      <c r="A3" s="863" t="s">
        <v>57</v>
      </c>
      <c r="B3" s="863"/>
      <c r="C3" s="863"/>
      <c r="D3" s="863"/>
      <c r="E3" s="863"/>
      <c r="F3" s="863"/>
      <c r="G3" s="863"/>
      <c r="H3" s="863"/>
      <c r="I3" s="863"/>
      <c r="J3" s="863"/>
      <c r="K3" s="863"/>
      <c r="L3" s="863"/>
      <c r="M3" s="863"/>
      <c r="N3" s="863"/>
      <c r="O3" s="863"/>
    </row>
    <row r="4" spans="1:15" ht="12.75">
      <c r="A4" s="866" t="str">
        <f>'Sch. B'!A4</f>
        <v>(Actual through 12/31/21 and Projected through 12/31/22)</v>
      </c>
      <c r="B4" s="866"/>
      <c r="C4" s="866"/>
      <c r="D4" s="866"/>
      <c r="E4" s="866"/>
      <c r="F4" s="866"/>
      <c r="G4" s="866"/>
      <c r="H4" s="866"/>
      <c r="I4" s="866"/>
      <c r="J4" s="866"/>
      <c r="K4" s="866"/>
      <c r="L4" s="866"/>
      <c r="M4" s="866"/>
      <c r="N4" s="866"/>
      <c r="O4" s="866"/>
    </row>
    <row r="5" spans="1:15" ht="15.75">
      <c r="A5" s="863" t="s">
        <v>143</v>
      </c>
      <c r="B5" s="863"/>
      <c r="C5" s="863"/>
      <c r="D5" s="863"/>
      <c r="E5" s="863"/>
      <c r="F5" s="863"/>
      <c r="G5" s="863"/>
      <c r="H5" s="863"/>
      <c r="I5" s="863"/>
      <c r="J5" s="863"/>
      <c r="K5" s="863"/>
      <c r="L5" s="863"/>
      <c r="M5" s="863"/>
      <c r="N5" s="863"/>
      <c r="O5" s="863"/>
    </row>
    <row r="6" spans="2:15" s="88" customFormat="1" ht="18.75" thickBot="1">
      <c r="B6" s="92"/>
      <c r="C6" s="93"/>
      <c r="D6" s="93"/>
      <c r="E6" s="93"/>
      <c r="F6" s="687"/>
      <c r="G6" s="93"/>
      <c r="H6" s="93"/>
      <c r="I6" s="93"/>
      <c r="J6" s="93"/>
      <c r="K6" s="93"/>
      <c r="L6" s="121"/>
      <c r="M6" s="93"/>
      <c r="N6" s="93"/>
      <c r="O6" s="121"/>
    </row>
    <row r="7" spans="1:15" s="27" customFormat="1" ht="54" customHeight="1" thickTop="1" thickBot="1">
      <c r="A7" s="866"/>
      <c r="B7" s="866"/>
      <c r="C7" s="899"/>
      <c r="D7" s="899"/>
      <c r="E7" s="899"/>
      <c r="F7" s="695"/>
      <c r="G7" s="900" t="s">
        <v>136</v>
      </c>
      <c r="H7" s="901"/>
      <c r="I7" s="902" t="s">
        <v>61</v>
      </c>
      <c r="J7" s="903"/>
      <c r="K7" s="903"/>
      <c r="L7" s="901"/>
      <c r="M7" s="902" t="s">
        <v>62</v>
      </c>
      <c r="N7" s="903"/>
      <c r="O7" s="904"/>
    </row>
    <row r="8" spans="1:15" s="27" customFormat="1" ht="14.25" thickTop="1" thickBot="1">
      <c r="A8" s="866"/>
      <c r="B8" s="866"/>
      <c r="C8" s="696" t="s">
        <v>63</v>
      </c>
      <c r="D8" s="697"/>
      <c r="E8" s="698"/>
      <c r="F8" s="699"/>
      <c r="G8" s="122"/>
      <c r="H8" s="123"/>
      <c r="I8" s="122"/>
      <c r="J8" s="124"/>
      <c r="K8" s="124"/>
      <c r="L8" s="125"/>
      <c r="M8" s="122"/>
      <c r="N8" s="124"/>
      <c r="O8" s="126"/>
    </row>
    <row r="9" spans="1:15" s="27" customFormat="1" ht="13.5" thickTop="1">
      <c r="A9" s="866"/>
      <c r="B9" s="866"/>
      <c r="C9" s="127" t="s">
        <v>66</v>
      </c>
      <c r="D9" s="700"/>
      <c r="E9" s="128" t="s">
        <v>66</v>
      </c>
      <c r="F9" s="128"/>
      <c r="G9" s="122"/>
      <c r="H9" s="123"/>
      <c r="I9" s="122"/>
      <c r="J9" s="124"/>
      <c r="K9" s="124"/>
      <c r="L9" s="129" t="s">
        <v>144</v>
      </c>
      <c r="M9" s="122"/>
      <c r="N9" s="124"/>
      <c r="O9" s="130" t="s">
        <v>144</v>
      </c>
    </row>
    <row r="10" spans="1:15" s="27" customFormat="1" ht="13.5" thickBot="1">
      <c r="A10" s="898"/>
      <c r="B10" s="898"/>
      <c r="C10" s="127">
        <v>44927</v>
      </c>
      <c r="D10" s="128"/>
      <c r="E10" s="128">
        <f>+C10</f>
        <v>44927</v>
      </c>
      <c r="F10" s="128"/>
      <c r="G10" s="122" t="s">
        <v>138</v>
      </c>
      <c r="H10" s="123" t="s">
        <v>145</v>
      </c>
      <c r="I10" s="122" t="s">
        <v>138</v>
      </c>
      <c r="J10" s="124" t="s">
        <v>145</v>
      </c>
      <c r="K10" s="124"/>
      <c r="L10" s="129" t="s">
        <v>146</v>
      </c>
      <c r="M10" s="122" t="s">
        <v>138</v>
      </c>
      <c r="N10" s="124" t="s">
        <v>145</v>
      </c>
      <c r="O10" s="130" t="s">
        <v>146</v>
      </c>
    </row>
    <row r="11" spans="1:15" s="27" customFormat="1" ht="14.25" thickTop="1" thickBot="1">
      <c r="A11" s="131" t="s">
        <v>74</v>
      </c>
      <c r="B11" s="132"/>
      <c r="C11" s="133" t="s">
        <v>75</v>
      </c>
      <c r="D11" s="134"/>
      <c r="E11" s="134" t="s">
        <v>76</v>
      </c>
      <c r="F11" s="134"/>
      <c r="G11" s="135" t="s">
        <v>78</v>
      </c>
      <c r="H11" s="136" t="s">
        <v>147</v>
      </c>
      <c r="I11" s="135" t="s">
        <v>78</v>
      </c>
      <c r="J11" s="137" t="s">
        <v>147</v>
      </c>
      <c r="K11" s="137"/>
      <c r="L11" s="138" t="s">
        <v>147</v>
      </c>
      <c r="M11" s="135" t="s">
        <v>78</v>
      </c>
      <c r="N11" s="137" t="s">
        <v>147</v>
      </c>
      <c r="O11" s="139" t="s">
        <v>147</v>
      </c>
    </row>
    <row r="12" spans="1:15" s="58" customFormat="1" ht="11.25">
      <c r="A12" s="52"/>
      <c r="B12" s="81"/>
      <c r="C12" s="140"/>
      <c r="D12" s="53"/>
      <c r="E12" s="53"/>
      <c r="F12" s="53"/>
      <c r="G12" s="102"/>
      <c r="H12" s="141"/>
      <c r="I12" s="102"/>
      <c r="J12" s="55"/>
      <c r="K12" s="55"/>
      <c r="L12" s="142"/>
      <c r="M12" s="102"/>
      <c r="N12" s="55"/>
      <c r="O12" s="42"/>
    </row>
    <row r="13" spans="1:15" s="58" customFormat="1" ht="11.25">
      <c r="A13" s="143" t="s">
        <v>79</v>
      </c>
      <c r="B13" s="144"/>
      <c r="C13" s="754"/>
      <c r="D13" s="755"/>
      <c r="E13" s="755"/>
      <c r="F13" s="755"/>
      <c r="G13" s="756"/>
      <c r="H13" s="759"/>
      <c r="I13" s="756"/>
      <c r="J13" s="757"/>
      <c r="K13" s="757"/>
      <c r="L13" s="776"/>
      <c r="M13" s="97"/>
      <c r="N13" s="40"/>
      <c r="O13" s="42"/>
    </row>
    <row r="14" spans="1:15" ht="12.75">
      <c r="A14" s="63">
        <v>3741</v>
      </c>
      <c r="B14" s="115" t="s">
        <v>80</v>
      </c>
      <c r="C14" s="777">
        <f>'Sch. A'!C14</f>
        <v>33410</v>
      </c>
      <c r="D14" s="760"/>
      <c r="E14" s="760">
        <f>'Sch. A'!D14</f>
        <v>11583</v>
      </c>
      <c r="F14" s="760"/>
      <c r="G14" s="493">
        <f>'Sch. B'!C14</f>
        <v>5.5</v>
      </c>
      <c r="H14" s="494">
        <f t="shared" si="0" ref="H14:H31">ROUND(+G14/100*C14,0)</f>
        <v>1838</v>
      </c>
      <c r="I14" s="493">
        <f>'Sch. B'!G14</f>
        <v>1.2</v>
      </c>
      <c r="J14" s="496">
        <f t="shared" si="1" ref="J14:J31">+ROUND(I14/100*C14,0)</f>
        <v>401</v>
      </c>
      <c r="K14" s="496"/>
      <c r="L14" s="661">
        <f>+J14-H14</f>
        <v>-1437</v>
      </c>
      <c r="M14" s="106"/>
      <c r="N14" s="145"/>
      <c r="O14" s="146"/>
    </row>
    <row r="15" spans="1:15" ht="12.75">
      <c r="A15" s="63">
        <v>375</v>
      </c>
      <c r="B15" s="115" t="s">
        <v>82</v>
      </c>
      <c r="C15" s="777">
        <f>'Sch. A'!C15</f>
        <v>1572719</v>
      </c>
      <c r="D15" s="760"/>
      <c r="E15" s="760">
        <f>'Sch. A'!D15</f>
        <v>351957</v>
      </c>
      <c r="F15" s="760"/>
      <c r="G15" s="493">
        <f>'Sch. B'!C15</f>
        <v>2.5</v>
      </c>
      <c r="H15" s="494">
        <f>ROUND(+G15/100*C15,0)</f>
        <v>39318</v>
      </c>
      <c r="I15" s="493">
        <f>'Sch. B'!G15</f>
        <v>2.7999999999999998</v>
      </c>
      <c r="J15" s="496">
        <f t="shared" si="1"/>
        <v>44036</v>
      </c>
      <c r="K15" s="496"/>
      <c r="L15" s="661">
        <f t="shared" si="2" ref="L15:L31">+J15-H15</f>
        <v>4718</v>
      </c>
      <c r="M15" s="106"/>
      <c r="N15" s="145"/>
      <c r="O15" s="146"/>
    </row>
    <row r="16" spans="1:15" ht="12.75">
      <c r="A16" s="63">
        <v>3761</v>
      </c>
      <c r="B16" s="115" t="s">
        <v>84</v>
      </c>
      <c r="C16" s="777">
        <f>'Sch. A'!C16</f>
        <v>129087416</v>
      </c>
      <c r="D16" s="760"/>
      <c r="E16" s="760">
        <f>'Sch. A'!D16</f>
        <v>32009063</v>
      </c>
      <c r="F16" s="760"/>
      <c r="G16" s="493">
        <f>'Sch. B'!C16</f>
        <v>2.1000000000000001</v>
      </c>
      <c r="H16" s="494">
        <f t="shared" si="0"/>
        <v>2710836</v>
      </c>
      <c r="I16" s="493">
        <f>'Sch. B'!G16</f>
        <v>1.6000000000000001</v>
      </c>
      <c r="J16" s="496">
        <f t="shared" si="1"/>
        <v>2065399</v>
      </c>
      <c r="K16" s="496"/>
      <c r="L16" s="661">
        <f t="shared" si="2"/>
        <v>-645437</v>
      </c>
      <c r="M16" s="106"/>
      <c r="N16" s="145"/>
      <c r="O16" s="146"/>
    </row>
    <row r="17" spans="1:15" ht="12.75">
      <c r="A17" s="63">
        <v>3762</v>
      </c>
      <c r="B17" s="115" t="s">
        <v>86</v>
      </c>
      <c r="C17" s="777">
        <f>'Sch. A'!C17</f>
        <v>61810864</v>
      </c>
      <c r="D17" s="760"/>
      <c r="E17" s="760">
        <f>'Sch. A'!D17</f>
        <v>30162494</v>
      </c>
      <c r="F17" s="760"/>
      <c r="G17" s="493">
        <f>'Sch. B'!C17</f>
        <v>2.2000000000000002</v>
      </c>
      <c r="H17" s="494">
        <f>ROUND(+G17/100*C17,0)</f>
        <v>1359839</v>
      </c>
      <c r="I17" s="493">
        <f>'Sch. B'!G17</f>
        <v>2.1000000000000001</v>
      </c>
      <c r="J17" s="496">
        <f t="shared" si="1"/>
        <v>1298028</v>
      </c>
      <c r="K17" s="496"/>
      <c r="L17" s="661">
        <f t="shared" si="2"/>
        <v>-61811</v>
      </c>
      <c r="M17" s="106"/>
      <c r="N17" s="145"/>
      <c r="O17" s="146"/>
    </row>
    <row r="18" spans="1:15" ht="12.75">
      <c r="A18" s="63" t="s">
        <v>87</v>
      </c>
      <c r="B18" s="115" t="s">
        <v>88</v>
      </c>
      <c r="C18" s="777">
        <f>'Sch. A'!C18</f>
        <v>146906029</v>
      </c>
      <c r="D18" s="760"/>
      <c r="E18" s="760">
        <f>'Sch. A'!D18</f>
        <v>17733587</v>
      </c>
      <c r="F18" s="760"/>
      <c r="G18" s="493">
        <f>'Sch. B'!C18</f>
        <v>2.1000000000000001</v>
      </c>
      <c r="H18" s="494">
        <f>ROUND(+G18/100*C18,0)</f>
        <v>3085027</v>
      </c>
      <c r="I18" s="493">
        <f>'Sch. B'!G18</f>
        <v>1.6000000000000001</v>
      </c>
      <c r="J18" s="496">
        <f t="shared" si="1"/>
        <v>2350496</v>
      </c>
      <c r="K18" s="496"/>
      <c r="L18" s="661">
        <f t="shared" si="2"/>
        <v>-734531</v>
      </c>
      <c r="M18" s="106"/>
      <c r="N18" s="145"/>
      <c r="O18" s="146"/>
    </row>
    <row r="19" spans="1:15" ht="12.75">
      <c r="A19" s="63">
        <v>378</v>
      </c>
      <c r="B19" s="115" t="s">
        <v>89</v>
      </c>
      <c r="C19" s="777">
        <f>'Sch. A'!C19</f>
        <v>6890853</v>
      </c>
      <c r="D19" s="760"/>
      <c r="E19" s="760">
        <f>'Sch. A'!D19</f>
        <v>1702522</v>
      </c>
      <c r="F19" s="760"/>
      <c r="G19" s="493">
        <f>'Sch. B'!C19</f>
        <v>3.5</v>
      </c>
      <c r="H19" s="494">
        <f t="shared" si="0"/>
        <v>241180</v>
      </c>
      <c r="I19" s="493">
        <f>'Sch. B'!G19</f>
        <v>2.7000000000000002</v>
      </c>
      <c r="J19" s="496">
        <f t="shared" si="1"/>
        <v>186053</v>
      </c>
      <c r="K19" s="496"/>
      <c r="L19" s="661">
        <f t="shared" si="2"/>
        <v>-55127</v>
      </c>
      <c r="M19" s="106"/>
      <c r="N19" s="145"/>
      <c r="O19" s="146"/>
    </row>
    <row r="20" spans="1:15" ht="25.5">
      <c r="A20" s="63">
        <v>379</v>
      </c>
      <c r="B20" s="115" t="s">
        <v>139</v>
      </c>
      <c r="C20" s="777">
        <f>'Sch. A'!C20</f>
        <v>14603999</v>
      </c>
      <c r="D20" s="760"/>
      <c r="E20" s="760">
        <f>'Sch. A'!D20</f>
        <v>5789277</v>
      </c>
      <c r="F20" s="760"/>
      <c r="G20" s="493">
        <f>'Sch. B'!C20</f>
        <v>3.1000000000000001</v>
      </c>
      <c r="H20" s="494">
        <f t="shared" si="0"/>
        <v>452724</v>
      </c>
      <c r="I20" s="493">
        <f>'Sch. B'!G20</f>
        <v>2.5</v>
      </c>
      <c r="J20" s="496">
        <f t="shared" si="1"/>
        <v>365100</v>
      </c>
      <c r="K20" s="496"/>
      <c r="L20" s="661">
        <f t="shared" si="2"/>
        <v>-87624</v>
      </c>
      <c r="M20" s="106"/>
      <c r="N20" s="145"/>
      <c r="O20" s="146"/>
    </row>
    <row r="21" spans="1:15" ht="12.75">
      <c r="A21" s="63">
        <v>3801</v>
      </c>
      <c r="B21" s="115" t="s">
        <v>92</v>
      </c>
      <c r="C21" s="777">
        <f>'Sch. A'!C21</f>
        <v>69786805</v>
      </c>
      <c r="D21" s="760"/>
      <c r="E21" s="760">
        <f>'Sch. A'!D21</f>
        <v>15557857</v>
      </c>
      <c r="F21" s="760"/>
      <c r="G21" s="493">
        <f>'Sch. B'!C21</f>
        <v>2.2000000000000002</v>
      </c>
      <c r="H21" s="494">
        <f t="shared" si="0"/>
        <v>1535310</v>
      </c>
      <c r="I21" s="493">
        <f>'Sch. B'!G21</f>
        <v>2.5</v>
      </c>
      <c r="J21" s="496">
        <f>+ROUND(I21/100*C21,0)</f>
        <v>1744670</v>
      </c>
      <c r="K21" s="496"/>
      <c r="L21" s="661">
        <f t="shared" si="2"/>
        <v>209360</v>
      </c>
      <c r="M21" s="106"/>
      <c r="N21" s="145"/>
      <c r="O21" s="146"/>
    </row>
    <row r="22" spans="1:15" ht="12.75">
      <c r="A22" s="63">
        <v>3802</v>
      </c>
      <c r="B22" s="115" t="s">
        <v>93</v>
      </c>
      <c r="C22" s="777">
        <f>'Sch. A'!C22</f>
        <v>1327469</v>
      </c>
      <c r="D22" s="760"/>
      <c r="E22" s="760">
        <f>'Sch. A'!D22</f>
        <v>1419349</v>
      </c>
      <c r="F22" s="760"/>
      <c r="G22" s="493">
        <f>'Sch. B'!C22</f>
        <v>9.1999999999999993</v>
      </c>
      <c r="H22" s="494">
        <f t="shared" si="0"/>
        <v>122127</v>
      </c>
      <c r="I22" s="493">
        <f>'Sch. B'!G22</f>
        <v>3.5</v>
      </c>
      <c r="J22" s="496">
        <f t="shared" si="1"/>
        <v>46461</v>
      </c>
      <c r="K22" s="496"/>
      <c r="L22" s="661">
        <f t="shared" si="2"/>
        <v>-75666</v>
      </c>
      <c r="M22" s="106"/>
      <c r="N22" s="145"/>
      <c r="O22" s="146"/>
    </row>
    <row r="23" spans="1:15" ht="12.75">
      <c r="A23" s="63" t="s">
        <v>95</v>
      </c>
      <c r="B23" s="115" t="s">
        <v>96</v>
      </c>
      <c r="C23" s="777">
        <f>'Sch. A'!C23</f>
        <v>48993831</v>
      </c>
      <c r="D23" s="760"/>
      <c r="E23" s="760">
        <f>'Sch. A'!D23</f>
        <v>3452804</v>
      </c>
      <c r="F23" s="760"/>
      <c r="G23" s="493">
        <f>'Sch. B'!C23</f>
        <v>2.2000000000000002</v>
      </c>
      <c r="H23" s="494">
        <f t="shared" si="0"/>
        <v>1077864</v>
      </c>
      <c r="I23" s="493">
        <f>'Sch. B'!G23</f>
        <v>2.5</v>
      </c>
      <c r="J23" s="496">
        <f t="shared" si="1"/>
        <v>1224846</v>
      </c>
      <c r="K23" s="496"/>
      <c r="L23" s="661">
        <f t="shared" si="2"/>
        <v>146982</v>
      </c>
      <c r="M23" s="106"/>
      <c r="N23" s="145"/>
      <c r="O23" s="146"/>
    </row>
    <row r="24" spans="1:15" ht="12.75">
      <c r="A24" s="63">
        <v>381</v>
      </c>
      <c r="B24" s="115" t="s">
        <v>97</v>
      </c>
      <c r="C24" s="777">
        <f>'Sch. A'!C24</f>
        <v>23268059</v>
      </c>
      <c r="D24" s="760"/>
      <c r="E24" s="760">
        <f>'Sch. A'!D24</f>
        <v>7354720</v>
      </c>
      <c r="F24" s="760"/>
      <c r="G24" s="493">
        <f>'Sch. B'!C24</f>
        <v>3.6000000000000001</v>
      </c>
      <c r="H24" s="494">
        <f t="shared" si="0"/>
        <v>837650</v>
      </c>
      <c r="I24" s="493">
        <f>'Sch. B'!G24</f>
        <v>3.7000000000000002</v>
      </c>
      <c r="J24" s="496">
        <f t="shared" si="1"/>
        <v>860918</v>
      </c>
      <c r="K24" s="496"/>
      <c r="L24" s="661">
        <f t="shared" si="2"/>
        <v>23268</v>
      </c>
      <c r="M24" s="106"/>
      <c r="N24" s="145"/>
      <c r="O24" s="146"/>
    </row>
    <row r="25" spans="1:15" ht="12.75">
      <c r="A25" s="63">
        <v>3811</v>
      </c>
      <c r="B25" s="115" t="s">
        <v>98</v>
      </c>
      <c r="C25" s="777">
        <f>'Sch. A'!C25</f>
        <v>2303034</v>
      </c>
      <c r="D25" s="760"/>
      <c r="E25" s="760">
        <f>'Sch. A'!D25</f>
        <v>1452732</v>
      </c>
      <c r="F25" s="760"/>
      <c r="G25" s="493">
        <f>'Sch. B'!C25</f>
        <v>4.2999999999999998</v>
      </c>
      <c r="H25" s="494">
        <f t="shared" si="0"/>
        <v>99030</v>
      </c>
      <c r="I25" s="493">
        <f>'Sch. B'!G25</f>
        <v>2.2000000000000002</v>
      </c>
      <c r="J25" s="496">
        <f t="shared" si="1"/>
        <v>50667</v>
      </c>
      <c r="K25" s="496"/>
      <c r="L25" s="661">
        <f t="shared" si="2"/>
        <v>-48363</v>
      </c>
      <c r="M25" s="106"/>
      <c r="N25" s="145"/>
      <c r="O25" s="146"/>
    </row>
    <row r="26" spans="1:15" ht="12.75">
      <c r="A26" s="63">
        <v>382</v>
      </c>
      <c r="B26" s="115" t="s">
        <v>99</v>
      </c>
      <c r="C26" s="777">
        <f>'Sch. A'!C26</f>
        <v>18239922</v>
      </c>
      <c r="D26" s="760"/>
      <c r="E26" s="760">
        <f>'Sch. A'!D26</f>
        <v>5258682</v>
      </c>
      <c r="F26" s="760"/>
      <c r="G26" s="493">
        <f>'Sch. B'!C26</f>
        <v>3.2000000000000002</v>
      </c>
      <c r="H26" s="494">
        <f t="shared" si="0"/>
        <v>583678</v>
      </c>
      <c r="I26" s="493">
        <f>'Sch. B'!G26</f>
        <v>2.6000000000000001</v>
      </c>
      <c r="J26" s="496">
        <f t="shared" si="1"/>
        <v>474238</v>
      </c>
      <c r="K26" s="496"/>
      <c r="L26" s="661">
        <f t="shared" si="2"/>
        <v>-109440</v>
      </c>
      <c r="M26" s="106"/>
      <c r="N26" s="145"/>
      <c r="O26" s="146"/>
    </row>
    <row r="27" spans="1:15" ht="12.75">
      <c r="A27" s="63">
        <v>3821</v>
      </c>
      <c r="B27" s="115" t="s">
        <v>100</v>
      </c>
      <c r="C27" s="777">
        <f>'Sch. A'!C27</f>
        <v>593040</v>
      </c>
      <c r="D27" s="760"/>
      <c r="E27" s="760">
        <f>'Sch. A'!D27</f>
        <v>283446</v>
      </c>
      <c r="F27" s="760"/>
      <c r="G27" s="493">
        <f>'Sch. B'!C27</f>
        <v>2.6000000000000001</v>
      </c>
      <c r="H27" s="494">
        <f t="shared" si="0"/>
        <v>15419</v>
      </c>
      <c r="I27" s="493">
        <f>'Sch. B'!G27</f>
        <v>2.2000000000000002</v>
      </c>
      <c r="J27" s="496">
        <f t="shared" si="1"/>
        <v>13047</v>
      </c>
      <c r="K27" s="496"/>
      <c r="L27" s="661">
        <f>+J27-H27</f>
        <v>-2372</v>
      </c>
      <c r="M27" s="106"/>
      <c r="N27" s="145"/>
      <c r="O27" s="146"/>
    </row>
    <row r="28" spans="1:15" ht="12.75">
      <c r="A28" s="63">
        <v>383</v>
      </c>
      <c r="B28" s="115" t="s">
        <v>101</v>
      </c>
      <c r="C28" s="777">
        <f>'Sch. A'!C28</f>
        <v>6859108</v>
      </c>
      <c r="D28" s="760"/>
      <c r="E28" s="760">
        <f>'Sch. A'!D28</f>
        <v>3131461</v>
      </c>
      <c r="F28" s="760"/>
      <c r="G28" s="493">
        <f>'Sch. B'!C28</f>
        <v>3.2999999999999998</v>
      </c>
      <c r="H28" s="494">
        <f t="shared" si="0"/>
        <v>226351</v>
      </c>
      <c r="I28" s="493">
        <f>'Sch. B'!G28</f>
        <v>2</v>
      </c>
      <c r="J28" s="496">
        <f t="shared" si="1"/>
        <v>137182</v>
      </c>
      <c r="K28" s="496"/>
      <c r="L28" s="661">
        <f t="shared" si="2"/>
        <v>-89169</v>
      </c>
      <c r="M28" s="106"/>
      <c r="N28" s="145"/>
      <c r="O28" s="146"/>
    </row>
    <row r="29" spans="1:15" ht="12.75">
      <c r="A29" s="63">
        <v>384</v>
      </c>
      <c r="B29" s="115" t="s">
        <v>103</v>
      </c>
      <c r="C29" s="777">
        <f>'Sch. A'!C29</f>
        <v>1081399</v>
      </c>
      <c r="D29" s="760"/>
      <c r="E29" s="760">
        <f>'Sch. A'!D29</f>
        <v>694010</v>
      </c>
      <c r="F29" s="760"/>
      <c r="G29" s="493">
        <f>'Sch. B'!C29</f>
        <v>2.7000000000000002</v>
      </c>
      <c r="H29" s="494">
        <f t="shared" si="0"/>
        <v>29198</v>
      </c>
      <c r="I29" s="493">
        <f>'Sch. B'!G29</f>
        <v>2.3999999999999999</v>
      </c>
      <c r="J29" s="496">
        <f t="shared" si="1"/>
        <v>25954</v>
      </c>
      <c r="K29" s="496"/>
      <c r="L29" s="661">
        <f t="shared" si="2"/>
        <v>-3244</v>
      </c>
      <c r="M29" s="106"/>
      <c r="N29" s="145"/>
      <c r="O29" s="146"/>
    </row>
    <row r="30" spans="1:15" ht="12.75">
      <c r="A30" s="63">
        <v>385</v>
      </c>
      <c r="B30" s="115" t="s">
        <v>104</v>
      </c>
      <c r="C30" s="777">
        <f>'Sch. A'!C30</f>
        <v>1883028</v>
      </c>
      <c r="D30" s="760"/>
      <c r="E30" s="760">
        <f>'Sch. A'!D30</f>
        <v>1227066</v>
      </c>
      <c r="F30" s="760"/>
      <c r="G30" s="493">
        <f>'Sch. B'!C30</f>
        <v>2.2999999999999998</v>
      </c>
      <c r="H30" s="494">
        <f t="shared" si="0"/>
        <v>43310</v>
      </c>
      <c r="I30" s="493">
        <f>'Sch. B'!G30</f>
        <v>2</v>
      </c>
      <c r="J30" s="496">
        <f t="shared" si="1"/>
        <v>37661</v>
      </c>
      <c r="K30" s="496"/>
      <c r="L30" s="661">
        <f t="shared" si="2"/>
        <v>-5649</v>
      </c>
      <c r="M30" s="106"/>
      <c r="N30" s="145"/>
      <c r="O30" s="146"/>
    </row>
    <row r="31" spans="1:15" ht="12.75">
      <c r="A31" s="63">
        <v>387</v>
      </c>
      <c r="B31" s="115" t="s">
        <v>105</v>
      </c>
      <c r="C31" s="777">
        <f>'Sch. A'!C31</f>
        <v>3458702</v>
      </c>
      <c r="D31" s="760"/>
      <c r="E31" s="760">
        <f>'Sch. A'!D31</f>
        <v>1496827</v>
      </c>
      <c r="F31" s="760"/>
      <c r="G31" s="493">
        <f>'Sch. B'!C31</f>
        <v>4</v>
      </c>
      <c r="H31" s="778">
        <f t="shared" si="0"/>
        <v>138348</v>
      </c>
      <c r="I31" s="493">
        <f>'Sch. B'!G31</f>
        <v>3</v>
      </c>
      <c r="J31" s="779">
        <f t="shared" si="1"/>
        <v>103761</v>
      </c>
      <c r="K31" s="779"/>
      <c r="L31" s="780">
        <f t="shared" si="2"/>
        <v>-34587</v>
      </c>
      <c r="M31" s="106"/>
      <c r="N31" s="145"/>
      <c r="O31" s="146"/>
    </row>
    <row r="32" spans="1:15" s="58" customFormat="1" ht="13.5" thickBot="1">
      <c r="A32" s="52"/>
      <c r="B32" s="147"/>
      <c r="C32" s="820">
        <f>SUM(C14:C31)</f>
        <v>538699687</v>
      </c>
      <c r="D32" s="821"/>
      <c r="E32" s="822">
        <f>SUM(E14:E31)</f>
        <v>129089437</v>
      </c>
      <c r="F32" s="823"/>
      <c r="G32" s="824"/>
      <c r="H32" s="825">
        <f>SUM(H14:H31)</f>
        <v>12599047</v>
      </c>
      <c r="I32" s="824"/>
      <c r="J32" s="825">
        <f>SUM(J14:J31)</f>
        <v>11028918</v>
      </c>
      <c r="K32" s="821"/>
      <c r="L32" s="826">
        <f>SUM(L14:L31)</f>
        <v>-1570129</v>
      </c>
      <c r="M32" s="827"/>
      <c r="N32" s="825">
        <f>SUM(N14:N31)</f>
        <v>0</v>
      </c>
      <c r="O32" s="828">
        <f>SUM(O14:O31)</f>
        <v>0</v>
      </c>
    </row>
    <row r="33" spans="1:15" s="58" customFormat="1" ht="13.5" thickTop="1">
      <c r="A33" s="59" t="s">
        <v>107</v>
      </c>
      <c r="B33" s="148"/>
      <c r="C33" s="781"/>
      <c r="D33" s="782"/>
      <c r="E33" s="782"/>
      <c r="F33" s="782"/>
      <c r="G33" s="783"/>
      <c r="H33" s="784"/>
      <c r="I33" s="783"/>
      <c r="J33" s="785"/>
      <c r="K33" s="785"/>
      <c r="L33" s="786"/>
      <c r="M33" s="106"/>
      <c r="N33" s="149"/>
      <c r="O33" s="150"/>
    </row>
    <row r="34" spans="1:15" ht="12.75">
      <c r="A34" s="63">
        <v>390</v>
      </c>
      <c r="B34" s="115" t="s">
        <v>140</v>
      </c>
      <c r="C34" s="777">
        <f>'Sch. A'!C34</f>
        <v>14092184</v>
      </c>
      <c r="D34" s="760"/>
      <c r="E34" s="760">
        <f>'Sch. A'!D34</f>
        <v>1099982</v>
      </c>
      <c r="F34" s="760"/>
      <c r="G34" s="493">
        <f>'Sch. B'!C34</f>
        <v>2.2999999999999998</v>
      </c>
      <c r="H34" s="494">
        <f t="shared" si="3" ref="H34:H49">ROUND(+G34/100*C34,0)</f>
        <v>324120</v>
      </c>
      <c r="I34" s="493">
        <f>'Sch. B'!G34</f>
        <v>2.2999999999999998</v>
      </c>
      <c r="J34" s="496">
        <f t="shared" si="4" ref="J34:J48">+ROUND(I34/100*C34,0)</f>
        <v>324120</v>
      </c>
      <c r="K34" s="496"/>
      <c r="L34" s="661">
        <f t="shared" si="5" ref="L34:L48">+J34-H34</f>
        <v>0</v>
      </c>
      <c r="M34" s="106"/>
      <c r="N34" s="145"/>
      <c r="O34" s="146"/>
    </row>
    <row r="35" spans="1:15" ht="15" customHeight="1">
      <c r="A35" s="63">
        <v>3910</v>
      </c>
      <c r="B35" s="105" t="s">
        <v>109</v>
      </c>
      <c r="C35" s="777">
        <f>'Sch. A'!C35</f>
        <v>2294441</v>
      </c>
      <c r="D35" s="760"/>
      <c r="E35" s="760">
        <f>'Sch. A'!D35</f>
        <v>458888</v>
      </c>
      <c r="F35" s="773" t="s">
        <v>677</v>
      </c>
      <c r="G35" s="493">
        <f>100/14</f>
        <v>7.1428571428571432</v>
      </c>
      <c r="H35" s="494">
        <f t="shared" si="3"/>
        <v>163889</v>
      </c>
      <c r="I35" s="493">
        <f>100/14</f>
        <v>7.1428571428571432</v>
      </c>
      <c r="J35" s="496">
        <f t="shared" si="4"/>
        <v>163889</v>
      </c>
      <c r="K35" s="496"/>
      <c r="L35" s="661">
        <f t="shared" si="5"/>
        <v>0</v>
      </c>
      <c r="M35" s="106"/>
      <c r="N35" s="145"/>
      <c r="O35" s="146"/>
    </row>
    <row r="36" spans="1:15" ht="15" customHeight="1">
      <c r="A36" s="63">
        <v>3912</v>
      </c>
      <c r="B36" s="105" t="s">
        <v>141</v>
      </c>
      <c r="C36" s="777">
        <f>'Sch. A'!C36</f>
        <v>374792</v>
      </c>
      <c r="D36" s="760"/>
      <c r="E36" s="760">
        <f>'Sch. A'!D36</f>
        <v>247363</v>
      </c>
      <c r="F36" s="773" t="s">
        <v>677</v>
      </c>
      <c r="G36" s="493">
        <f>100/10</f>
        <v>10</v>
      </c>
      <c r="H36" s="494">
        <f t="shared" si="3"/>
        <v>37479</v>
      </c>
      <c r="I36" s="493">
        <f>100/10</f>
        <v>10</v>
      </c>
      <c r="J36" s="496">
        <f t="shared" si="4"/>
        <v>37479</v>
      </c>
      <c r="K36" s="496"/>
      <c r="L36" s="661">
        <f t="shared" si="5"/>
        <v>0</v>
      </c>
      <c r="M36" s="106"/>
      <c r="N36" s="145"/>
      <c r="O36" s="146"/>
    </row>
    <row r="37" spans="1:15" ht="12.75">
      <c r="A37" s="75">
        <v>3913</v>
      </c>
      <c r="B37" s="105" t="s">
        <v>113</v>
      </c>
      <c r="C37" s="777">
        <f>'Sch. A'!C37</f>
        <v>758651</v>
      </c>
      <c r="D37" s="760"/>
      <c r="E37" s="760">
        <f>'Sch. A'!D37</f>
        <v>189663</v>
      </c>
      <c r="F37" s="773" t="s">
        <v>677</v>
      </c>
      <c r="G37" s="493">
        <f>100/20</f>
        <v>5</v>
      </c>
      <c r="H37" s="494">
        <f t="shared" si="3"/>
        <v>37933</v>
      </c>
      <c r="I37" s="493">
        <f>100/20</f>
        <v>5</v>
      </c>
      <c r="J37" s="496">
        <f t="shared" si="4"/>
        <v>37933</v>
      </c>
      <c r="K37" s="496"/>
      <c r="L37" s="661">
        <f t="shared" si="5"/>
        <v>0</v>
      </c>
      <c r="M37" s="106"/>
      <c r="N37" s="145"/>
      <c r="O37" s="146"/>
    </row>
    <row r="38" spans="1:15" ht="12.75">
      <c r="A38" s="75">
        <v>3914</v>
      </c>
      <c r="B38" s="105" t="s">
        <v>115</v>
      </c>
      <c r="C38" s="777">
        <f>'Sch. A'!C38</f>
        <v>7283950</v>
      </c>
      <c r="D38" s="760"/>
      <c r="E38" s="760">
        <f>'Sch. A'!D38</f>
        <v>4588889</v>
      </c>
      <c r="F38" s="773" t="s">
        <v>677</v>
      </c>
      <c r="G38" s="493">
        <v>10</v>
      </c>
      <c r="H38" s="494">
        <f t="shared" si="3"/>
        <v>728395</v>
      </c>
      <c r="I38" s="493">
        <f>100/10</f>
        <v>10</v>
      </c>
      <c r="J38" s="496">
        <f t="shared" si="4"/>
        <v>728395</v>
      </c>
      <c r="K38" s="496"/>
      <c r="L38" s="661">
        <f t="shared" si="5"/>
        <v>0</v>
      </c>
      <c r="M38" s="106"/>
      <c r="N38" s="145"/>
      <c r="O38" s="146"/>
    </row>
    <row r="39" spans="1:15" ht="12.75">
      <c r="A39" s="63">
        <v>3921</v>
      </c>
      <c r="B39" s="115" t="s">
        <v>116</v>
      </c>
      <c r="C39" s="777">
        <f>'Sch. A'!C39</f>
        <v>298594</v>
      </c>
      <c r="D39" s="760"/>
      <c r="E39" s="760">
        <f>'Sch. A'!D39</f>
        <v>114990</v>
      </c>
      <c r="F39" s="760"/>
      <c r="G39" s="493">
        <f>'Sch. B'!C39</f>
        <v>17.399999999999999</v>
      </c>
      <c r="H39" s="494">
        <f t="shared" si="3"/>
        <v>51955</v>
      </c>
      <c r="I39" s="493">
        <f>'Sch. B'!G39</f>
        <v>5.7000000000000002</v>
      </c>
      <c r="J39" s="496">
        <f t="shared" si="4"/>
        <v>17020</v>
      </c>
      <c r="K39" s="496"/>
      <c r="L39" s="661">
        <f t="shared" si="5"/>
        <v>-34935</v>
      </c>
      <c r="M39" s="106"/>
      <c r="N39" s="145"/>
      <c r="O39" s="146"/>
    </row>
    <row r="40" spans="1:15" ht="12.75">
      <c r="A40" s="63">
        <v>3922</v>
      </c>
      <c r="B40" s="115" t="s">
        <v>117</v>
      </c>
      <c r="C40" s="777">
        <f>'Sch. A'!C40</f>
        <v>6692224</v>
      </c>
      <c r="D40" s="760"/>
      <c r="E40" s="760">
        <f>'Sch. A'!D40</f>
        <v>2969418</v>
      </c>
      <c r="F40" s="760"/>
      <c r="G40" s="493">
        <f>'Sch. B'!C40</f>
        <v>8.4000000000000004</v>
      </c>
      <c r="H40" s="494">
        <f t="shared" si="3"/>
        <v>562147</v>
      </c>
      <c r="I40" s="493">
        <f>'Sch. B'!G40</f>
        <v>5.5999999999999996</v>
      </c>
      <c r="J40" s="496">
        <f t="shared" si="4"/>
        <v>374765</v>
      </c>
      <c r="K40" s="496"/>
      <c r="L40" s="661">
        <f t="shared" si="5"/>
        <v>-187382</v>
      </c>
      <c r="M40" s="106"/>
      <c r="N40" s="145"/>
      <c r="O40" s="146"/>
    </row>
    <row r="41" spans="1:15" ht="12.75">
      <c r="A41" s="63">
        <v>3923</v>
      </c>
      <c r="B41" s="115" t="s">
        <v>118</v>
      </c>
      <c r="C41" s="777">
        <f>'Sch. A'!C41</f>
        <v>0</v>
      </c>
      <c r="D41" s="760"/>
      <c r="E41" s="760">
        <f>'Sch. A'!D41</f>
        <v>0</v>
      </c>
      <c r="F41" s="760"/>
      <c r="G41" s="493">
        <f>'Sch. B'!C41</f>
        <v>8.1999999999999993</v>
      </c>
      <c r="H41" s="494">
        <f t="shared" si="3"/>
        <v>0</v>
      </c>
      <c r="I41" s="493">
        <f>'Sch. B'!G41</f>
        <v>8.1999999999999993</v>
      </c>
      <c r="J41" s="496">
        <f t="shared" si="4"/>
        <v>0</v>
      </c>
      <c r="K41" s="496"/>
      <c r="L41" s="661">
        <f t="shared" si="5"/>
        <v>0</v>
      </c>
      <c r="M41" s="106"/>
      <c r="N41" s="145"/>
      <c r="O41" s="146"/>
    </row>
    <row r="42" spans="1:15" ht="12.75">
      <c r="A42" s="63">
        <v>3924</v>
      </c>
      <c r="B42" s="115" t="s">
        <v>119</v>
      </c>
      <c r="C42" s="777">
        <f>'Sch. A'!C42</f>
        <v>63465</v>
      </c>
      <c r="D42" s="760"/>
      <c r="E42" s="760">
        <f>'Sch. A'!D42</f>
        <v>49848</v>
      </c>
      <c r="F42" s="760"/>
      <c r="G42" s="493">
        <f>'Sch. B'!C42</f>
        <v>5.7999999999999998</v>
      </c>
      <c r="H42" s="494">
        <f t="shared" si="3"/>
        <v>3681</v>
      </c>
      <c r="I42" s="493">
        <f>'Sch. B'!G42</f>
        <v>1.8999999999999999</v>
      </c>
      <c r="J42" s="496">
        <f t="shared" si="4"/>
        <v>1206</v>
      </c>
      <c r="K42" s="496"/>
      <c r="L42" s="661">
        <f t="shared" si="5"/>
        <v>-2475</v>
      </c>
      <c r="M42" s="106"/>
      <c r="N42" s="145"/>
      <c r="O42" s="146"/>
    </row>
    <row r="43" spans="1:15" ht="12.75">
      <c r="A43" s="63">
        <v>393</v>
      </c>
      <c r="B43" s="115" t="s">
        <v>120</v>
      </c>
      <c r="C43" s="777">
        <f>'Sch. A'!C43</f>
        <v>29458</v>
      </c>
      <c r="D43" s="760"/>
      <c r="E43" s="760">
        <f>'Sch. A'!D43</f>
        <v>9064</v>
      </c>
      <c r="F43" s="773" t="s">
        <v>677</v>
      </c>
      <c r="G43" s="493">
        <f>100/26</f>
        <v>3.8461538461538463</v>
      </c>
      <c r="H43" s="494">
        <f t="shared" si="3"/>
        <v>1133</v>
      </c>
      <c r="I43" s="493">
        <f>100/26</f>
        <v>3.8461538461538463</v>
      </c>
      <c r="J43" s="496">
        <f t="shared" si="4"/>
        <v>1133</v>
      </c>
      <c r="K43" s="496"/>
      <c r="L43" s="661">
        <f t="shared" si="5"/>
        <v>0</v>
      </c>
      <c r="M43" s="106"/>
      <c r="N43" s="145"/>
      <c r="O43" s="146"/>
    </row>
    <row r="44" spans="1:15" ht="12.75">
      <c r="A44" s="63">
        <v>394</v>
      </c>
      <c r="B44" s="115" t="s">
        <v>122</v>
      </c>
      <c r="C44" s="777">
        <f>'Sch. A'!C44</f>
        <v>1366809</v>
      </c>
      <c r="D44" s="760"/>
      <c r="E44" s="760">
        <f>'Sch. A'!D44</f>
        <v>464715</v>
      </c>
      <c r="F44" s="773" t="s">
        <v>677</v>
      </c>
      <c r="G44" s="493">
        <f>100/15</f>
        <v>6.666666666666667</v>
      </c>
      <c r="H44" s="494">
        <f t="shared" si="3"/>
        <v>91121</v>
      </c>
      <c r="I44" s="493">
        <f>100/15</f>
        <v>6.666666666666667</v>
      </c>
      <c r="J44" s="496">
        <f t="shared" si="4"/>
        <v>91121</v>
      </c>
      <c r="K44" s="496"/>
      <c r="L44" s="661">
        <f t="shared" si="5"/>
        <v>0</v>
      </c>
      <c r="M44" s="106"/>
      <c r="N44" s="145"/>
      <c r="O44" s="146"/>
    </row>
    <row r="45" spans="1:15" ht="12.75">
      <c r="A45" s="63">
        <v>395</v>
      </c>
      <c r="B45" s="115" t="s">
        <v>124</v>
      </c>
      <c r="C45" s="777">
        <f>'Sch. A'!C45</f>
        <v>0</v>
      </c>
      <c r="D45" s="760"/>
      <c r="E45" s="760">
        <f>'Sch. A'!D45</f>
        <v>0</v>
      </c>
      <c r="F45" s="773" t="s">
        <v>677</v>
      </c>
      <c r="G45" s="493">
        <f>100/20</f>
        <v>5</v>
      </c>
      <c r="H45" s="494">
        <f t="shared" si="3"/>
        <v>0</v>
      </c>
      <c r="I45" s="493">
        <f>100/20</f>
        <v>5</v>
      </c>
      <c r="J45" s="496">
        <f t="shared" si="4"/>
        <v>0</v>
      </c>
      <c r="K45" s="496"/>
      <c r="L45" s="661">
        <f t="shared" si="5"/>
        <v>0</v>
      </c>
      <c r="M45" s="106"/>
      <c r="N45" s="145"/>
      <c r="O45" s="146"/>
    </row>
    <row r="46" spans="1:15" ht="12.75">
      <c r="A46" s="63">
        <v>396</v>
      </c>
      <c r="B46" s="115" t="s">
        <v>125</v>
      </c>
      <c r="C46" s="777">
        <f>'Sch. A'!C46</f>
        <v>1789042</v>
      </c>
      <c r="D46" s="760"/>
      <c r="E46" s="760">
        <f>'Sch. A'!D46</f>
        <v>1057166</v>
      </c>
      <c r="F46" s="760"/>
      <c r="G46" s="493">
        <f>'Sch. B'!C46</f>
        <v>5.0999999999999996</v>
      </c>
      <c r="H46" s="494">
        <f t="shared" si="3"/>
        <v>91241</v>
      </c>
      <c r="I46" s="493">
        <f>'Sch. B'!G46</f>
        <v>4</v>
      </c>
      <c r="J46" s="496">
        <f t="shared" si="4"/>
        <v>71562</v>
      </c>
      <c r="K46" s="496"/>
      <c r="L46" s="661">
        <f t="shared" si="5"/>
        <v>-19679</v>
      </c>
      <c r="M46" s="106"/>
      <c r="N46" s="145"/>
      <c r="O46" s="146"/>
    </row>
    <row r="47" spans="1:15" ht="12.75">
      <c r="A47" s="63">
        <v>397</v>
      </c>
      <c r="B47" s="115" t="s">
        <v>126</v>
      </c>
      <c r="C47" s="777">
        <f>'Sch. A'!C47</f>
        <v>2351047</v>
      </c>
      <c r="D47" s="760"/>
      <c r="E47" s="760">
        <f>'Sch. A'!D47</f>
        <v>1030934</v>
      </c>
      <c r="F47" s="773" t="s">
        <v>677</v>
      </c>
      <c r="G47" s="493">
        <f>100/13</f>
        <v>7.6923076923076925</v>
      </c>
      <c r="H47" s="494">
        <f t="shared" si="3"/>
        <v>180850</v>
      </c>
      <c r="I47" s="493">
        <f>100/13</f>
        <v>7.6923076923076925</v>
      </c>
      <c r="J47" s="496">
        <f t="shared" si="4"/>
        <v>180850</v>
      </c>
      <c r="K47" s="496"/>
      <c r="L47" s="661">
        <f t="shared" si="5"/>
        <v>0</v>
      </c>
      <c r="M47" s="106"/>
      <c r="N47" s="145"/>
      <c r="O47" s="146"/>
    </row>
    <row r="48" spans="1:15" ht="12.75">
      <c r="A48" s="63">
        <v>398</v>
      </c>
      <c r="B48" s="115" t="s">
        <v>128</v>
      </c>
      <c r="C48" s="777">
        <f>'Sch. A'!C48</f>
        <v>368904</v>
      </c>
      <c r="D48" s="760"/>
      <c r="E48" s="760">
        <f>'Sch. A'!D48</f>
        <v>247387</v>
      </c>
      <c r="F48" s="773" t="s">
        <v>677</v>
      </c>
      <c r="G48" s="493">
        <f>100/17</f>
        <v>5.882352941176471</v>
      </c>
      <c r="H48" s="494">
        <f t="shared" si="3"/>
        <v>21700</v>
      </c>
      <c r="I48" s="493">
        <f>100/17</f>
        <v>5.882352941176471</v>
      </c>
      <c r="J48" s="496">
        <f t="shared" si="4"/>
        <v>21700</v>
      </c>
      <c r="K48" s="496"/>
      <c r="L48" s="661">
        <f t="shared" si="5"/>
        <v>0</v>
      </c>
      <c r="M48" s="106"/>
      <c r="N48" s="145"/>
      <c r="O48" s="146"/>
    </row>
    <row r="49" spans="1:15" ht="12.75">
      <c r="A49" s="63">
        <v>399</v>
      </c>
      <c r="B49" s="115" t="s">
        <v>130</v>
      </c>
      <c r="C49" s="777">
        <f>'Sch. A'!C49</f>
        <v>0</v>
      </c>
      <c r="D49" s="760"/>
      <c r="E49" s="760">
        <f>'Sch. A'!D49</f>
        <v>0</v>
      </c>
      <c r="F49" s="760"/>
      <c r="G49" s="493">
        <f>100/5</f>
        <v>20</v>
      </c>
      <c r="H49" s="494">
        <f t="shared" si="3"/>
        <v>0</v>
      </c>
      <c r="I49" s="493">
        <f>100/5</f>
        <v>20</v>
      </c>
      <c r="J49" s="496">
        <f>+ROUND(I49/100*C49,0)</f>
        <v>0</v>
      </c>
      <c r="K49" s="496"/>
      <c r="L49" s="661">
        <f>+J49-H49</f>
        <v>0</v>
      </c>
      <c r="M49" s="151"/>
      <c r="N49" s="116"/>
      <c r="O49" s="152"/>
    </row>
    <row r="50" spans="1:15" ht="12" thickBot="1">
      <c r="A50" s="52"/>
      <c r="B50" s="153" t="s">
        <v>133</v>
      </c>
      <c r="C50" s="512">
        <f>SUM(C34:C49)</f>
        <v>37763561</v>
      </c>
      <c r="D50" s="513"/>
      <c r="E50" s="513">
        <f>SUM(E34:E49)</f>
        <v>12528307</v>
      </c>
      <c r="F50" s="513"/>
      <c r="G50" s="514"/>
      <c r="H50" s="515">
        <f>SUM(H34:H48)</f>
        <v>2295644</v>
      </c>
      <c r="I50" s="514"/>
      <c r="J50" s="516">
        <f>SUM(J34:J48)</f>
        <v>2051173</v>
      </c>
      <c r="K50" s="516"/>
      <c r="L50" s="515">
        <f>SUM(L34:L48)</f>
        <v>-244471</v>
      </c>
      <c r="M50" s="514"/>
      <c r="N50" s="516">
        <f>SUM(N34:N48)</f>
        <v>0</v>
      </c>
      <c r="O50" s="517">
        <f>SUM(O34:O48)</f>
        <v>0</v>
      </c>
    </row>
    <row r="51" spans="1:15" ht="12.75" hidden="1" thickTop="1" thickBot="1">
      <c r="A51" s="52"/>
      <c r="B51" s="154" t="s">
        <v>148</v>
      </c>
      <c r="C51" s="787">
        <v>0</v>
      </c>
      <c r="D51" s="690"/>
      <c r="E51" s="690"/>
      <c r="F51" s="690"/>
      <c r="G51" s="757"/>
      <c r="H51" s="788"/>
      <c r="I51" s="757"/>
      <c r="J51" s="788"/>
      <c r="K51" s="788"/>
      <c r="L51" s="788"/>
      <c r="M51" s="40"/>
      <c r="N51" s="155"/>
      <c r="O51" s="156"/>
    </row>
    <row r="52" spans="1:15" ht="12" thickTop="1">
      <c r="A52" s="52"/>
      <c r="B52" s="147" t="s">
        <v>700</v>
      </c>
      <c r="C52" s="789"/>
      <c r="D52" s="691"/>
      <c r="E52" s="691"/>
      <c r="F52" s="691"/>
      <c r="G52" s="790"/>
      <c r="H52" s="790"/>
      <c r="I52" s="790"/>
      <c r="J52" s="495">
        <f>'Sch. E'!I44</f>
        <v>288819.19999999995</v>
      </c>
      <c r="K52" s="495"/>
      <c r="L52" s="495">
        <f>'Sch. E'!I44</f>
        <v>288819.19999999995</v>
      </c>
      <c r="M52" s="157"/>
      <c r="N52" s="157"/>
      <c r="O52" s="158"/>
    </row>
    <row r="53" spans="1:15" ht="12" customHeight="1" thickBot="1">
      <c r="A53" s="52"/>
      <c r="B53" s="153" t="s">
        <v>134</v>
      </c>
      <c r="C53" s="512">
        <f>SUM(C32+C50+C51)</f>
        <v>576463248</v>
      </c>
      <c r="D53" s="513"/>
      <c r="E53" s="513">
        <f>SUM(E32+E50+E51)</f>
        <v>141617744</v>
      </c>
      <c r="F53" s="513"/>
      <c r="G53" s="514"/>
      <c r="H53" s="515">
        <f>+H50+H32</f>
        <v>14894691</v>
      </c>
      <c r="I53" s="514"/>
      <c r="J53" s="516">
        <f>+J50+J32+J52</f>
        <v>13368910.199999999</v>
      </c>
      <c r="K53" s="516"/>
      <c r="L53" s="515">
        <f>+L50+L32+L52</f>
        <v>-1525780.8</v>
      </c>
      <c r="M53" s="514"/>
      <c r="N53" s="516">
        <f>+N50+N32</f>
        <v>0</v>
      </c>
      <c r="O53" s="517">
        <f>+O50+O32</f>
        <v>0</v>
      </c>
    </row>
    <row r="54" spans="1:15" ht="12.75" customHeight="1" thickTop="1">
      <c r="A54" s="159"/>
      <c r="B54" s="160"/>
      <c r="C54" s="161"/>
      <c r="D54" s="161"/>
      <c r="E54" s="161"/>
      <c r="F54" s="161"/>
      <c r="J54" s="162"/>
      <c r="K54" s="162"/>
      <c r="L54" s="162"/>
      <c r="O54" s="163"/>
    </row>
    <row r="55" spans="1:15" ht="12.75" customHeight="1">
      <c r="A55" s="791" t="s">
        <v>677</v>
      </c>
      <c r="B55" s="792" t="s">
        <v>690</v>
      </c>
      <c r="C55" s="793"/>
      <c r="D55" s="793"/>
      <c r="E55" s="793"/>
      <c r="F55" s="793"/>
      <c r="G55" s="794"/>
      <c r="J55" s="162"/>
      <c r="K55" s="162"/>
      <c r="L55" s="162"/>
      <c r="O55" s="163"/>
    </row>
    <row r="56" spans="1:15" ht="12.75" customHeight="1" thickBot="1">
      <c r="A56" s="83"/>
      <c r="B56" s="895"/>
      <c r="C56" s="896"/>
      <c r="D56" s="896"/>
      <c r="E56" s="896"/>
      <c r="F56" s="896"/>
      <c r="G56" s="896"/>
      <c r="H56" s="896"/>
      <c r="I56" s="896"/>
      <c r="J56" s="896"/>
      <c r="K56" s="896"/>
      <c r="L56" s="896"/>
      <c r="M56" s="896"/>
      <c r="N56" s="896"/>
      <c r="O56" s="897"/>
    </row>
    <row r="57" spans="2:15" ht="18.75" thickTop="1">
      <c r="B57" s="164"/>
      <c r="C57" s="165"/>
      <c r="D57" s="165"/>
      <c r="E57" s="58"/>
      <c r="F57" s="692"/>
      <c r="G57" s="55"/>
      <c r="H57" s="55"/>
      <c r="I57" s="55"/>
      <c r="J57" s="55"/>
      <c r="K57" s="55"/>
      <c r="L57" s="166"/>
      <c r="M57" s="55"/>
      <c r="N57" s="55"/>
      <c r="O57" s="166"/>
    </row>
    <row r="63" spans="2:2" ht="18">
      <c r="B63" s="167"/>
    </row>
    <row r="64" spans="2:2" ht="18">
      <c r="B64" s="167"/>
    </row>
    <row r="65" spans="2:2" ht="18">
      <c r="B65" s="167"/>
    </row>
    <row r="66" spans="2:2" ht="18">
      <c r="B66" s="167"/>
    </row>
    <row r="78" spans="2:2" ht="18">
      <c r="B78" s="167"/>
    </row>
  </sheetData>
  <mergeCells count="11">
    <mergeCell ref="A5:O5"/>
    <mergeCell ref="A1:O1"/>
    <mergeCell ref="A2:O2"/>
    <mergeCell ref="A3:O3"/>
    <mergeCell ref="A4:O4"/>
    <mergeCell ref="B56:O56"/>
    <mergeCell ref="A7:B10"/>
    <mergeCell ref="C7:E7"/>
    <mergeCell ref="G7:H7"/>
    <mergeCell ref="I7:L7"/>
    <mergeCell ref="M7:O7"/>
  </mergeCells>
  <printOptions horizontalCentered="1"/>
  <pageMargins left="0.5" right="0.5" top="1.02" bottom="0.5" header="0.5" footer="0.2"/>
  <pageSetup fitToWidth="0" orientation="landscape" scale="67" r:id="rId1"/>
  <headerFooter>
    <oddHeader>&amp;L&amp;"Arial,Bold"&amp;12Florida Public Utilities Natural Gas Division
2023 Consolidated Depreciation Study Workbook
Docket No. 20220067&amp;R&amp;"Arial,Bold"&amp;12Revised Exhibit PSL-2
Page &amp;P of 93
Schedule C</oddHeader>
    <oddFooter>&amp;C&amp;A</oddFooter>
  </headerFooter>
  <ignoredErrors>
    <ignoredError sqref="H35 H36:H37"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55"/>
  <sheetViews>
    <sheetView workbookViewId="0" topLeftCell="A29">
      <selection pane="topLeft" activeCell="A45" sqref="A45:XFD45"/>
    </sheetView>
  </sheetViews>
  <sheetFormatPr defaultColWidth="11.8542857142857" defaultRowHeight="18"/>
  <cols>
    <col min="1" max="1" width="6.85714285714286" style="88" customWidth="1"/>
    <col min="2" max="2" width="38.7142857142857" style="120" customWidth="1"/>
    <col min="3" max="3" width="12.4285714285714" style="88" bestFit="1" customWidth="1"/>
    <col min="4" max="4" width="11.8571428571429" style="88" bestFit="1" customWidth="1"/>
    <col min="5" max="5" width="3.42857142857143" style="686" customWidth="1"/>
    <col min="6" max="6" width="13.5714285714286" style="89" bestFit="1" customWidth="1"/>
    <col min="7" max="7" width="14.1428571428571" style="89" bestFit="1" customWidth="1"/>
    <col min="8" max="8" width="11.8571428571429" style="89" bestFit="1" customWidth="1"/>
    <col min="9" max="9" width="5" style="89" bestFit="1" customWidth="1"/>
    <col min="10" max="10" width="8.14285714285714" style="90" bestFit="1" customWidth="1"/>
    <col min="11" max="11" width="7.57142857142857" style="89" bestFit="1" customWidth="1"/>
    <col min="12" max="257" width="11.8571428571429" style="26"/>
    <col min="258" max="258" width="6.85714285714286" style="26" customWidth="1"/>
    <col min="259" max="259" width="37.8571428571429" style="26" bestFit="1" customWidth="1"/>
    <col min="260" max="260" width="12.8571428571429" style="26" bestFit="1" customWidth="1"/>
    <col min="261" max="261" width="13.8571428571429" style="26" bestFit="1" customWidth="1"/>
    <col min="262" max="263" width="14.2857142857143" style="26" customWidth="1"/>
    <col min="264" max="264" width="12.4285714285714" style="26" bestFit="1" customWidth="1"/>
    <col min="265" max="266" width="9.85714285714286" style="26" bestFit="1" customWidth="1"/>
    <col min="267" max="267" width="10.1428571428571" style="26" customWidth="1"/>
    <col min="268" max="513" width="11.8571428571429" style="26"/>
    <col min="514" max="514" width="6.85714285714286" style="26" customWidth="1"/>
    <col min="515" max="515" width="37.8571428571429" style="26" bestFit="1" customWidth="1"/>
    <col min="516" max="516" width="12.8571428571429" style="26" bestFit="1" customWidth="1"/>
    <col min="517" max="517" width="13.8571428571429" style="26" bestFit="1" customWidth="1"/>
    <col min="518" max="519" width="14.2857142857143" style="26" customWidth="1"/>
    <col min="520" max="520" width="12.4285714285714" style="26" bestFit="1" customWidth="1"/>
    <col min="521" max="522" width="9.85714285714286" style="26" bestFit="1" customWidth="1"/>
    <col min="523" max="523" width="10.1428571428571" style="26" customWidth="1"/>
    <col min="524" max="769" width="11.8571428571429" style="26"/>
    <col min="770" max="770" width="6.85714285714286" style="26" customWidth="1"/>
    <col min="771" max="771" width="37.8571428571429" style="26" bestFit="1" customWidth="1"/>
    <col min="772" max="772" width="12.8571428571429" style="26" bestFit="1" customWidth="1"/>
    <col min="773" max="773" width="13.8571428571429" style="26" bestFit="1" customWidth="1"/>
    <col min="774" max="775" width="14.2857142857143" style="26" customWidth="1"/>
    <col min="776" max="776" width="12.4285714285714" style="26" bestFit="1" customWidth="1"/>
    <col min="777" max="778" width="9.85714285714286" style="26" bestFit="1" customWidth="1"/>
    <col min="779" max="779" width="10.1428571428571" style="26" customWidth="1"/>
    <col min="780" max="1025" width="11.8571428571429" style="26"/>
    <col min="1026" max="1026" width="6.85714285714286" style="26" customWidth="1"/>
    <col min="1027" max="1027" width="37.8571428571429" style="26" bestFit="1" customWidth="1"/>
    <col min="1028" max="1028" width="12.8571428571429" style="26" bestFit="1" customWidth="1"/>
    <col min="1029" max="1029" width="13.8571428571429" style="26" bestFit="1" customWidth="1"/>
    <col min="1030" max="1031" width="14.2857142857143" style="26" customWidth="1"/>
    <col min="1032" max="1032" width="12.4285714285714" style="26" bestFit="1" customWidth="1"/>
    <col min="1033" max="1034" width="9.85714285714286" style="26" bestFit="1" customWidth="1"/>
    <col min="1035" max="1035" width="10.1428571428571" style="26" customWidth="1"/>
    <col min="1036" max="1281" width="11.8571428571429" style="26"/>
    <col min="1282" max="1282" width="6.85714285714286" style="26" customWidth="1"/>
    <col min="1283" max="1283" width="37.8571428571429" style="26" bestFit="1" customWidth="1"/>
    <col min="1284" max="1284" width="12.8571428571429" style="26" bestFit="1" customWidth="1"/>
    <col min="1285" max="1285" width="13.8571428571429" style="26" bestFit="1" customWidth="1"/>
    <col min="1286" max="1287" width="14.2857142857143" style="26" customWidth="1"/>
    <col min="1288" max="1288" width="12.4285714285714" style="26" bestFit="1" customWidth="1"/>
    <col min="1289" max="1290" width="9.85714285714286" style="26" bestFit="1" customWidth="1"/>
    <col min="1291" max="1291" width="10.1428571428571" style="26" customWidth="1"/>
    <col min="1292" max="1537" width="11.8571428571429" style="26"/>
    <col min="1538" max="1538" width="6.85714285714286" style="26" customWidth="1"/>
    <col min="1539" max="1539" width="37.8571428571429" style="26" bestFit="1" customWidth="1"/>
    <col min="1540" max="1540" width="12.8571428571429" style="26" bestFit="1" customWidth="1"/>
    <col min="1541" max="1541" width="13.8571428571429" style="26" bestFit="1" customWidth="1"/>
    <col min="1542" max="1543" width="14.2857142857143" style="26" customWidth="1"/>
    <col min="1544" max="1544" width="12.4285714285714" style="26" bestFit="1" customWidth="1"/>
    <col min="1545" max="1546" width="9.85714285714286" style="26" bestFit="1" customWidth="1"/>
    <col min="1547" max="1547" width="10.1428571428571" style="26" customWidth="1"/>
    <col min="1548" max="1793" width="11.8571428571429" style="26"/>
    <col min="1794" max="1794" width="6.85714285714286" style="26" customWidth="1"/>
    <col min="1795" max="1795" width="37.8571428571429" style="26" bestFit="1" customWidth="1"/>
    <col min="1796" max="1796" width="12.8571428571429" style="26" bestFit="1" customWidth="1"/>
    <col min="1797" max="1797" width="13.8571428571429" style="26" bestFit="1" customWidth="1"/>
    <col min="1798" max="1799" width="14.2857142857143" style="26" customWidth="1"/>
    <col min="1800" max="1800" width="12.4285714285714" style="26" bestFit="1" customWidth="1"/>
    <col min="1801" max="1802" width="9.85714285714286" style="26" bestFit="1" customWidth="1"/>
    <col min="1803" max="1803" width="10.1428571428571" style="26" customWidth="1"/>
    <col min="1804" max="2049" width="11.8571428571429" style="26"/>
    <col min="2050" max="2050" width="6.85714285714286" style="26" customWidth="1"/>
    <col min="2051" max="2051" width="37.8571428571429" style="26" bestFit="1" customWidth="1"/>
    <col min="2052" max="2052" width="12.8571428571429" style="26" bestFit="1" customWidth="1"/>
    <col min="2053" max="2053" width="13.8571428571429" style="26" bestFit="1" customWidth="1"/>
    <col min="2054" max="2055" width="14.2857142857143" style="26" customWidth="1"/>
    <col min="2056" max="2056" width="12.4285714285714" style="26" bestFit="1" customWidth="1"/>
    <col min="2057" max="2058" width="9.85714285714286" style="26" bestFit="1" customWidth="1"/>
    <col min="2059" max="2059" width="10.1428571428571" style="26" customWidth="1"/>
    <col min="2060" max="2305" width="11.8571428571429" style="26"/>
    <col min="2306" max="2306" width="6.85714285714286" style="26" customWidth="1"/>
    <col min="2307" max="2307" width="37.8571428571429" style="26" bestFit="1" customWidth="1"/>
    <col min="2308" max="2308" width="12.8571428571429" style="26" bestFit="1" customWidth="1"/>
    <col min="2309" max="2309" width="13.8571428571429" style="26" bestFit="1" customWidth="1"/>
    <col min="2310" max="2311" width="14.2857142857143" style="26" customWidth="1"/>
    <col min="2312" max="2312" width="12.4285714285714" style="26" bestFit="1" customWidth="1"/>
    <col min="2313" max="2314" width="9.85714285714286" style="26" bestFit="1" customWidth="1"/>
    <col min="2315" max="2315" width="10.1428571428571" style="26" customWidth="1"/>
    <col min="2316" max="2561" width="11.8571428571429" style="26"/>
    <col min="2562" max="2562" width="6.85714285714286" style="26" customWidth="1"/>
    <col min="2563" max="2563" width="37.8571428571429" style="26" bestFit="1" customWidth="1"/>
    <col min="2564" max="2564" width="12.8571428571429" style="26" bestFit="1" customWidth="1"/>
    <col min="2565" max="2565" width="13.8571428571429" style="26" bestFit="1" customWidth="1"/>
    <col min="2566" max="2567" width="14.2857142857143" style="26" customWidth="1"/>
    <col min="2568" max="2568" width="12.4285714285714" style="26" bestFit="1" customWidth="1"/>
    <col min="2569" max="2570" width="9.85714285714286" style="26" bestFit="1" customWidth="1"/>
    <col min="2571" max="2571" width="10.1428571428571" style="26" customWidth="1"/>
    <col min="2572" max="2817" width="11.8571428571429" style="26"/>
    <col min="2818" max="2818" width="6.85714285714286" style="26" customWidth="1"/>
    <col min="2819" max="2819" width="37.8571428571429" style="26" bestFit="1" customWidth="1"/>
    <col min="2820" max="2820" width="12.8571428571429" style="26" bestFit="1" customWidth="1"/>
    <col min="2821" max="2821" width="13.8571428571429" style="26" bestFit="1" customWidth="1"/>
    <col min="2822" max="2823" width="14.2857142857143" style="26" customWidth="1"/>
    <col min="2824" max="2824" width="12.4285714285714" style="26" bestFit="1" customWidth="1"/>
    <col min="2825" max="2826" width="9.85714285714286" style="26" bestFit="1" customWidth="1"/>
    <col min="2827" max="2827" width="10.1428571428571" style="26" customWidth="1"/>
    <col min="2828" max="3073" width="11.8571428571429" style="26"/>
    <col min="3074" max="3074" width="6.85714285714286" style="26" customWidth="1"/>
    <col min="3075" max="3075" width="37.8571428571429" style="26" bestFit="1" customWidth="1"/>
    <col min="3076" max="3076" width="12.8571428571429" style="26" bestFit="1" customWidth="1"/>
    <col min="3077" max="3077" width="13.8571428571429" style="26" bestFit="1" customWidth="1"/>
    <col min="3078" max="3079" width="14.2857142857143" style="26" customWidth="1"/>
    <col min="3080" max="3080" width="12.4285714285714" style="26" bestFit="1" customWidth="1"/>
    <col min="3081" max="3082" width="9.85714285714286" style="26" bestFit="1" customWidth="1"/>
    <col min="3083" max="3083" width="10.1428571428571" style="26" customWidth="1"/>
    <col min="3084" max="3329" width="11.8571428571429" style="26"/>
    <col min="3330" max="3330" width="6.85714285714286" style="26" customWidth="1"/>
    <col min="3331" max="3331" width="37.8571428571429" style="26" bestFit="1" customWidth="1"/>
    <col min="3332" max="3332" width="12.8571428571429" style="26" bestFit="1" customWidth="1"/>
    <col min="3333" max="3333" width="13.8571428571429" style="26" bestFit="1" customWidth="1"/>
    <col min="3334" max="3335" width="14.2857142857143" style="26" customWidth="1"/>
    <col min="3336" max="3336" width="12.4285714285714" style="26" bestFit="1" customWidth="1"/>
    <col min="3337" max="3338" width="9.85714285714286" style="26" bestFit="1" customWidth="1"/>
    <col min="3339" max="3339" width="10.1428571428571" style="26" customWidth="1"/>
    <col min="3340" max="3585" width="11.8571428571429" style="26"/>
    <col min="3586" max="3586" width="6.85714285714286" style="26" customWidth="1"/>
    <col min="3587" max="3587" width="37.8571428571429" style="26" bestFit="1" customWidth="1"/>
    <col min="3588" max="3588" width="12.8571428571429" style="26" bestFit="1" customWidth="1"/>
    <col min="3589" max="3589" width="13.8571428571429" style="26" bestFit="1" customWidth="1"/>
    <col min="3590" max="3591" width="14.2857142857143" style="26" customWidth="1"/>
    <col min="3592" max="3592" width="12.4285714285714" style="26" bestFit="1" customWidth="1"/>
    <col min="3593" max="3594" width="9.85714285714286" style="26" bestFit="1" customWidth="1"/>
    <col min="3595" max="3595" width="10.1428571428571" style="26" customWidth="1"/>
    <col min="3596" max="3841" width="11.8571428571429" style="26"/>
    <col min="3842" max="3842" width="6.85714285714286" style="26" customWidth="1"/>
    <col min="3843" max="3843" width="37.8571428571429" style="26" bestFit="1" customWidth="1"/>
    <col min="3844" max="3844" width="12.8571428571429" style="26" bestFit="1" customWidth="1"/>
    <col min="3845" max="3845" width="13.8571428571429" style="26" bestFit="1" customWidth="1"/>
    <col min="3846" max="3847" width="14.2857142857143" style="26" customWidth="1"/>
    <col min="3848" max="3848" width="12.4285714285714" style="26" bestFit="1" customWidth="1"/>
    <col min="3849" max="3850" width="9.85714285714286" style="26" bestFit="1" customWidth="1"/>
    <col min="3851" max="3851" width="10.1428571428571" style="26" customWidth="1"/>
    <col min="3852" max="4097" width="11.8571428571429" style="26"/>
    <col min="4098" max="4098" width="6.85714285714286" style="26" customWidth="1"/>
    <col min="4099" max="4099" width="37.8571428571429" style="26" bestFit="1" customWidth="1"/>
    <col min="4100" max="4100" width="12.8571428571429" style="26" bestFit="1" customWidth="1"/>
    <col min="4101" max="4101" width="13.8571428571429" style="26" bestFit="1" customWidth="1"/>
    <col min="4102" max="4103" width="14.2857142857143" style="26" customWidth="1"/>
    <col min="4104" max="4104" width="12.4285714285714" style="26" bestFit="1" customWidth="1"/>
    <col min="4105" max="4106" width="9.85714285714286" style="26" bestFit="1" customWidth="1"/>
    <col min="4107" max="4107" width="10.1428571428571" style="26" customWidth="1"/>
    <col min="4108" max="4353" width="11.8571428571429" style="26"/>
    <col min="4354" max="4354" width="6.85714285714286" style="26" customWidth="1"/>
    <col min="4355" max="4355" width="37.8571428571429" style="26" bestFit="1" customWidth="1"/>
    <col min="4356" max="4356" width="12.8571428571429" style="26" bestFit="1" customWidth="1"/>
    <col min="4357" max="4357" width="13.8571428571429" style="26" bestFit="1" customWidth="1"/>
    <col min="4358" max="4359" width="14.2857142857143" style="26" customWidth="1"/>
    <col min="4360" max="4360" width="12.4285714285714" style="26" bestFit="1" customWidth="1"/>
    <col min="4361" max="4362" width="9.85714285714286" style="26" bestFit="1" customWidth="1"/>
    <col min="4363" max="4363" width="10.1428571428571" style="26" customWidth="1"/>
    <col min="4364" max="4609" width="11.8571428571429" style="26"/>
    <col min="4610" max="4610" width="6.85714285714286" style="26" customWidth="1"/>
    <col min="4611" max="4611" width="37.8571428571429" style="26" bestFit="1" customWidth="1"/>
    <col min="4612" max="4612" width="12.8571428571429" style="26" bestFit="1" customWidth="1"/>
    <col min="4613" max="4613" width="13.8571428571429" style="26" bestFit="1" customWidth="1"/>
    <col min="4614" max="4615" width="14.2857142857143" style="26" customWidth="1"/>
    <col min="4616" max="4616" width="12.4285714285714" style="26" bestFit="1" customWidth="1"/>
    <col min="4617" max="4618" width="9.85714285714286" style="26" bestFit="1" customWidth="1"/>
    <col min="4619" max="4619" width="10.1428571428571" style="26" customWidth="1"/>
    <col min="4620" max="4865" width="11.8571428571429" style="26"/>
    <col min="4866" max="4866" width="6.85714285714286" style="26" customWidth="1"/>
    <col min="4867" max="4867" width="37.8571428571429" style="26" bestFit="1" customWidth="1"/>
    <col min="4868" max="4868" width="12.8571428571429" style="26" bestFit="1" customWidth="1"/>
    <col min="4869" max="4869" width="13.8571428571429" style="26" bestFit="1" customWidth="1"/>
    <col min="4870" max="4871" width="14.2857142857143" style="26" customWidth="1"/>
    <col min="4872" max="4872" width="12.4285714285714" style="26" bestFit="1" customWidth="1"/>
    <col min="4873" max="4874" width="9.85714285714286" style="26" bestFit="1" customWidth="1"/>
    <col min="4875" max="4875" width="10.1428571428571" style="26" customWidth="1"/>
    <col min="4876" max="5121" width="11.8571428571429" style="26"/>
    <col min="5122" max="5122" width="6.85714285714286" style="26" customWidth="1"/>
    <col min="5123" max="5123" width="37.8571428571429" style="26" bestFit="1" customWidth="1"/>
    <col min="5124" max="5124" width="12.8571428571429" style="26" bestFit="1" customWidth="1"/>
    <col min="5125" max="5125" width="13.8571428571429" style="26" bestFit="1" customWidth="1"/>
    <col min="5126" max="5127" width="14.2857142857143" style="26" customWidth="1"/>
    <col min="5128" max="5128" width="12.4285714285714" style="26" bestFit="1" customWidth="1"/>
    <col min="5129" max="5130" width="9.85714285714286" style="26" bestFit="1" customWidth="1"/>
    <col min="5131" max="5131" width="10.1428571428571" style="26" customWidth="1"/>
    <col min="5132" max="5377" width="11.8571428571429" style="26"/>
    <col min="5378" max="5378" width="6.85714285714286" style="26" customWidth="1"/>
    <col min="5379" max="5379" width="37.8571428571429" style="26" bestFit="1" customWidth="1"/>
    <col min="5380" max="5380" width="12.8571428571429" style="26" bestFit="1" customWidth="1"/>
    <col min="5381" max="5381" width="13.8571428571429" style="26" bestFit="1" customWidth="1"/>
    <col min="5382" max="5383" width="14.2857142857143" style="26" customWidth="1"/>
    <col min="5384" max="5384" width="12.4285714285714" style="26" bestFit="1" customWidth="1"/>
    <col min="5385" max="5386" width="9.85714285714286" style="26" bestFit="1" customWidth="1"/>
    <col min="5387" max="5387" width="10.1428571428571" style="26" customWidth="1"/>
    <col min="5388" max="5633" width="11.8571428571429" style="26"/>
    <col min="5634" max="5634" width="6.85714285714286" style="26" customWidth="1"/>
    <col min="5635" max="5635" width="37.8571428571429" style="26" bestFit="1" customWidth="1"/>
    <col min="5636" max="5636" width="12.8571428571429" style="26" bestFit="1" customWidth="1"/>
    <col min="5637" max="5637" width="13.8571428571429" style="26" bestFit="1" customWidth="1"/>
    <col min="5638" max="5639" width="14.2857142857143" style="26" customWidth="1"/>
    <col min="5640" max="5640" width="12.4285714285714" style="26" bestFit="1" customWidth="1"/>
    <col min="5641" max="5642" width="9.85714285714286" style="26" bestFit="1" customWidth="1"/>
    <col min="5643" max="5643" width="10.1428571428571" style="26" customWidth="1"/>
    <col min="5644" max="5889" width="11.8571428571429" style="26"/>
    <col min="5890" max="5890" width="6.85714285714286" style="26" customWidth="1"/>
    <col min="5891" max="5891" width="37.8571428571429" style="26" bestFit="1" customWidth="1"/>
    <col min="5892" max="5892" width="12.8571428571429" style="26" bestFit="1" customWidth="1"/>
    <col min="5893" max="5893" width="13.8571428571429" style="26" bestFit="1" customWidth="1"/>
    <col min="5894" max="5895" width="14.2857142857143" style="26" customWidth="1"/>
    <col min="5896" max="5896" width="12.4285714285714" style="26" bestFit="1" customWidth="1"/>
    <col min="5897" max="5898" width="9.85714285714286" style="26" bestFit="1" customWidth="1"/>
    <col min="5899" max="5899" width="10.1428571428571" style="26" customWidth="1"/>
    <col min="5900" max="6145" width="11.8571428571429" style="26"/>
    <col min="6146" max="6146" width="6.85714285714286" style="26" customWidth="1"/>
    <col min="6147" max="6147" width="37.8571428571429" style="26" bestFit="1" customWidth="1"/>
    <col min="6148" max="6148" width="12.8571428571429" style="26" bestFit="1" customWidth="1"/>
    <col min="6149" max="6149" width="13.8571428571429" style="26" bestFit="1" customWidth="1"/>
    <col min="6150" max="6151" width="14.2857142857143" style="26" customWidth="1"/>
    <col min="6152" max="6152" width="12.4285714285714" style="26" bestFit="1" customWidth="1"/>
    <col min="6153" max="6154" width="9.85714285714286" style="26" bestFit="1" customWidth="1"/>
    <col min="6155" max="6155" width="10.1428571428571" style="26" customWidth="1"/>
    <col min="6156" max="6401" width="11.8571428571429" style="26"/>
    <col min="6402" max="6402" width="6.85714285714286" style="26" customWidth="1"/>
    <col min="6403" max="6403" width="37.8571428571429" style="26" bestFit="1" customWidth="1"/>
    <col min="6404" max="6404" width="12.8571428571429" style="26" bestFit="1" customWidth="1"/>
    <col min="6405" max="6405" width="13.8571428571429" style="26" bestFit="1" customWidth="1"/>
    <col min="6406" max="6407" width="14.2857142857143" style="26" customWidth="1"/>
    <col min="6408" max="6408" width="12.4285714285714" style="26" bestFit="1" customWidth="1"/>
    <col min="6409" max="6410" width="9.85714285714286" style="26" bestFit="1" customWidth="1"/>
    <col min="6411" max="6411" width="10.1428571428571" style="26" customWidth="1"/>
    <col min="6412" max="6657" width="11.8571428571429" style="26"/>
    <col min="6658" max="6658" width="6.85714285714286" style="26" customWidth="1"/>
    <col min="6659" max="6659" width="37.8571428571429" style="26" bestFit="1" customWidth="1"/>
    <col min="6660" max="6660" width="12.8571428571429" style="26" bestFit="1" customWidth="1"/>
    <col min="6661" max="6661" width="13.8571428571429" style="26" bestFit="1" customWidth="1"/>
    <col min="6662" max="6663" width="14.2857142857143" style="26" customWidth="1"/>
    <col min="6664" max="6664" width="12.4285714285714" style="26" bestFit="1" customWidth="1"/>
    <col min="6665" max="6666" width="9.85714285714286" style="26" bestFit="1" customWidth="1"/>
    <col min="6667" max="6667" width="10.1428571428571" style="26" customWidth="1"/>
    <col min="6668" max="6913" width="11.8571428571429" style="26"/>
    <col min="6914" max="6914" width="6.85714285714286" style="26" customWidth="1"/>
    <col min="6915" max="6915" width="37.8571428571429" style="26" bestFit="1" customWidth="1"/>
    <col min="6916" max="6916" width="12.8571428571429" style="26" bestFit="1" customWidth="1"/>
    <col min="6917" max="6917" width="13.8571428571429" style="26" bestFit="1" customWidth="1"/>
    <col min="6918" max="6919" width="14.2857142857143" style="26" customWidth="1"/>
    <col min="6920" max="6920" width="12.4285714285714" style="26" bestFit="1" customWidth="1"/>
    <col min="6921" max="6922" width="9.85714285714286" style="26" bestFit="1" customWidth="1"/>
    <col min="6923" max="6923" width="10.1428571428571" style="26" customWidth="1"/>
    <col min="6924" max="7169" width="11.8571428571429" style="26"/>
    <col min="7170" max="7170" width="6.85714285714286" style="26" customWidth="1"/>
    <col min="7171" max="7171" width="37.8571428571429" style="26" bestFit="1" customWidth="1"/>
    <col min="7172" max="7172" width="12.8571428571429" style="26" bestFit="1" customWidth="1"/>
    <col min="7173" max="7173" width="13.8571428571429" style="26" bestFit="1" customWidth="1"/>
    <col min="7174" max="7175" width="14.2857142857143" style="26" customWidth="1"/>
    <col min="7176" max="7176" width="12.4285714285714" style="26" bestFit="1" customWidth="1"/>
    <col min="7177" max="7178" width="9.85714285714286" style="26" bestFit="1" customWidth="1"/>
    <col min="7179" max="7179" width="10.1428571428571" style="26" customWidth="1"/>
    <col min="7180" max="7425" width="11.8571428571429" style="26"/>
    <col min="7426" max="7426" width="6.85714285714286" style="26" customWidth="1"/>
    <col min="7427" max="7427" width="37.8571428571429" style="26" bestFit="1" customWidth="1"/>
    <col min="7428" max="7428" width="12.8571428571429" style="26" bestFit="1" customWidth="1"/>
    <col min="7429" max="7429" width="13.8571428571429" style="26" bestFit="1" customWidth="1"/>
    <col min="7430" max="7431" width="14.2857142857143" style="26" customWidth="1"/>
    <col min="7432" max="7432" width="12.4285714285714" style="26" bestFit="1" customWidth="1"/>
    <col min="7433" max="7434" width="9.85714285714286" style="26" bestFit="1" customWidth="1"/>
    <col min="7435" max="7435" width="10.1428571428571" style="26" customWidth="1"/>
    <col min="7436" max="7681" width="11.8571428571429" style="26"/>
    <col min="7682" max="7682" width="6.85714285714286" style="26" customWidth="1"/>
    <col min="7683" max="7683" width="37.8571428571429" style="26" bestFit="1" customWidth="1"/>
    <col min="7684" max="7684" width="12.8571428571429" style="26" bestFit="1" customWidth="1"/>
    <col min="7685" max="7685" width="13.8571428571429" style="26" bestFit="1" customWidth="1"/>
    <col min="7686" max="7687" width="14.2857142857143" style="26" customWidth="1"/>
    <col min="7688" max="7688" width="12.4285714285714" style="26" bestFit="1" customWidth="1"/>
    <col min="7689" max="7690" width="9.85714285714286" style="26" bestFit="1" customWidth="1"/>
    <col min="7691" max="7691" width="10.1428571428571" style="26" customWidth="1"/>
    <col min="7692" max="7937" width="11.8571428571429" style="26"/>
    <col min="7938" max="7938" width="6.85714285714286" style="26" customWidth="1"/>
    <col min="7939" max="7939" width="37.8571428571429" style="26" bestFit="1" customWidth="1"/>
    <col min="7940" max="7940" width="12.8571428571429" style="26" bestFit="1" customWidth="1"/>
    <col min="7941" max="7941" width="13.8571428571429" style="26" bestFit="1" customWidth="1"/>
    <col min="7942" max="7943" width="14.2857142857143" style="26" customWidth="1"/>
    <col min="7944" max="7944" width="12.4285714285714" style="26" bestFit="1" customWidth="1"/>
    <col min="7945" max="7946" width="9.85714285714286" style="26" bestFit="1" customWidth="1"/>
    <col min="7947" max="7947" width="10.1428571428571" style="26" customWidth="1"/>
    <col min="7948" max="8193" width="11.8571428571429" style="26"/>
    <col min="8194" max="8194" width="6.85714285714286" style="26" customWidth="1"/>
    <col min="8195" max="8195" width="37.8571428571429" style="26" bestFit="1" customWidth="1"/>
    <col min="8196" max="8196" width="12.8571428571429" style="26" bestFit="1" customWidth="1"/>
    <col min="8197" max="8197" width="13.8571428571429" style="26" bestFit="1" customWidth="1"/>
    <col min="8198" max="8199" width="14.2857142857143" style="26" customWidth="1"/>
    <col min="8200" max="8200" width="12.4285714285714" style="26" bestFit="1" customWidth="1"/>
    <col min="8201" max="8202" width="9.85714285714286" style="26" bestFit="1" customWidth="1"/>
    <col min="8203" max="8203" width="10.1428571428571" style="26" customWidth="1"/>
    <col min="8204" max="8449" width="11.8571428571429" style="26"/>
    <col min="8450" max="8450" width="6.85714285714286" style="26" customWidth="1"/>
    <col min="8451" max="8451" width="37.8571428571429" style="26" bestFit="1" customWidth="1"/>
    <col min="8452" max="8452" width="12.8571428571429" style="26" bestFit="1" customWidth="1"/>
    <col min="8453" max="8453" width="13.8571428571429" style="26" bestFit="1" customWidth="1"/>
    <col min="8454" max="8455" width="14.2857142857143" style="26" customWidth="1"/>
    <col min="8456" max="8456" width="12.4285714285714" style="26" bestFit="1" customWidth="1"/>
    <col min="8457" max="8458" width="9.85714285714286" style="26" bestFit="1" customWidth="1"/>
    <col min="8459" max="8459" width="10.1428571428571" style="26" customWidth="1"/>
    <col min="8460" max="8705" width="11.8571428571429" style="26"/>
    <col min="8706" max="8706" width="6.85714285714286" style="26" customWidth="1"/>
    <col min="8707" max="8707" width="37.8571428571429" style="26" bestFit="1" customWidth="1"/>
    <col min="8708" max="8708" width="12.8571428571429" style="26" bestFit="1" customWidth="1"/>
    <col min="8709" max="8709" width="13.8571428571429" style="26" bestFit="1" customWidth="1"/>
    <col min="8710" max="8711" width="14.2857142857143" style="26" customWidth="1"/>
    <col min="8712" max="8712" width="12.4285714285714" style="26" bestFit="1" customWidth="1"/>
    <col min="8713" max="8714" width="9.85714285714286" style="26" bestFit="1" customWidth="1"/>
    <col min="8715" max="8715" width="10.1428571428571" style="26" customWidth="1"/>
    <col min="8716" max="8961" width="11.8571428571429" style="26"/>
    <col min="8962" max="8962" width="6.85714285714286" style="26" customWidth="1"/>
    <col min="8963" max="8963" width="37.8571428571429" style="26" bestFit="1" customWidth="1"/>
    <col min="8964" max="8964" width="12.8571428571429" style="26" bestFit="1" customWidth="1"/>
    <col min="8965" max="8965" width="13.8571428571429" style="26" bestFit="1" customWidth="1"/>
    <col min="8966" max="8967" width="14.2857142857143" style="26" customWidth="1"/>
    <col min="8968" max="8968" width="12.4285714285714" style="26" bestFit="1" customWidth="1"/>
    <col min="8969" max="8970" width="9.85714285714286" style="26" bestFit="1" customWidth="1"/>
    <col min="8971" max="8971" width="10.1428571428571" style="26" customWidth="1"/>
    <col min="8972" max="9217" width="11.8571428571429" style="26"/>
    <col min="9218" max="9218" width="6.85714285714286" style="26" customWidth="1"/>
    <col min="9219" max="9219" width="37.8571428571429" style="26" bestFit="1" customWidth="1"/>
    <col min="9220" max="9220" width="12.8571428571429" style="26" bestFit="1" customWidth="1"/>
    <col min="9221" max="9221" width="13.8571428571429" style="26" bestFit="1" customWidth="1"/>
    <col min="9222" max="9223" width="14.2857142857143" style="26" customWidth="1"/>
    <col min="9224" max="9224" width="12.4285714285714" style="26" bestFit="1" customWidth="1"/>
    <col min="9225" max="9226" width="9.85714285714286" style="26" bestFit="1" customWidth="1"/>
    <col min="9227" max="9227" width="10.1428571428571" style="26" customWidth="1"/>
    <col min="9228" max="9473" width="11.8571428571429" style="26"/>
    <col min="9474" max="9474" width="6.85714285714286" style="26" customWidth="1"/>
    <col min="9475" max="9475" width="37.8571428571429" style="26" bestFit="1" customWidth="1"/>
    <col min="9476" max="9476" width="12.8571428571429" style="26" bestFit="1" customWidth="1"/>
    <col min="9477" max="9477" width="13.8571428571429" style="26" bestFit="1" customWidth="1"/>
    <col min="9478" max="9479" width="14.2857142857143" style="26" customWidth="1"/>
    <col min="9480" max="9480" width="12.4285714285714" style="26" bestFit="1" customWidth="1"/>
    <col min="9481" max="9482" width="9.85714285714286" style="26" bestFit="1" customWidth="1"/>
    <col min="9483" max="9483" width="10.1428571428571" style="26" customWidth="1"/>
    <col min="9484" max="9729" width="11.8571428571429" style="26"/>
    <col min="9730" max="9730" width="6.85714285714286" style="26" customWidth="1"/>
    <col min="9731" max="9731" width="37.8571428571429" style="26" bestFit="1" customWidth="1"/>
    <col min="9732" max="9732" width="12.8571428571429" style="26" bestFit="1" customWidth="1"/>
    <col min="9733" max="9733" width="13.8571428571429" style="26" bestFit="1" customWidth="1"/>
    <col min="9734" max="9735" width="14.2857142857143" style="26" customWidth="1"/>
    <col min="9736" max="9736" width="12.4285714285714" style="26" bestFit="1" customWidth="1"/>
    <col min="9737" max="9738" width="9.85714285714286" style="26" bestFit="1" customWidth="1"/>
    <col min="9739" max="9739" width="10.1428571428571" style="26" customWidth="1"/>
    <col min="9740" max="9985" width="11.8571428571429" style="26"/>
    <col min="9986" max="9986" width="6.85714285714286" style="26" customWidth="1"/>
    <col min="9987" max="9987" width="37.8571428571429" style="26" bestFit="1" customWidth="1"/>
    <col min="9988" max="9988" width="12.8571428571429" style="26" bestFit="1" customWidth="1"/>
    <col min="9989" max="9989" width="13.8571428571429" style="26" bestFit="1" customWidth="1"/>
    <col min="9990" max="9991" width="14.2857142857143" style="26" customWidth="1"/>
    <col min="9992" max="9992" width="12.4285714285714" style="26" bestFit="1" customWidth="1"/>
    <col min="9993" max="9994" width="9.85714285714286" style="26" bestFit="1" customWidth="1"/>
    <col min="9995" max="9995" width="10.1428571428571" style="26" customWidth="1"/>
    <col min="9996" max="10241" width="11.8571428571429" style="26"/>
    <col min="10242" max="10242" width="6.85714285714286" style="26" customWidth="1"/>
    <col min="10243" max="10243" width="37.8571428571429" style="26" bestFit="1" customWidth="1"/>
    <col min="10244" max="10244" width="12.8571428571429" style="26" bestFit="1" customWidth="1"/>
    <col min="10245" max="10245" width="13.8571428571429" style="26" bestFit="1" customWidth="1"/>
    <col min="10246" max="10247" width="14.2857142857143" style="26" customWidth="1"/>
    <col min="10248" max="10248" width="12.4285714285714" style="26" bestFit="1" customWidth="1"/>
    <col min="10249" max="10250" width="9.85714285714286" style="26" bestFit="1" customWidth="1"/>
    <col min="10251" max="10251" width="10.1428571428571" style="26" customWidth="1"/>
    <col min="10252" max="10497" width="11.8571428571429" style="26"/>
    <col min="10498" max="10498" width="6.85714285714286" style="26" customWidth="1"/>
    <col min="10499" max="10499" width="37.8571428571429" style="26" bestFit="1" customWidth="1"/>
    <col min="10500" max="10500" width="12.8571428571429" style="26" bestFit="1" customWidth="1"/>
    <col min="10501" max="10501" width="13.8571428571429" style="26" bestFit="1" customWidth="1"/>
    <col min="10502" max="10503" width="14.2857142857143" style="26" customWidth="1"/>
    <col min="10504" max="10504" width="12.4285714285714" style="26" bestFit="1" customWidth="1"/>
    <col min="10505" max="10506" width="9.85714285714286" style="26" bestFit="1" customWidth="1"/>
    <col min="10507" max="10507" width="10.1428571428571" style="26" customWidth="1"/>
    <col min="10508" max="10753" width="11.8571428571429" style="26"/>
    <col min="10754" max="10754" width="6.85714285714286" style="26" customWidth="1"/>
    <col min="10755" max="10755" width="37.8571428571429" style="26" bestFit="1" customWidth="1"/>
    <col min="10756" max="10756" width="12.8571428571429" style="26" bestFit="1" customWidth="1"/>
    <col min="10757" max="10757" width="13.8571428571429" style="26" bestFit="1" customWidth="1"/>
    <col min="10758" max="10759" width="14.2857142857143" style="26" customWidth="1"/>
    <col min="10760" max="10760" width="12.4285714285714" style="26" bestFit="1" customWidth="1"/>
    <col min="10761" max="10762" width="9.85714285714286" style="26" bestFit="1" customWidth="1"/>
    <col min="10763" max="10763" width="10.1428571428571" style="26" customWidth="1"/>
    <col min="10764" max="11009" width="11.8571428571429" style="26"/>
    <col min="11010" max="11010" width="6.85714285714286" style="26" customWidth="1"/>
    <col min="11011" max="11011" width="37.8571428571429" style="26" bestFit="1" customWidth="1"/>
    <col min="11012" max="11012" width="12.8571428571429" style="26" bestFit="1" customWidth="1"/>
    <col min="11013" max="11013" width="13.8571428571429" style="26" bestFit="1" customWidth="1"/>
    <col min="11014" max="11015" width="14.2857142857143" style="26" customWidth="1"/>
    <col min="11016" max="11016" width="12.4285714285714" style="26" bestFit="1" customWidth="1"/>
    <col min="11017" max="11018" width="9.85714285714286" style="26" bestFit="1" customWidth="1"/>
    <col min="11019" max="11019" width="10.1428571428571" style="26" customWidth="1"/>
    <col min="11020" max="11265" width="11.8571428571429" style="26"/>
    <col min="11266" max="11266" width="6.85714285714286" style="26" customWidth="1"/>
    <col min="11267" max="11267" width="37.8571428571429" style="26" bestFit="1" customWidth="1"/>
    <col min="11268" max="11268" width="12.8571428571429" style="26" bestFit="1" customWidth="1"/>
    <col min="11269" max="11269" width="13.8571428571429" style="26" bestFit="1" customWidth="1"/>
    <col min="11270" max="11271" width="14.2857142857143" style="26" customWidth="1"/>
    <col min="11272" max="11272" width="12.4285714285714" style="26" bestFit="1" customWidth="1"/>
    <col min="11273" max="11274" width="9.85714285714286" style="26" bestFit="1" customWidth="1"/>
    <col min="11275" max="11275" width="10.1428571428571" style="26" customWidth="1"/>
    <col min="11276" max="11521" width="11.8571428571429" style="26"/>
    <col min="11522" max="11522" width="6.85714285714286" style="26" customWidth="1"/>
    <col min="11523" max="11523" width="37.8571428571429" style="26" bestFit="1" customWidth="1"/>
    <col min="11524" max="11524" width="12.8571428571429" style="26" bestFit="1" customWidth="1"/>
    <col min="11525" max="11525" width="13.8571428571429" style="26" bestFit="1" customWidth="1"/>
    <col min="11526" max="11527" width="14.2857142857143" style="26" customWidth="1"/>
    <col min="11528" max="11528" width="12.4285714285714" style="26" bestFit="1" customWidth="1"/>
    <col min="11529" max="11530" width="9.85714285714286" style="26" bestFit="1" customWidth="1"/>
    <col min="11531" max="11531" width="10.1428571428571" style="26" customWidth="1"/>
    <col min="11532" max="11777" width="11.8571428571429" style="26"/>
    <col min="11778" max="11778" width="6.85714285714286" style="26" customWidth="1"/>
    <col min="11779" max="11779" width="37.8571428571429" style="26" bestFit="1" customWidth="1"/>
    <col min="11780" max="11780" width="12.8571428571429" style="26" bestFit="1" customWidth="1"/>
    <col min="11781" max="11781" width="13.8571428571429" style="26" bestFit="1" customWidth="1"/>
    <col min="11782" max="11783" width="14.2857142857143" style="26" customWidth="1"/>
    <col min="11784" max="11784" width="12.4285714285714" style="26" bestFit="1" customWidth="1"/>
    <col min="11785" max="11786" width="9.85714285714286" style="26" bestFit="1" customWidth="1"/>
    <col min="11787" max="11787" width="10.1428571428571" style="26" customWidth="1"/>
    <col min="11788" max="12033" width="11.8571428571429" style="26"/>
    <col min="12034" max="12034" width="6.85714285714286" style="26" customWidth="1"/>
    <col min="12035" max="12035" width="37.8571428571429" style="26" bestFit="1" customWidth="1"/>
    <col min="12036" max="12036" width="12.8571428571429" style="26" bestFit="1" customWidth="1"/>
    <col min="12037" max="12037" width="13.8571428571429" style="26" bestFit="1" customWidth="1"/>
    <col min="12038" max="12039" width="14.2857142857143" style="26" customWidth="1"/>
    <col min="12040" max="12040" width="12.4285714285714" style="26" bestFit="1" customWidth="1"/>
    <col min="12041" max="12042" width="9.85714285714286" style="26" bestFit="1" customWidth="1"/>
    <col min="12043" max="12043" width="10.1428571428571" style="26" customWidth="1"/>
    <col min="12044" max="12289" width="11.8571428571429" style="26"/>
    <col min="12290" max="12290" width="6.85714285714286" style="26" customWidth="1"/>
    <col min="12291" max="12291" width="37.8571428571429" style="26" bestFit="1" customWidth="1"/>
    <col min="12292" max="12292" width="12.8571428571429" style="26" bestFit="1" customWidth="1"/>
    <col min="12293" max="12293" width="13.8571428571429" style="26" bestFit="1" customWidth="1"/>
    <col min="12294" max="12295" width="14.2857142857143" style="26" customWidth="1"/>
    <col min="12296" max="12296" width="12.4285714285714" style="26" bestFit="1" customWidth="1"/>
    <col min="12297" max="12298" width="9.85714285714286" style="26" bestFit="1" customWidth="1"/>
    <col min="12299" max="12299" width="10.1428571428571" style="26" customWidth="1"/>
    <col min="12300" max="12545" width="11.8571428571429" style="26"/>
    <col min="12546" max="12546" width="6.85714285714286" style="26" customWidth="1"/>
    <col min="12547" max="12547" width="37.8571428571429" style="26" bestFit="1" customWidth="1"/>
    <col min="12548" max="12548" width="12.8571428571429" style="26" bestFit="1" customWidth="1"/>
    <col min="12549" max="12549" width="13.8571428571429" style="26" bestFit="1" customWidth="1"/>
    <col min="12550" max="12551" width="14.2857142857143" style="26" customWidth="1"/>
    <col min="12552" max="12552" width="12.4285714285714" style="26" bestFit="1" customWidth="1"/>
    <col min="12553" max="12554" width="9.85714285714286" style="26" bestFit="1" customWidth="1"/>
    <col min="12555" max="12555" width="10.1428571428571" style="26" customWidth="1"/>
    <col min="12556" max="12801" width="11.8571428571429" style="26"/>
    <col min="12802" max="12802" width="6.85714285714286" style="26" customWidth="1"/>
    <col min="12803" max="12803" width="37.8571428571429" style="26" bestFit="1" customWidth="1"/>
    <col min="12804" max="12804" width="12.8571428571429" style="26" bestFit="1" customWidth="1"/>
    <col min="12805" max="12805" width="13.8571428571429" style="26" bestFit="1" customWidth="1"/>
    <col min="12806" max="12807" width="14.2857142857143" style="26" customWidth="1"/>
    <col min="12808" max="12808" width="12.4285714285714" style="26" bestFit="1" customWidth="1"/>
    <col min="12809" max="12810" width="9.85714285714286" style="26" bestFit="1" customWidth="1"/>
    <col min="12811" max="12811" width="10.1428571428571" style="26" customWidth="1"/>
    <col min="12812" max="13057" width="11.8571428571429" style="26"/>
    <col min="13058" max="13058" width="6.85714285714286" style="26" customWidth="1"/>
    <col min="13059" max="13059" width="37.8571428571429" style="26" bestFit="1" customWidth="1"/>
    <col min="13060" max="13060" width="12.8571428571429" style="26" bestFit="1" customWidth="1"/>
    <col min="13061" max="13061" width="13.8571428571429" style="26" bestFit="1" customWidth="1"/>
    <col min="13062" max="13063" width="14.2857142857143" style="26" customWidth="1"/>
    <col min="13064" max="13064" width="12.4285714285714" style="26" bestFit="1" customWidth="1"/>
    <col min="13065" max="13066" width="9.85714285714286" style="26" bestFit="1" customWidth="1"/>
    <col min="13067" max="13067" width="10.1428571428571" style="26" customWidth="1"/>
    <col min="13068" max="13313" width="11.8571428571429" style="26"/>
    <col min="13314" max="13314" width="6.85714285714286" style="26" customWidth="1"/>
    <col min="13315" max="13315" width="37.8571428571429" style="26" bestFit="1" customWidth="1"/>
    <col min="13316" max="13316" width="12.8571428571429" style="26" bestFit="1" customWidth="1"/>
    <col min="13317" max="13317" width="13.8571428571429" style="26" bestFit="1" customWidth="1"/>
    <col min="13318" max="13319" width="14.2857142857143" style="26" customWidth="1"/>
    <col min="13320" max="13320" width="12.4285714285714" style="26" bestFit="1" customWidth="1"/>
    <col min="13321" max="13322" width="9.85714285714286" style="26" bestFit="1" customWidth="1"/>
    <col min="13323" max="13323" width="10.1428571428571" style="26" customWidth="1"/>
    <col min="13324" max="13569" width="11.8571428571429" style="26"/>
    <col min="13570" max="13570" width="6.85714285714286" style="26" customWidth="1"/>
    <col min="13571" max="13571" width="37.8571428571429" style="26" bestFit="1" customWidth="1"/>
    <col min="13572" max="13572" width="12.8571428571429" style="26" bestFit="1" customWidth="1"/>
    <col min="13573" max="13573" width="13.8571428571429" style="26" bestFit="1" customWidth="1"/>
    <col min="13574" max="13575" width="14.2857142857143" style="26" customWidth="1"/>
    <col min="13576" max="13576" width="12.4285714285714" style="26" bestFit="1" customWidth="1"/>
    <col min="13577" max="13578" width="9.85714285714286" style="26" bestFit="1" customWidth="1"/>
    <col min="13579" max="13579" width="10.1428571428571" style="26" customWidth="1"/>
    <col min="13580" max="13825" width="11.8571428571429" style="26"/>
    <col min="13826" max="13826" width="6.85714285714286" style="26" customWidth="1"/>
    <col min="13827" max="13827" width="37.8571428571429" style="26" bestFit="1" customWidth="1"/>
    <col min="13828" max="13828" width="12.8571428571429" style="26" bestFit="1" customWidth="1"/>
    <col min="13829" max="13829" width="13.8571428571429" style="26" bestFit="1" customWidth="1"/>
    <col min="13830" max="13831" width="14.2857142857143" style="26" customWidth="1"/>
    <col min="13832" max="13832" width="12.4285714285714" style="26" bestFit="1" customWidth="1"/>
    <col min="13833" max="13834" width="9.85714285714286" style="26" bestFit="1" customWidth="1"/>
    <col min="13835" max="13835" width="10.1428571428571" style="26" customWidth="1"/>
    <col min="13836" max="14081" width="11.8571428571429" style="26"/>
    <col min="14082" max="14082" width="6.85714285714286" style="26" customWidth="1"/>
    <col min="14083" max="14083" width="37.8571428571429" style="26" bestFit="1" customWidth="1"/>
    <col min="14084" max="14084" width="12.8571428571429" style="26" bestFit="1" customWidth="1"/>
    <col min="14085" max="14085" width="13.8571428571429" style="26" bestFit="1" customWidth="1"/>
    <col min="14086" max="14087" width="14.2857142857143" style="26" customWidth="1"/>
    <col min="14088" max="14088" width="12.4285714285714" style="26" bestFit="1" customWidth="1"/>
    <col min="14089" max="14090" width="9.85714285714286" style="26" bestFit="1" customWidth="1"/>
    <col min="14091" max="14091" width="10.1428571428571" style="26" customWidth="1"/>
    <col min="14092" max="14337" width="11.8571428571429" style="26"/>
    <col min="14338" max="14338" width="6.85714285714286" style="26" customWidth="1"/>
    <col min="14339" max="14339" width="37.8571428571429" style="26" bestFit="1" customWidth="1"/>
    <col min="14340" max="14340" width="12.8571428571429" style="26" bestFit="1" customWidth="1"/>
    <col min="14341" max="14341" width="13.8571428571429" style="26" bestFit="1" customWidth="1"/>
    <col min="14342" max="14343" width="14.2857142857143" style="26" customWidth="1"/>
    <col min="14344" max="14344" width="12.4285714285714" style="26" bestFit="1" customWidth="1"/>
    <col min="14345" max="14346" width="9.85714285714286" style="26" bestFit="1" customWidth="1"/>
    <col min="14347" max="14347" width="10.1428571428571" style="26" customWidth="1"/>
    <col min="14348" max="14593" width="11.8571428571429" style="26"/>
    <col min="14594" max="14594" width="6.85714285714286" style="26" customWidth="1"/>
    <col min="14595" max="14595" width="37.8571428571429" style="26" bestFit="1" customWidth="1"/>
    <col min="14596" max="14596" width="12.8571428571429" style="26" bestFit="1" customWidth="1"/>
    <col min="14597" max="14597" width="13.8571428571429" style="26" bestFit="1" customWidth="1"/>
    <col min="14598" max="14599" width="14.2857142857143" style="26" customWidth="1"/>
    <col min="14600" max="14600" width="12.4285714285714" style="26" bestFit="1" customWidth="1"/>
    <col min="14601" max="14602" width="9.85714285714286" style="26" bestFit="1" customWidth="1"/>
    <col min="14603" max="14603" width="10.1428571428571" style="26" customWidth="1"/>
    <col min="14604" max="14849" width="11.8571428571429" style="26"/>
    <col min="14850" max="14850" width="6.85714285714286" style="26" customWidth="1"/>
    <col min="14851" max="14851" width="37.8571428571429" style="26" bestFit="1" customWidth="1"/>
    <col min="14852" max="14852" width="12.8571428571429" style="26" bestFit="1" customWidth="1"/>
    <col min="14853" max="14853" width="13.8571428571429" style="26" bestFit="1" customWidth="1"/>
    <col min="14854" max="14855" width="14.2857142857143" style="26" customWidth="1"/>
    <col min="14856" max="14856" width="12.4285714285714" style="26" bestFit="1" customWidth="1"/>
    <col min="14857" max="14858" width="9.85714285714286" style="26" bestFit="1" customWidth="1"/>
    <col min="14859" max="14859" width="10.1428571428571" style="26" customWidth="1"/>
    <col min="14860" max="15105" width="11.8571428571429" style="26"/>
    <col min="15106" max="15106" width="6.85714285714286" style="26" customWidth="1"/>
    <col min="15107" max="15107" width="37.8571428571429" style="26" bestFit="1" customWidth="1"/>
    <col min="15108" max="15108" width="12.8571428571429" style="26" bestFit="1" customWidth="1"/>
    <col min="15109" max="15109" width="13.8571428571429" style="26" bestFit="1" customWidth="1"/>
    <col min="15110" max="15111" width="14.2857142857143" style="26" customWidth="1"/>
    <col min="15112" max="15112" width="12.4285714285714" style="26" bestFit="1" customWidth="1"/>
    <col min="15113" max="15114" width="9.85714285714286" style="26" bestFit="1" customWidth="1"/>
    <col min="15115" max="15115" width="10.1428571428571" style="26" customWidth="1"/>
    <col min="15116" max="15361" width="11.8571428571429" style="26"/>
    <col min="15362" max="15362" width="6.85714285714286" style="26" customWidth="1"/>
    <col min="15363" max="15363" width="37.8571428571429" style="26" bestFit="1" customWidth="1"/>
    <col min="15364" max="15364" width="12.8571428571429" style="26" bestFit="1" customWidth="1"/>
    <col min="15365" max="15365" width="13.8571428571429" style="26" bestFit="1" customWidth="1"/>
    <col min="15366" max="15367" width="14.2857142857143" style="26" customWidth="1"/>
    <col min="15368" max="15368" width="12.4285714285714" style="26" bestFit="1" customWidth="1"/>
    <col min="15369" max="15370" width="9.85714285714286" style="26" bestFit="1" customWidth="1"/>
    <col min="15371" max="15371" width="10.1428571428571" style="26" customWidth="1"/>
    <col min="15372" max="15617" width="11.8571428571429" style="26"/>
    <col min="15618" max="15618" width="6.85714285714286" style="26" customWidth="1"/>
    <col min="15619" max="15619" width="37.8571428571429" style="26" bestFit="1" customWidth="1"/>
    <col min="15620" max="15620" width="12.8571428571429" style="26" bestFit="1" customWidth="1"/>
    <col min="15621" max="15621" width="13.8571428571429" style="26" bestFit="1" customWidth="1"/>
    <col min="15622" max="15623" width="14.2857142857143" style="26" customWidth="1"/>
    <col min="15624" max="15624" width="12.4285714285714" style="26" bestFit="1" customWidth="1"/>
    <col min="15625" max="15626" width="9.85714285714286" style="26" bestFit="1" customWidth="1"/>
    <col min="15627" max="15627" width="10.1428571428571" style="26" customWidth="1"/>
    <col min="15628" max="15873" width="11.8571428571429" style="26"/>
    <col min="15874" max="15874" width="6.85714285714286" style="26" customWidth="1"/>
    <col min="15875" max="15875" width="37.8571428571429" style="26" bestFit="1" customWidth="1"/>
    <col min="15876" max="15876" width="12.8571428571429" style="26" bestFit="1" customWidth="1"/>
    <col min="15877" max="15877" width="13.8571428571429" style="26" bestFit="1" customWidth="1"/>
    <col min="15878" max="15879" width="14.2857142857143" style="26" customWidth="1"/>
    <col min="15880" max="15880" width="12.4285714285714" style="26" bestFit="1" customWidth="1"/>
    <col min="15881" max="15882" width="9.85714285714286" style="26" bestFit="1" customWidth="1"/>
    <col min="15883" max="15883" width="10.1428571428571" style="26" customWidth="1"/>
    <col min="15884" max="16129" width="11.8571428571429" style="26"/>
    <col min="16130" max="16130" width="6.85714285714286" style="26" customWidth="1"/>
    <col min="16131" max="16131" width="37.8571428571429" style="26" bestFit="1" customWidth="1"/>
    <col min="16132" max="16132" width="12.8571428571429" style="26" bestFit="1" customWidth="1"/>
    <col min="16133" max="16133" width="13.8571428571429" style="26" bestFit="1" customWidth="1"/>
    <col min="16134" max="16135" width="14.2857142857143" style="26" customWidth="1"/>
    <col min="16136" max="16136" width="12.4285714285714" style="26" bestFit="1" customWidth="1"/>
    <col min="16137" max="16138" width="9.85714285714286" style="26" bestFit="1" customWidth="1"/>
    <col min="16139" max="16139" width="10.1428571428571" style="26" customWidth="1"/>
    <col min="16140" max="16384" width="11.8571428571429" style="26"/>
  </cols>
  <sheetData>
    <row r="1" spans="1:11" ht="18">
      <c r="A1" s="864" t="s">
        <v>56</v>
      </c>
      <c r="B1" s="864"/>
      <c r="C1" s="864"/>
      <c r="D1" s="864"/>
      <c r="E1" s="864"/>
      <c r="F1" s="864"/>
      <c r="G1" s="864"/>
      <c r="H1" s="864"/>
      <c r="I1" s="864"/>
      <c r="J1" s="864"/>
      <c r="K1" s="864"/>
    </row>
    <row r="2" spans="1:11" ht="12.75">
      <c r="A2" s="865" t="str">
        <f>Input!B3</f>
        <v>FPUC, FPUC - Common, FPUC - Indiantown, Florida Division of Chesapeake Utilities Corporation, FPUC - Ft Meade</v>
      </c>
      <c r="B2" s="865"/>
      <c r="C2" s="865"/>
      <c r="D2" s="865"/>
      <c r="E2" s="865"/>
      <c r="F2" s="865"/>
      <c r="G2" s="865"/>
      <c r="H2" s="865"/>
      <c r="I2" s="865"/>
      <c r="J2" s="865"/>
      <c r="K2" s="865"/>
    </row>
    <row r="3" spans="1:11" ht="15.75">
      <c r="A3" s="863" t="s">
        <v>57</v>
      </c>
      <c r="B3" s="863"/>
      <c r="C3" s="863"/>
      <c r="D3" s="863"/>
      <c r="E3" s="863"/>
      <c r="F3" s="863"/>
      <c r="G3" s="863"/>
      <c r="H3" s="863"/>
      <c r="I3" s="863"/>
      <c r="J3" s="863"/>
      <c r="K3" s="863"/>
    </row>
    <row r="4" spans="1:11" ht="12.75">
      <c r="A4" s="866" t="str">
        <f>'Sch. A'!A4</f>
        <v>(Actual through 12/31/21 and Projected through 12/31/22)</v>
      </c>
      <c r="B4" s="866"/>
      <c r="C4" s="866"/>
      <c r="D4" s="866"/>
      <c r="E4" s="866"/>
      <c r="F4" s="866"/>
      <c r="G4" s="866"/>
      <c r="H4" s="866"/>
      <c r="I4" s="866"/>
      <c r="J4" s="866"/>
      <c r="K4" s="866"/>
    </row>
    <row r="5" spans="1:11" ht="15.75">
      <c r="A5" s="863" t="s">
        <v>149</v>
      </c>
      <c r="B5" s="863"/>
      <c r="C5" s="863"/>
      <c r="D5" s="863"/>
      <c r="E5" s="863"/>
      <c r="F5" s="863"/>
      <c r="G5" s="863"/>
      <c r="H5" s="863"/>
      <c r="I5" s="863"/>
      <c r="J5" s="863"/>
      <c r="K5" s="863"/>
    </row>
    <row r="6" spans="2:11" s="88" customFormat="1" ht="18.75" thickBot="1">
      <c r="B6" s="92"/>
      <c r="C6" s="93"/>
      <c r="D6" s="93"/>
      <c r="E6" s="687"/>
      <c r="F6" s="93"/>
      <c r="G6" s="93"/>
      <c r="H6" s="93"/>
      <c r="I6" s="93"/>
      <c r="J6" s="121"/>
      <c r="K6" s="93"/>
    </row>
    <row r="7" spans="1:11" s="27" customFormat="1" ht="14.45" customHeight="1">
      <c r="A7" s="168"/>
      <c r="B7" s="169"/>
      <c r="C7" s="905" t="s">
        <v>150</v>
      </c>
      <c r="D7" s="906"/>
      <c r="E7" s="906"/>
      <c r="F7" s="906"/>
      <c r="G7" s="906"/>
      <c r="H7" s="906"/>
      <c r="I7" s="906"/>
      <c r="J7" s="906"/>
      <c r="K7" s="907"/>
    </row>
    <row r="8" spans="1:11" s="27" customFormat="1" ht="12.75">
      <c r="A8" s="168"/>
      <c r="B8" s="170"/>
      <c r="C8" s="122" t="s">
        <v>66</v>
      </c>
      <c r="D8" s="124" t="s">
        <v>66</v>
      </c>
      <c r="E8" s="710"/>
      <c r="F8" s="122" t="s">
        <v>151</v>
      </c>
      <c r="G8" s="171" t="s">
        <v>152</v>
      </c>
      <c r="H8" s="124"/>
      <c r="I8" s="171"/>
      <c r="J8" s="172"/>
      <c r="K8" s="123" t="s">
        <v>69</v>
      </c>
    </row>
    <row r="9" spans="1:11" s="27" customFormat="1" ht="13.5" thickBot="1">
      <c r="A9" s="173"/>
      <c r="B9" s="170"/>
      <c r="C9" s="127">
        <f>'Sch. A'!C10</f>
        <v>44927</v>
      </c>
      <c r="D9" s="128">
        <f>+C9</f>
        <v>44927</v>
      </c>
      <c r="E9" s="688"/>
      <c r="F9" s="122" t="s">
        <v>76</v>
      </c>
      <c r="G9" s="124" t="s">
        <v>76</v>
      </c>
      <c r="H9" s="124" t="s">
        <v>153</v>
      </c>
      <c r="I9" s="124" t="s">
        <v>154</v>
      </c>
      <c r="J9" s="174" t="s">
        <v>155</v>
      </c>
      <c r="K9" s="123" t="s">
        <v>156</v>
      </c>
    </row>
    <row r="10" spans="1:11" s="27" customFormat="1" ht="14.25" thickTop="1" thickBot="1">
      <c r="A10" s="131" t="s">
        <v>74</v>
      </c>
      <c r="B10" s="132"/>
      <c r="C10" s="133" t="s">
        <v>75</v>
      </c>
      <c r="D10" s="134" t="s">
        <v>76</v>
      </c>
      <c r="E10" s="689"/>
      <c r="F10" s="135" t="s">
        <v>78</v>
      </c>
      <c r="G10" s="137"/>
      <c r="H10" s="175"/>
      <c r="I10" s="137" t="s">
        <v>78</v>
      </c>
      <c r="J10" s="176" t="s">
        <v>157</v>
      </c>
      <c r="K10" s="177" t="s">
        <v>78</v>
      </c>
    </row>
    <row r="11" spans="1:11" s="58" customFormat="1" ht="11.25">
      <c r="A11" s="52"/>
      <c r="B11" s="81"/>
      <c r="C11" s="140"/>
      <c r="D11" s="53"/>
      <c r="E11" s="53"/>
      <c r="F11" s="102"/>
      <c r="G11" s="55"/>
      <c r="H11" s="55"/>
      <c r="I11" s="55"/>
      <c r="J11" s="78"/>
      <c r="K11" s="141"/>
    </row>
    <row r="12" spans="1:11" s="58" customFormat="1" ht="11.25">
      <c r="A12" s="143" t="s">
        <v>79</v>
      </c>
      <c r="B12" s="144"/>
      <c r="C12" s="754"/>
      <c r="D12" s="755"/>
      <c r="E12" s="755"/>
      <c r="F12" s="756"/>
      <c r="G12" s="757"/>
      <c r="H12" s="757"/>
      <c r="I12" s="757"/>
      <c r="J12" s="758"/>
      <c r="K12" s="759"/>
    </row>
    <row r="13" spans="1:11" s="27" customFormat="1" ht="12.75">
      <c r="A13" s="63">
        <v>3741</v>
      </c>
      <c r="B13" s="115" t="s">
        <v>80</v>
      </c>
      <c r="C13" s="64">
        <f>'Sch. G 2022'!H13</f>
        <v>33410</v>
      </c>
      <c r="D13" s="760">
        <f>'Sch. G 2022'!S13</f>
        <v>11583</v>
      </c>
      <c r="E13" s="760"/>
      <c r="F13" s="493">
        <f>ROUND(100-(J13*I13)-K13,2)</f>
        <v>27.199999999999999</v>
      </c>
      <c r="G13" s="496">
        <f>ROUND(F13*C13/100,0)</f>
        <v>9088</v>
      </c>
      <c r="H13" s="496">
        <f>SUM(D13-G13)</f>
        <v>2495</v>
      </c>
      <c r="I13" s="497">
        <f>ROUND((100-'Sch. A'!M14)/'Sch. A'!K14,1)</f>
        <v>1.3</v>
      </c>
      <c r="J13" s="660">
        <f>'Sch. B'!D14</f>
        <v>56</v>
      </c>
      <c r="K13" s="761">
        <f>'Sch. B'!E14</f>
        <v>0</v>
      </c>
    </row>
    <row r="14" spans="1:11" s="27" customFormat="1" ht="12.75">
      <c r="A14" s="63">
        <v>375</v>
      </c>
      <c r="B14" s="115" t="s">
        <v>82</v>
      </c>
      <c r="C14" s="64">
        <f>'Sch. G 2022'!H14</f>
        <v>1572719</v>
      </c>
      <c r="D14" s="760">
        <f>'Sch. G 2022'!S14</f>
        <v>351957</v>
      </c>
      <c r="E14" s="760"/>
      <c r="F14" s="493">
        <f t="shared" si="0" ref="F14:F30">ROUND(100-(J14*I14)-K14,2)</f>
        <v>30</v>
      </c>
      <c r="G14" s="496">
        <f t="shared" si="1" ref="G14:G30">ROUND(F14*C14/100,0)</f>
        <v>471816</v>
      </c>
      <c r="H14" s="496">
        <f t="shared" si="2" ref="H14:H30">SUM(D14-G14)</f>
        <v>-119859</v>
      </c>
      <c r="I14" s="497">
        <f>ROUND((100-'Sch. A'!M15)/'Sch. A'!K15,1)</f>
        <v>2.5</v>
      </c>
      <c r="J14" s="660">
        <f>'Sch. B'!D15</f>
        <v>28</v>
      </c>
      <c r="K14" s="761">
        <f>'Sch. B'!E15</f>
        <v>0</v>
      </c>
    </row>
    <row r="15" spans="1:11" s="27" customFormat="1" ht="12.75">
      <c r="A15" s="63">
        <v>3761</v>
      </c>
      <c r="B15" s="115" t="s">
        <v>84</v>
      </c>
      <c r="C15" s="64">
        <f>'Sch. G 2022'!H15</f>
        <v>129087416</v>
      </c>
      <c r="D15" s="760">
        <f>'Sch. G 2022'!S15</f>
        <v>32009063</v>
      </c>
      <c r="E15" s="760"/>
      <c r="F15" s="493">
        <f t="shared" si="0"/>
        <v>11.1</v>
      </c>
      <c r="G15" s="496">
        <f t="shared" si="1"/>
        <v>14328703</v>
      </c>
      <c r="H15" s="496">
        <f t="shared" si="2"/>
        <v>17680360</v>
      </c>
      <c r="I15" s="497">
        <f>ROUND((100-'Sch. A'!M16)/'Sch. A'!K16,1)</f>
        <v>1.7</v>
      </c>
      <c r="J15" s="660">
        <f>'Sch. B'!D16</f>
        <v>67</v>
      </c>
      <c r="K15" s="761">
        <f>'Sch. B'!E16</f>
        <v>-25</v>
      </c>
    </row>
    <row r="16" spans="1:11" s="27" customFormat="1" ht="12.75">
      <c r="A16" s="63">
        <v>3762</v>
      </c>
      <c r="B16" s="115" t="s">
        <v>86</v>
      </c>
      <c r="C16" s="64">
        <f>'Sch. G 2022'!H16</f>
        <v>61810864</v>
      </c>
      <c r="D16" s="760">
        <f>'Sch. G 2022'!S16</f>
        <v>30162494</v>
      </c>
      <c r="E16" s="760"/>
      <c r="F16" s="493">
        <f t="shared" si="0"/>
        <v>45.399999999999999</v>
      </c>
      <c r="G16" s="496">
        <f t="shared" si="1"/>
        <v>28062132</v>
      </c>
      <c r="H16" s="496">
        <f t="shared" si="2"/>
        <v>2100362</v>
      </c>
      <c r="I16" s="497">
        <f>ROUND((100-'Sch. A'!M17)/'Sch. A'!K17,1)</f>
        <v>2.2000000000000002</v>
      </c>
      <c r="J16" s="660">
        <f>'Sch. B'!D17</f>
        <v>43</v>
      </c>
      <c r="K16" s="761">
        <f>'Sch. B'!E17</f>
        <v>-40</v>
      </c>
    </row>
    <row r="17" spans="1:11" s="27" customFormat="1" ht="12.75">
      <c r="A17" s="63" t="s">
        <v>87</v>
      </c>
      <c r="B17" s="115" t="s">
        <v>88</v>
      </c>
      <c r="C17" s="64">
        <f>'Sch. G 2022'!H17</f>
        <v>146906029</v>
      </c>
      <c r="D17" s="760">
        <f>'Sch. G 2022'!S17</f>
        <v>17733587</v>
      </c>
      <c r="E17" s="760"/>
      <c r="F17" s="493">
        <f t="shared" si="0"/>
        <v>11.1</v>
      </c>
      <c r="G17" s="496">
        <f t="shared" si="1"/>
        <v>16306569</v>
      </c>
      <c r="H17" s="496">
        <f t="shared" si="2"/>
        <v>1427018</v>
      </c>
      <c r="I17" s="497">
        <f>ROUND((100-'Sch. A'!M18)/'Sch. A'!K18,1)</f>
        <v>1.7</v>
      </c>
      <c r="J17" s="660">
        <f>'Sch. B'!D18</f>
        <v>67</v>
      </c>
      <c r="K17" s="761">
        <f>'Sch. B'!E18</f>
        <v>-25</v>
      </c>
    </row>
    <row r="18" spans="1:11" s="27" customFormat="1" ht="12.75">
      <c r="A18" s="63">
        <v>378</v>
      </c>
      <c r="B18" s="115" t="s">
        <v>89</v>
      </c>
      <c r="C18" s="64">
        <f>'Sch. G 2022'!H18</f>
        <v>6890853</v>
      </c>
      <c r="D18" s="760">
        <f>'Sch. G 2022'!S18</f>
        <v>1702522</v>
      </c>
      <c r="E18" s="760"/>
      <c r="F18" s="493">
        <f t="shared" si="0"/>
        <v>20.399999999999999</v>
      </c>
      <c r="G18" s="496">
        <f t="shared" si="1"/>
        <v>1405734</v>
      </c>
      <c r="H18" s="496">
        <f t="shared" si="2"/>
        <v>296788</v>
      </c>
      <c r="I18" s="497">
        <f>ROUND((100-'Sch. A'!M19)/'Sch. A'!K19,1)</f>
        <v>2.7999999999999998</v>
      </c>
      <c r="J18" s="660">
        <f>'Sch. B'!D19</f>
        <v>32</v>
      </c>
      <c r="K18" s="761">
        <f>'Sch. B'!E19</f>
        <v>-10</v>
      </c>
    </row>
    <row r="19" spans="1:11" s="27" customFormat="1" ht="13.5" customHeight="1">
      <c r="A19" s="63">
        <v>379</v>
      </c>
      <c r="B19" s="115" t="s">
        <v>139</v>
      </c>
      <c r="C19" s="64">
        <f>'Sch. G 2022'!H19</f>
        <v>14603999</v>
      </c>
      <c r="D19" s="760">
        <f>'Sch. G 2022'!S19</f>
        <v>5789277</v>
      </c>
      <c r="E19" s="760"/>
      <c r="F19" s="493">
        <f t="shared" si="0"/>
        <v>31.600000000000001</v>
      </c>
      <c r="G19" s="496">
        <f t="shared" si="1"/>
        <v>4614864</v>
      </c>
      <c r="H19" s="496">
        <f t="shared" si="2"/>
        <v>1174413</v>
      </c>
      <c r="I19" s="497">
        <f>ROUND((100-'Sch. A'!M20)/'Sch. A'!K20,1)</f>
        <v>2.7999999999999998</v>
      </c>
      <c r="J19" s="660">
        <f>'Sch. B'!D20</f>
        <v>28</v>
      </c>
      <c r="K19" s="761">
        <f>'Sch. B'!E20</f>
        <v>-10</v>
      </c>
    </row>
    <row r="20" spans="1:11" s="27" customFormat="1" ht="12.75">
      <c r="A20" s="63">
        <v>3801</v>
      </c>
      <c r="B20" s="115" t="s">
        <v>92</v>
      </c>
      <c r="C20" s="64">
        <f>'Sch. G 2022'!H20</f>
        <v>69786805</v>
      </c>
      <c r="D20" s="760">
        <f>'Sch. G 2022'!S20</f>
        <v>15557857</v>
      </c>
      <c r="E20" s="760"/>
      <c r="F20" s="493">
        <f t="shared" si="0"/>
        <v>19.600000000000001</v>
      </c>
      <c r="G20" s="496">
        <f t="shared" si="1"/>
        <v>13678214</v>
      </c>
      <c r="H20" s="496">
        <f t="shared" si="2"/>
        <v>1879643</v>
      </c>
      <c r="I20" s="497">
        <f>ROUND((100-'Sch. A'!M21)/'Sch. A'!K21,1)</f>
        <v>2.3999999999999999</v>
      </c>
      <c r="J20" s="660">
        <f>'Sch. B'!D21</f>
        <v>46</v>
      </c>
      <c r="K20" s="761">
        <f>'Sch. B'!E21</f>
        <v>-30</v>
      </c>
    </row>
    <row r="21" spans="1:11" s="27" customFormat="1" ht="12.75">
      <c r="A21" s="63">
        <v>3802</v>
      </c>
      <c r="B21" s="115" t="s">
        <v>93</v>
      </c>
      <c r="C21" s="64">
        <f>'Sch. G 2022'!H21</f>
        <v>1327469</v>
      </c>
      <c r="D21" s="760">
        <f>'Sch. G 2022'!S21</f>
        <v>1419349</v>
      </c>
      <c r="E21" s="760"/>
      <c r="F21" s="493">
        <f t="shared" si="0"/>
        <v>97</v>
      </c>
      <c r="G21" s="496">
        <f t="shared" si="1"/>
        <v>1287645</v>
      </c>
      <c r="H21" s="496">
        <f t="shared" si="2"/>
        <v>131704</v>
      </c>
      <c r="I21" s="497">
        <f>ROUND((100-'Sch. A'!M22)/'Sch. A'!K22,1)</f>
        <v>3.7999999999999998</v>
      </c>
      <c r="J21" s="660">
        <f>'Sch. B'!D22</f>
        <v>35</v>
      </c>
      <c r="K21" s="761">
        <f>'Sch. B'!E22</f>
        <v>-130</v>
      </c>
    </row>
    <row r="22" spans="1:11" s="27" customFormat="1" ht="12.75">
      <c r="A22" s="63" t="s">
        <v>95</v>
      </c>
      <c r="B22" s="115" t="s">
        <v>96</v>
      </c>
      <c r="C22" s="64">
        <f>'Sch. G 2022'!H22</f>
        <v>48993831</v>
      </c>
      <c r="D22" s="760">
        <f>'Sch. G 2022'!S22</f>
        <v>3452804</v>
      </c>
      <c r="E22" s="760"/>
      <c r="F22" s="493">
        <f t="shared" si="0"/>
        <v>19.600000000000001</v>
      </c>
      <c r="G22" s="496">
        <f t="shared" si="1"/>
        <v>9602791</v>
      </c>
      <c r="H22" s="496">
        <f t="shared" si="2"/>
        <v>-6149987</v>
      </c>
      <c r="I22" s="497">
        <f>ROUND((100-'Sch. A'!M23)/'Sch. A'!K23,1)</f>
        <v>2.3999999999999999</v>
      </c>
      <c r="J22" s="660">
        <f>'Sch. B'!D23</f>
        <v>46</v>
      </c>
      <c r="K22" s="761">
        <f>'Sch. B'!E23</f>
        <v>-30</v>
      </c>
    </row>
    <row r="23" spans="1:11" s="27" customFormat="1" ht="12.75">
      <c r="A23" s="63">
        <v>381</v>
      </c>
      <c r="B23" s="115" t="s">
        <v>97</v>
      </c>
      <c r="C23" s="64">
        <f>'Sch. G 2022'!H23</f>
        <v>23268059</v>
      </c>
      <c r="D23" s="760">
        <f>'Sch. G 2022'!S23</f>
        <v>7354720</v>
      </c>
      <c r="E23" s="760"/>
      <c r="F23" s="493">
        <f t="shared" si="0"/>
        <v>33.039999999999999</v>
      </c>
      <c r="G23" s="496">
        <f t="shared" si="1"/>
        <v>7687767</v>
      </c>
      <c r="H23" s="496">
        <f t="shared" si="2"/>
        <v>-333047</v>
      </c>
      <c r="I23" s="497">
        <f>ROUND((100-'Sch. A'!M24)/'Sch. A'!K24,1)</f>
        <v>3.6000000000000001</v>
      </c>
      <c r="J23" s="660">
        <f>'Sch. B'!D24</f>
        <v>18.600000000000001</v>
      </c>
      <c r="K23" s="761">
        <f>'Sch. B'!E24</f>
        <v>0</v>
      </c>
    </row>
    <row r="24" spans="1:11" s="27" customFormat="1" ht="12.75">
      <c r="A24" s="63">
        <v>3811</v>
      </c>
      <c r="B24" s="115" t="s">
        <v>98</v>
      </c>
      <c r="C24" s="64">
        <f>'Sch. G 2022'!H24</f>
        <v>2303034</v>
      </c>
      <c r="D24" s="760">
        <f>'Sch. G 2022'!S24</f>
        <v>1452732</v>
      </c>
      <c r="E24" s="760"/>
      <c r="F24" s="493">
        <f t="shared" si="0"/>
        <v>39.880000000000003</v>
      </c>
      <c r="G24" s="496">
        <f t="shared" si="1"/>
        <v>918450</v>
      </c>
      <c r="H24" s="496">
        <f t="shared" si="2"/>
        <v>534282</v>
      </c>
      <c r="I24" s="497">
        <f>ROUND((100-'Sch. A'!M25)/'Sch. A'!K25,1)</f>
        <v>3.6000000000000001</v>
      </c>
      <c r="J24" s="660">
        <f>'Sch. B'!D25</f>
        <v>16.699999999999999</v>
      </c>
      <c r="K24" s="761">
        <f>'Sch. B'!E25</f>
        <v>0</v>
      </c>
    </row>
    <row r="25" spans="1:11" s="27" customFormat="1" ht="12.75">
      <c r="A25" s="63">
        <v>382</v>
      </c>
      <c r="B25" s="115" t="s">
        <v>99</v>
      </c>
      <c r="C25" s="64">
        <f>'Sch. G 2022'!H25</f>
        <v>18239922</v>
      </c>
      <c r="D25" s="760">
        <f>'Sch. G 2022'!S25</f>
        <v>5258682</v>
      </c>
      <c r="E25" s="760"/>
      <c r="F25" s="493">
        <f t="shared" si="0"/>
        <v>25.5</v>
      </c>
      <c r="G25" s="496">
        <f t="shared" si="1"/>
        <v>4651180</v>
      </c>
      <c r="H25" s="496">
        <f t="shared" si="2"/>
        <v>607502</v>
      </c>
      <c r="I25" s="497">
        <f>ROUND((100-'Sch. A'!M26)/'Sch. A'!K26,1)</f>
        <v>2.7000000000000002</v>
      </c>
      <c r="J25" s="660">
        <f>'Sch. B'!D26</f>
        <v>35</v>
      </c>
      <c r="K25" s="761">
        <f>'Sch. B'!E26</f>
        <v>-20</v>
      </c>
    </row>
    <row r="26" spans="1:11" s="27" customFormat="1" ht="12.75">
      <c r="A26" s="63">
        <v>3821</v>
      </c>
      <c r="B26" s="115" t="s">
        <v>100</v>
      </c>
      <c r="C26" s="64">
        <f>'Sch. G 2022'!H26</f>
        <v>593040</v>
      </c>
      <c r="D26" s="760">
        <f>'Sch. G 2022'!S26</f>
        <v>283446</v>
      </c>
      <c r="E26" s="760"/>
      <c r="F26" s="493">
        <f t="shared" si="0"/>
        <v>30.899999999999999</v>
      </c>
      <c r="G26" s="496">
        <f t="shared" si="1"/>
        <v>183249</v>
      </c>
      <c r="H26" s="496">
        <f t="shared" si="2"/>
        <v>100197</v>
      </c>
      <c r="I26" s="497">
        <f>ROUND((100-'Sch. A'!M27)/'Sch. A'!K27,1)</f>
        <v>2.7000000000000002</v>
      </c>
      <c r="J26" s="660">
        <f>'Sch. B'!D27</f>
        <v>33</v>
      </c>
      <c r="K26" s="761">
        <f>'Sch. B'!E27</f>
        <v>-20</v>
      </c>
    </row>
    <row r="27" spans="1:11" s="27" customFormat="1" ht="12.75">
      <c r="A27" s="63">
        <v>383</v>
      </c>
      <c r="B27" s="115" t="s">
        <v>101</v>
      </c>
      <c r="C27" s="64">
        <f>'Sch. G 2022'!H27</f>
        <v>6859108</v>
      </c>
      <c r="D27" s="760">
        <f>'Sch. G 2022'!S27</f>
        <v>3131461</v>
      </c>
      <c r="E27" s="760"/>
      <c r="F27" s="493">
        <f t="shared" si="0"/>
        <v>32.5</v>
      </c>
      <c r="G27" s="496">
        <f t="shared" si="1"/>
        <v>2229210</v>
      </c>
      <c r="H27" s="496">
        <f t="shared" si="2"/>
        <v>902251</v>
      </c>
      <c r="I27" s="497">
        <f>ROUND((100-'Sch. A'!M28)/'Sch. A'!K28,1)</f>
        <v>2.5</v>
      </c>
      <c r="J27" s="660">
        <f>'Sch. B'!D28</f>
        <v>27</v>
      </c>
      <c r="K27" s="761">
        <f>'Sch. B'!E28</f>
        <v>0</v>
      </c>
    </row>
    <row r="28" spans="1:11" s="27" customFormat="1" ht="12.75">
      <c r="A28" s="63">
        <v>384</v>
      </c>
      <c r="B28" s="115" t="s">
        <v>103</v>
      </c>
      <c r="C28" s="64">
        <f>'Sch. G 2022'!H28</f>
        <v>1081399</v>
      </c>
      <c r="D28" s="760">
        <f>'Sch. G 2022'!S28</f>
        <v>694010</v>
      </c>
      <c r="E28" s="760"/>
      <c r="F28" s="493">
        <f t="shared" si="0"/>
        <v>57.899999999999999</v>
      </c>
      <c r="G28" s="496">
        <f t="shared" si="1"/>
        <v>626130</v>
      </c>
      <c r="H28" s="496">
        <f t="shared" si="2"/>
        <v>67880</v>
      </c>
      <c r="I28" s="497">
        <f>ROUND((100-'Sch. A'!M29)/'Sch. A'!K29,1)</f>
        <v>2.7000000000000002</v>
      </c>
      <c r="J28" s="660">
        <f>'Sch. B'!D29</f>
        <v>23</v>
      </c>
      <c r="K28" s="761">
        <f>'Sch. B'!E29</f>
        <v>-20</v>
      </c>
    </row>
    <row r="29" spans="1:11" s="27" customFormat="1" ht="12.75">
      <c r="A29" s="63">
        <v>385</v>
      </c>
      <c r="B29" s="115" t="s">
        <v>104</v>
      </c>
      <c r="C29" s="64">
        <f>'Sch. G 2022'!H29</f>
        <v>1883028</v>
      </c>
      <c r="D29" s="760">
        <f>'Sch. G 2022'!S29</f>
        <v>1227066</v>
      </c>
      <c r="E29" s="760"/>
      <c r="F29" s="493">
        <f t="shared" si="0"/>
        <v>53.719999999999999</v>
      </c>
      <c r="G29" s="496">
        <f t="shared" si="1"/>
        <v>1011563</v>
      </c>
      <c r="H29" s="496">
        <f t="shared" si="2"/>
        <v>215503</v>
      </c>
      <c r="I29" s="497">
        <f>ROUND((100-'Sch. A'!M30)/'Sch. A'!K30,1)</f>
        <v>2.6000000000000001</v>
      </c>
      <c r="J29" s="660">
        <f>'Sch. B'!D30</f>
        <v>17.800000000000001</v>
      </c>
      <c r="K29" s="761">
        <f>'Sch. B'!E30</f>
        <v>0</v>
      </c>
    </row>
    <row r="30" spans="1:11" s="27" customFormat="1" ht="12.75">
      <c r="A30" s="63">
        <v>387</v>
      </c>
      <c r="B30" s="115" t="s">
        <v>105</v>
      </c>
      <c r="C30" s="64">
        <f>'Sch. G 2022'!H30</f>
        <v>3458702</v>
      </c>
      <c r="D30" s="760">
        <f>'Sch. G 2022'!S30</f>
        <v>1496827</v>
      </c>
      <c r="E30" s="760"/>
      <c r="F30" s="493">
        <f t="shared" si="0"/>
        <v>36.640000000000001</v>
      </c>
      <c r="G30" s="496">
        <f t="shared" si="1"/>
        <v>1267268</v>
      </c>
      <c r="H30" s="496">
        <f t="shared" si="2"/>
        <v>229559</v>
      </c>
      <c r="I30" s="497">
        <f>ROUND((100-'Sch. A'!M31)/'Sch. A'!K31,1)</f>
        <v>3.2999999999999998</v>
      </c>
      <c r="J30" s="660">
        <f>'Sch. B'!D31</f>
        <v>19.199999999999999</v>
      </c>
      <c r="K30" s="761">
        <f>'Sch. B'!E31</f>
        <v>0</v>
      </c>
    </row>
    <row r="31" spans="1:11" s="27" customFormat="1" ht="13.5" thickBot="1">
      <c r="A31" s="178"/>
      <c r="B31" s="179"/>
      <c r="C31" s="818">
        <f>SUM(C13:C30)</f>
        <v>538699687</v>
      </c>
      <c r="D31" s="819">
        <f>SUM(D13:D30)</f>
        <v>129089437</v>
      </c>
      <c r="E31" s="762"/>
      <c r="F31" s="763"/>
      <c r="G31" s="816">
        <f>SUM(G13:G30)</f>
        <v>108342373</v>
      </c>
      <c r="H31" s="816">
        <f>SUM(H13:H30)</f>
        <v>20747064</v>
      </c>
      <c r="I31" s="764"/>
      <c r="J31" s="765"/>
      <c r="K31" s="766"/>
    </row>
    <row r="32" spans="1:11" s="27" customFormat="1" ht="13.5" thickTop="1">
      <c r="A32" s="180" t="s">
        <v>107</v>
      </c>
      <c r="B32" s="181"/>
      <c r="C32" s="767"/>
      <c r="D32" s="768"/>
      <c r="E32" s="768"/>
      <c r="F32" s="769"/>
      <c r="G32" s="770"/>
      <c r="H32" s="707"/>
      <c r="I32" s="771"/>
      <c r="J32" s="772"/>
      <c r="K32" s="708"/>
    </row>
    <row r="33" spans="1:11" s="27" customFormat="1" ht="12.75">
      <c r="A33" s="63">
        <v>390</v>
      </c>
      <c r="B33" s="115" t="s">
        <v>140</v>
      </c>
      <c r="C33" s="64">
        <f>'Sch. G 2022'!H32</f>
        <v>14092184</v>
      </c>
      <c r="D33" s="760">
        <f>'Sch. G 2022'!S32</f>
        <v>1099982</v>
      </c>
      <c r="E33" s="760"/>
      <c r="F33" s="493">
        <f>IFERROR(ROUND(100-(J33*I33)-K33,2),0)</f>
        <v>9.5</v>
      </c>
      <c r="G33" s="496">
        <f t="shared" si="3" ref="G33:G48">ROUND(F33*C33/100,0)</f>
        <v>1338757</v>
      </c>
      <c r="H33" s="496">
        <f t="shared" si="4" ref="H33:H48">SUM(D33-G33)</f>
        <v>-238775</v>
      </c>
      <c r="I33" s="497">
        <f>IFERROR(ROUND((100-'Sch. A'!M34)/'Sch. A'!K34,1),0)</f>
        <v>2.2999999999999998</v>
      </c>
      <c r="J33" s="660">
        <f>'Sch. B'!D34</f>
        <v>35</v>
      </c>
      <c r="K33" s="761">
        <f>'Sch. B'!E34</f>
        <v>10</v>
      </c>
    </row>
    <row r="34" spans="1:11" s="27" customFormat="1" ht="12.75">
      <c r="A34" s="63">
        <v>3910</v>
      </c>
      <c r="B34" s="105" t="s">
        <v>109</v>
      </c>
      <c r="C34" s="64">
        <f>'Sch. G 2022'!H33</f>
        <v>2294441</v>
      </c>
      <c r="D34" s="760">
        <f>'Sch. G 2022'!S33</f>
        <v>750673</v>
      </c>
      <c r="E34" s="773" t="s">
        <v>677</v>
      </c>
      <c r="F34" s="493">
        <f>IFERROR(ROUND(100-(J34*I34)-K34,2),0)</f>
        <v>20</v>
      </c>
      <c r="G34" s="496">
        <f>ROUND(F34*C34/100,0)</f>
        <v>458888</v>
      </c>
      <c r="H34" s="496">
        <f t="shared" si="4"/>
        <v>291785</v>
      </c>
      <c r="I34" s="497">
        <f>100/14</f>
        <v>7.1428571428571432</v>
      </c>
      <c r="J34" s="660">
        <f>'Sch. E'!D15</f>
        <v>11.199999999999999</v>
      </c>
      <c r="K34" s="761">
        <f>'Sch. B'!E35</f>
        <v>0</v>
      </c>
    </row>
    <row r="35" spans="1:11" s="27" customFormat="1" ht="12.75">
      <c r="A35" s="63">
        <v>3912</v>
      </c>
      <c r="B35" s="105" t="s">
        <v>141</v>
      </c>
      <c r="C35" s="64">
        <f>'Sch. G 2022'!H34</f>
        <v>374792</v>
      </c>
      <c r="D35" s="760">
        <f>'Sch. G 2022'!S34</f>
        <v>103025</v>
      </c>
      <c r="E35" s="773" t="s">
        <v>677</v>
      </c>
      <c r="F35" s="493">
        <f t="shared" si="5" ref="F35:F48">IFERROR(ROUND(100-(J35*I35)-K35,2),0)</f>
        <v>66</v>
      </c>
      <c r="G35" s="496">
        <f t="shared" si="3"/>
        <v>247363</v>
      </c>
      <c r="H35" s="496">
        <f t="shared" si="4"/>
        <v>-144338</v>
      </c>
      <c r="I35" s="497">
        <f>100/10</f>
        <v>10</v>
      </c>
      <c r="J35" s="660">
        <f>'Sch. E'!D16</f>
        <v>3.4000000000000004</v>
      </c>
      <c r="K35" s="761">
        <f>'Sch. B'!E36</f>
        <v>0</v>
      </c>
    </row>
    <row r="36" spans="1:11" s="27" customFormat="1" ht="12.75">
      <c r="A36" s="75">
        <v>3913</v>
      </c>
      <c r="B36" s="105" t="s">
        <v>113</v>
      </c>
      <c r="C36" s="64">
        <f>'Sch. G 2022'!H35</f>
        <v>758651</v>
      </c>
      <c r="D36" s="760">
        <f>'Sch. G 2022'!S35</f>
        <v>-349061</v>
      </c>
      <c r="E36" s="773" t="s">
        <v>677</v>
      </c>
      <c r="F36" s="493">
        <f t="shared" si="5"/>
        <v>25</v>
      </c>
      <c r="G36" s="496">
        <f t="shared" si="3"/>
        <v>189663</v>
      </c>
      <c r="H36" s="496">
        <f t="shared" si="4"/>
        <v>-538724</v>
      </c>
      <c r="I36" s="497">
        <f>100/20</f>
        <v>5</v>
      </c>
      <c r="J36" s="660">
        <f>'Sch. E'!D17</f>
        <v>15</v>
      </c>
      <c r="K36" s="761">
        <f>'Sch. B'!E37</f>
        <v>0</v>
      </c>
    </row>
    <row r="37" spans="1:11" s="27" customFormat="1" ht="12.75">
      <c r="A37" s="75">
        <v>3914</v>
      </c>
      <c r="B37" s="105" t="s">
        <v>115</v>
      </c>
      <c r="C37" s="64">
        <f>'Sch. G 2022'!H36</f>
        <v>7283950</v>
      </c>
      <c r="D37" s="760">
        <f>'Sch. G 2022'!S36</f>
        <v>3428763</v>
      </c>
      <c r="E37" s="773" t="s">
        <v>677</v>
      </c>
      <c r="F37" s="493">
        <f t="shared" si="5"/>
        <v>63</v>
      </c>
      <c r="G37" s="496">
        <f t="shared" si="3"/>
        <v>4588889</v>
      </c>
      <c r="H37" s="496">
        <f t="shared" si="4"/>
        <v>-1160126</v>
      </c>
      <c r="I37" s="497">
        <f>100/10</f>
        <v>10</v>
      </c>
      <c r="J37" s="660">
        <f>'Sch. E'!D18</f>
        <v>3.7000000000000002</v>
      </c>
      <c r="K37" s="761">
        <f>'Sch. B'!E38</f>
        <v>0</v>
      </c>
    </row>
    <row r="38" spans="1:11" s="27" customFormat="1" ht="12.75">
      <c r="A38" s="63">
        <v>3921</v>
      </c>
      <c r="B38" s="115" t="s">
        <v>116</v>
      </c>
      <c r="C38" s="64">
        <f>'Sch. G 2022'!H37</f>
        <v>298594</v>
      </c>
      <c r="D38" s="760">
        <f>'Sch. G 2022'!S37</f>
        <v>114990</v>
      </c>
      <c r="E38" s="760"/>
      <c r="F38" s="493">
        <f t="shared" si="5"/>
        <v>21.75</v>
      </c>
      <c r="G38" s="496">
        <f t="shared" si="3"/>
        <v>64944</v>
      </c>
      <c r="H38" s="496">
        <f t="shared" si="4"/>
        <v>50046</v>
      </c>
      <c r="I38" s="497">
        <f>IFERROR(ROUND((100-'Sch. A'!M39)/'Sch. A'!K39,1),0)</f>
        <v>7.5</v>
      </c>
      <c r="J38" s="660">
        <f>'Sch. B'!D39</f>
        <v>9.0999999999999996</v>
      </c>
      <c r="K38" s="761">
        <f>'Sch. B'!E39</f>
        <v>10</v>
      </c>
    </row>
    <row r="39" spans="1:11" s="27" customFormat="1" ht="12.75">
      <c r="A39" s="63">
        <v>3922</v>
      </c>
      <c r="B39" s="115" t="s">
        <v>117</v>
      </c>
      <c r="C39" s="64">
        <f>'Sch. G 2022'!H38</f>
        <v>6692224</v>
      </c>
      <c r="D39" s="760">
        <f>'Sch. G 2022'!S38</f>
        <v>2969418</v>
      </c>
      <c r="E39" s="760"/>
      <c r="F39" s="493">
        <f t="shared" si="5"/>
        <v>37.119999999999997</v>
      </c>
      <c r="G39" s="496">
        <f t="shared" si="3"/>
        <v>2484154</v>
      </c>
      <c r="H39" s="496">
        <f t="shared" si="4"/>
        <v>485264</v>
      </c>
      <c r="I39" s="497">
        <f>IFERROR(ROUND((100-'Sch. A'!M40)/'Sch. A'!K40,1),0)</f>
        <v>6.7000000000000002</v>
      </c>
      <c r="J39" s="660">
        <f>'Sch. B'!D40</f>
        <v>6.4000000000000004</v>
      </c>
      <c r="K39" s="761">
        <f>'Sch. B'!E40</f>
        <v>20</v>
      </c>
    </row>
    <row r="40" spans="1:11" s="27" customFormat="1" ht="12.75">
      <c r="A40" s="63">
        <v>3923</v>
      </c>
      <c r="B40" s="115" t="s">
        <v>118</v>
      </c>
      <c r="C40" s="64">
        <f>'Sch. G 2022'!H39</f>
        <v>0</v>
      </c>
      <c r="D40" s="760">
        <f>'Sch. G 2022'!S39</f>
        <v>0</v>
      </c>
      <c r="E40" s="760"/>
      <c r="F40" s="493">
        <f t="shared" si="5"/>
        <v>-0.20000000000000001</v>
      </c>
      <c r="G40" s="496">
        <f t="shared" si="3"/>
        <v>0</v>
      </c>
      <c r="H40" s="496">
        <f t="shared" si="4"/>
        <v>0</v>
      </c>
      <c r="I40" s="497">
        <f>IFERROR(ROUND((100-'Sch. A'!M41)/'Sch. A'!K41,1),0)</f>
        <v>8.1999999999999993</v>
      </c>
      <c r="J40" s="660">
        <f>'Sch. B'!D41</f>
        <v>11</v>
      </c>
      <c r="K40" s="761">
        <f>'Sch. B'!E41</f>
        <v>10</v>
      </c>
    </row>
    <row r="41" spans="1:11" s="27" customFormat="1" ht="12.75">
      <c r="A41" s="63">
        <v>3924</v>
      </c>
      <c r="B41" s="115" t="s">
        <v>119</v>
      </c>
      <c r="C41" s="64">
        <f>'Sch. G 2022'!H40</f>
        <v>63465</v>
      </c>
      <c r="D41" s="760">
        <f>'Sch. G 2022'!S40</f>
        <v>49848</v>
      </c>
      <c r="E41" s="760"/>
      <c r="F41" s="493">
        <f t="shared" si="5"/>
        <v>57.079999999999998</v>
      </c>
      <c r="G41" s="496">
        <f t="shared" si="3"/>
        <v>36226</v>
      </c>
      <c r="H41" s="496">
        <f t="shared" si="4"/>
        <v>13622</v>
      </c>
      <c r="I41" s="497">
        <f>IFERROR(ROUND((100-'Sch. A'!M42)/'Sch. A'!K42,1),0)</f>
        <v>3.7000000000000002</v>
      </c>
      <c r="J41" s="660">
        <f>'Sch. B'!D42</f>
        <v>11.6</v>
      </c>
      <c r="K41" s="761">
        <f>'Sch. B'!E42</f>
        <v>0</v>
      </c>
    </row>
    <row r="42" spans="1:11" s="27" customFormat="1" ht="12.75">
      <c r="A42" s="63">
        <v>393</v>
      </c>
      <c r="B42" s="115" t="s">
        <v>120</v>
      </c>
      <c r="C42" s="64">
        <f>'Sch. G 2022'!H41</f>
        <v>29458</v>
      </c>
      <c r="D42" s="760">
        <f>'Sch. G 2022'!S41</f>
        <v>14825</v>
      </c>
      <c r="E42" s="773" t="s">
        <v>677</v>
      </c>
      <c r="F42" s="493">
        <f t="shared" si="5"/>
        <v>30.77</v>
      </c>
      <c r="G42" s="496">
        <f t="shared" si="3"/>
        <v>9064</v>
      </c>
      <c r="H42" s="496">
        <f t="shared" si="4"/>
        <v>5761</v>
      </c>
      <c r="I42" s="497">
        <f>100/26</f>
        <v>3.8461538461538463</v>
      </c>
      <c r="J42" s="660">
        <f>'Sch. E'!D19</f>
        <v>18</v>
      </c>
      <c r="K42" s="761">
        <f>'Sch. B'!E43</f>
        <v>0</v>
      </c>
    </row>
    <row r="43" spans="1:11" s="27" customFormat="1" ht="12.75">
      <c r="A43" s="63">
        <v>394</v>
      </c>
      <c r="B43" s="115" t="s">
        <v>122</v>
      </c>
      <c r="C43" s="64">
        <f>'Sch. G 2022'!H42</f>
        <v>1366809</v>
      </c>
      <c r="D43" s="760">
        <f>'Sch. G 2022'!S42</f>
        <v>671810</v>
      </c>
      <c r="E43" s="773" t="s">
        <v>677</v>
      </c>
      <c r="F43" s="493">
        <f t="shared" si="5"/>
        <v>34</v>
      </c>
      <c r="G43" s="496">
        <f t="shared" si="3"/>
        <v>464715</v>
      </c>
      <c r="H43" s="496">
        <f t="shared" si="4"/>
        <v>207095</v>
      </c>
      <c r="I43" s="497">
        <f>100/15</f>
        <v>6.666666666666667</v>
      </c>
      <c r="J43" s="660">
        <f>'Sch. E'!D20</f>
        <v>9.9000000000000004</v>
      </c>
      <c r="K43" s="761">
        <f>'Sch. B'!E44</f>
        <v>0</v>
      </c>
    </row>
    <row r="44" spans="1:11" s="27" customFormat="1" ht="12.75">
      <c r="A44" s="63">
        <v>395</v>
      </c>
      <c r="B44" s="115" t="s">
        <v>124</v>
      </c>
      <c r="C44" s="64">
        <f>'Sch. G 2022'!H43</f>
        <v>0</v>
      </c>
      <c r="D44" s="760">
        <f>'Sch. G 2022'!S43</f>
        <v>0</v>
      </c>
      <c r="E44" s="773" t="s">
        <v>677</v>
      </c>
      <c r="F44" s="493">
        <f t="shared" si="5"/>
        <v>0</v>
      </c>
      <c r="G44" s="496">
        <f t="shared" si="3"/>
        <v>0</v>
      </c>
      <c r="H44" s="496">
        <f t="shared" si="4"/>
        <v>0</v>
      </c>
      <c r="I44" s="497">
        <f>100/20</f>
        <v>5</v>
      </c>
      <c r="J44" s="660">
        <f>'Sch. E'!D21</f>
        <v>20</v>
      </c>
      <c r="K44" s="761">
        <f>'Sch. B'!E45</f>
        <v>0</v>
      </c>
    </row>
    <row r="45" spans="1:11" s="27" customFormat="1" ht="12.75">
      <c r="A45" s="63">
        <v>396</v>
      </c>
      <c r="B45" s="115" t="s">
        <v>125</v>
      </c>
      <c r="C45" s="64">
        <f>'Sch. G 2022'!H44</f>
        <v>1789042</v>
      </c>
      <c r="D45" s="760">
        <f>'Sch. G 2022'!S44</f>
        <v>1057166</v>
      </c>
      <c r="E45" s="760"/>
      <c r="F45" s="493">
        <f t="shared" si="5"/>
        <v>51.799999999999997</v>
      </c>
      <c r="G45" s="496">
        <f t="shared" si="3"/>
        <v>926724</v>
      </c>
      <c r="H45" s="496">
        <f t="shared" si="4"/>
        <v>130442</v>
      </c>
      <c r="I45" s="497">
        <f>IFERROR(ROUND((100-'Sch. A'!M46)/'Sch. A'!K46,1),0)</f>
        <v>4.7999999999999998</v>
      </c>
      <c r="J45" s="660">
        <f>'Sch. B'!D46</f>
        <v>9</v>
      </c>
      <c r="K45" s="761">
        <f>'Sch. B'!E46</f>
        <v>5</v>
      </c>
    </row>
    <row r="46" spans="1:11" s="27" customFormat="1" ht="12.75">
      <c r="A46" s="63">
        <v>397</v>
      </c>
      <c r="B46" s="115" t="s">
        <v>126</v>
      </c>
      <c r="C46" s="64">
        <f>'Sch. G 2022'!H45</f>
        <v>2351047</v>
      </c>
      <c r="D46" s="760">
        <f>'Sch. G 2022'!S45</f>
        <v>934660</v>
      </c>
      <c r="E46" s="773" t="s">
        <v>677</v>
      </c>
      <c r="F46" s="493">
        <f t="shared" si="5"/>
        <v>43.850000000000001</v>
      </c>
      <c r="G46" s="496">
        <f t="shared" si="3"/>
        <v>1030934</v>
      </c>
      <c r="H46" s="496">
        <f t="shared" si="4"/>
        <v>-96274</v>
      </c>
      <c r="I46" s="497">
        <f>100/13</f>
        <v>7.6923076923076925</v>
      </c>
      <c r="J46" s="660">
        <f>'Sch. E'!D22</f>
        <v>7.2999999999999998</v>
      </c>
      <c r="K46" s="761">
        <f>'Sch. B'!E47</f>
        <v>0</v>
      </c>
    </row>
    <row r="47" spans="1:11" s="27" customFormat="1" ht="12.75">
      <c r="A47" s="63">
        <v>398</v>
      </c>
      <c r="B47" s="115" t="s">
        <v>128</v>
      </c>
      <c r="C47" s="64">
        <f>'Sch. G 2022'!H46</f>
        <v>368904</v>
      </c>
      <c r="D47" s="760">
        <f>'Sch. G 2022'!S46</f>
        <v>238112</v>
      </c>
      <c r="E47" s="773" t="s">
        <v>677</v>
      </c>
      <c r="F47" s="493">
        <f t="shared" si="5"/>
        <v>67.060000000000002</v>
      </c>
      <c r="G47" s="496">
        <f t="shared" si="3"/>
        <v>247387</v>
      </c>
      <c r="H47" s="496">
        <f t="shared" si="4"/>
        <v>-9275</v>
      </c>
      <c r="I47" s="497">
        <f>100/17</f>
        <v>5.882352941176471</v>
      </c>
      <c r="J47" s="660">
        <f>'Sch. E'!D23</f>
        <v>5.5999999999999996</v>
      </c>
      <c r="K47" s="761">
        <f>'Sch. B'!E48</f>
        <v>0</v>
      </c>
    </row>
    <row r="48" spans="1:11" s="27" customFormat="1" ht="12.75">
      <c r="A48" s="63">
        <v>399</v>
      </c>
      <c r="B48" s="115" t="s">
        <v>130</v>
      </c>
      <c r="C48" s="64">
        <f>'Sch. G 2022'!H47</f>
        <v>0</v>
      </c>
      <c r="D48" s="760">
        <f>'Sch. G 2022'!S47</f>
        <v>0</v>
      </c>
      <c r="E48" s="760"/>
      <c r="F48" s="493">
        <f t="shared" si="5"/>
        <v>0</v>
      </c>
      <c r="G48" s="496">
        <f t="shared" si="3"/>
        <v>0</v>
      </c>
      <c r="H48" s="496">
        <f t="shared" si="4"/>
        <v>0</v>
      </c>
      <c r="I48" s="497">
        <f>100/5</f>
        <v>20</v>
      </c>
      <c r="J48" s="660">
        <v>5</v>
      </c>
      <c r="K48" s="761">
        <f>'Sch. B'!E49</f>
        <v>0</v>
      </c>
    </row>
    <row r="49" spans="1:11" s="27" customFormat="1" ht="13.5" thickBot="1">
      <c r="A49" s="178"/>
      <c r="B49" s="518" t="s">
        <v>133</v>
      </c>
      <c r="C49" s="511">
        <f>SUM(C33:C48)</f>
        <v>37763561</v>
      </c>
      <c r="D49" s="815">
        <f>SUM(D33:D48)</f>
        <v>11084211</v>
      </c>
      <c r="E49" s="707"/>
      <c r="F49" s="707"/>
      <c r="G49" s="816">
        <f>SUM(G33:G47)</f>
        <v>12087708</v>
      </c>
      <c r="H49" s="816">
        <f>SUM(H33:H47)</f>
        <v>-1003497</v>
      </c>
      <c r="I49" s="707"/>
      <c r="J49" s="707"/>
      <c r="K49" s="766"/>
    </row>
    <row r="50" spans="1:11" s="27" customFormat="1" ht="13.5" thickTop="1">
      <c r="A50" s="178"/>
      <c r="B50" s="169"/>
      <c r="C50" s="774"/>
      <c r="D50" s="775"/>
      <c r="E50" s="707"/>
      <c r="F50" s="707"/>
      <c r="G50" s="770"/>
      <c r="H50" s="707"/>
      <c r="I50" s="707"/>
      <c r="J50" s="707"/>
      <c r="K50" s="708"/>
    </row>
    <row r="51" spans="1:11" s="27" customFormat="1" ht="13.5" thickBot="1">
      <c r="A51" s="178"/>
      <c r="B51" s="518" t="s">
        <v>134</v>
      </c>
      <c r="C51" s="511">
        <f>SUM(C31+C49)</f>
        <v>576463248</v>
      </c>
      <c r="D51" s="815">
        <f>SUM(D31+D49)</f>
        <v>140173648</v>
      </c>
      <c r="E51" s="707"/>
      <c r="F51" s="707"/>
      <c r="G51" s="817">
        <f>+G49+G31</f>
        <v>120430081</v>
      </c>
      <c r="H51" s="817">
        <f>+H49+H31</f>
        <v>19743567</v>
      </c>
      <c r="I51" s="707"/>
      <c r="J51" s="707"/>
      <c r="K51" s="708"/>
    </row>
    <row r="52" spans="1:11" s="709" customFormat="1" ht="13.5" thickTop="1">
      <c r="A52" s="701"/>
      <c r="B52" s="702"/>
      <c r="C52" s="703"/>
      <c r="D52" s="704"/>
      <c r="E52" s="704"/>
      <c r="F52" s="705"/>
      <c r="G52" s="706"/>
      <c r="H52" s="706"/>
      <c r="I52" s="707"/>
      <c r="J52" s="707"/>
      <c r="K52" s="708"/>
    </row>
    <row r="53" spans="1:11" s="709" customFormat="1" ht="12.75">
      <c r="A53" s="746" t="s">
        <v>677</v>
      </c>
      <c r="B53" s="747" t="s">
        <v>689</v>
      </c>
      <c r="C53" s="704"/>
      <c r="D53" s="704"/>
      <c r="E53" s="704"/>
      <c r="F53" s="705"/>
      <c r="G53" s="706"/>
      <c r="H53" s="706"/>
      <c r="I53" s="707"/>
      <c r="J53" s="707"/>
      <c r="K53" s="708"/>
    </row>
    <row r="54" spans="1:11" s="27" customFormat="1" ht="13.5" thickBot="1">
      <c r="A54" s="748"/>
      <c r="B54" s="749"/>
      <c r="C54" s="750"/>
      <c r="D54" s="750"/>
      <c r="E54" s="750"/>
      <c r="F54" s="751"/>
      <c r="G54" s="751"/>
      <c r="H54" s="751"/>
      <c r="I54" s="751"/>
      <c r="J54" s="752"/>
      <c r="K54" s="753"/>
    </row>
    <row r="55" spans="2:11" s="27" customFormat="1" ht="13.5" thickTop="1">
      <c r="B55" s="160"/>
      <c r="F55" s="89"/>
      <c r="G55" s="89"/>
      <c r="H55" s="89"/>
      <c r="I55" s="89"/>
      <c r="J55" s="90"/>
      <c r="K55" s="89"/>
    </row>
  </sheetData>
  <mergeCells count="6">
    <mergeCell ref="C7:K7"/>
    <mergeCell ref="A1:K1"/>
    <mergeCell ref="A2:K2"/>
    <mergeCell ref="A3:K3"/>
    <mergeCell ref="A4:K4"/>
    <mergeCell ref="A5:K5"/>
  </mergeCells>
  <printOptions horizontalCentered="1"/>
  <pageMargins left="0.5" right="0.5" top="1" bottom="0.5" header="0.5" footer="0.2"/>
  <pageSetup fitToWidth="0" orientation="landscape" scale="73" r:id="rId1"/>
  <headerFooter>
    <oddHeader>&amp;L&amp;"Arial,Bold"&amp;12Florida Public Utilities Natural Gas Division
2023 Consolidated Depreciation Study Workbook
Docket No. 20220067&amp;R&amp;"Arial,Bold"&amp;12Revised Exhibit PSL-2
Page &amp;P of 93
Schedule D</oddHeader>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workbookViewId="0" topLeftCell="A22">
      <selection pane="topLeft" activeCell="K17" sqref="K17"/>
    </sheetView>
  </sheetViews>
  <sheetFormatPr defaultColWidth="7.85428571428571" defaultRowHeight="12.75"/>
  <cols>
    <col min="1" max="1" width="8.57142857142857" style="381" customWidth="1"/>
    <col min="2" max="2" width="30.8571428571429" style="381" bestFit="1" customWidth="1"/>
    <col min="3" max="3" width="14.5714285714286" style="381" bestFit="1" customWidth="1"/>
    <col min="4" max="4" width="13.5714285714286" style="381" bestFit="1" customWidth="1"/>
    <col min="5" max="5" width="14.1428571428571" style="398" bestFit="1" customWidth="1"/>
    <col min="6" max="6" width="11.8571428571429" style="398" bestFit="1" customWidth="1"/>
    <col min="7" max="7" width="11.2857142857143" style="398" bestFit="1" customWidth="1"/>
    <col min="8" max="8" width="14.5714285714286" style="398" bestFit="1" customWidth="1"/>
    <col min="9" max="9" width="11.2857142857143" style="398" bestFit="1" customWidth="1"/>
    <col min="10" max="10" width="19.8571428571429" style="398" bestFit="1" customWidth="1"/>
    <col min="11" max="11" width="15.7142857142857" style="381" bestFit="1" customWidth="1"/>
    <col min="12" max="12" width="18.5714285714286" style="381" customWidth="1"/>
    <col min="13" max="13" width="19.8571428571429" style="381" bestFit="1" customWidth="1"/>
    <col min="14" max="14" width="18.5714285714286" style="381" bestFit="1" customWidth="1"/>
    <col min="15" max="15" width="15.7142857142857" style="381" bestFit="1" customWidth="1"/>
    <col min="16" max="16" width="18.5714285714286" style="381" customWidth="1"/>
    <col min="17" max="17" width="19.8571428571429" style="381" bestFit="1" customWidth="1"/>
    <col min="18" max="18" width="18.5714285714286" style="381" bestFit="1" customWidth="1"/>
    <col min="19" max="19" width="19.2857142857143" style="381" bestFit="1" customWidth="1"/>
    <col min="20" max="20" width="15.4285714285714" style="381" bestFit="1" customWidth="1"/>
    <col min="21" max="21" width="15.7142857142857" style="381" bestFit="1" customWidth="1"/>
    <col min="22" max="22" width="14.5714285714286" style="381" bestFit="1" customWidth="1"/>
    <col min="23" max="23" width="14.2857142857143" style="381" bestFit="1" customWidth="1"/>
    <col min="24" max="16384" width="7.85714285714286" style="381"/>
  </cols>
  <sheetData>
    <row r="1" spans="1:10" s="26" customFormat="1" ht="18">
      <c r="A1" s="864" t="s">
        <v>56</v>
      </c>
      <c r="B1" s="864"/>
      <c r="C1" s="864"/>
      <c r="D1" s="864"/>
      <c r="E1" s="864"/>
      <c r="F1" s="864"/>
      <c r="G1" s="864"/>
      <c r="H1" s="864"/>
      <c r="I1" s="864"/>
      <c r="J1" s="519"/>
    </row>
    <row r="2" spans="1:10" s="26" customFormat="1" ht="12.75">
      <c r="A2" s="865" t="str">
        <f>Input!B3</f>
        <v>FPUC, FPUC - Common, FPUC - Indiantown, Florida Division of Chesapeake Utilities Corporation, FPUC - Ft Meade</v>
      </c>
      <c r="B2" s="865"/>
      <c r="C2" s="865"/>
      <c r="D2" s="865"/>
      <c r="E2" s="865"/>
      <c r="F2" s="865"/>
      <c r="G2" s="865"/>
      <c r="H2" s="865"/>
      <c r="I2" s="865"/>
      <c r="J2" s="173"/>
    </row>
    <row r="3" spans="1:10" s="26" customFormat="1" ht="15.75">
      <c r="A3" s="863" t="s">
        <v>57</v>
      </c>
      <c r="B3" s="863"/>
      <c r="C3" s="863"/>
      <c r="D3" s="863"/>
      <c r="E3" s="863"/>
      <c r="F3" s="863"/>
      <c r="G3" s="863"/>
      <c r="H3" s="863"/>
      <c r="I3" s="863"/>
      <c r="J3" s="306"/>
    </row>
    <row r="4" spans="1:10" s="26" customFormat="1" ht="12.75">
      <c r="A4" s="866" t="str">
        <f>'Sch. A'!A4</f>
        <v>(Actual through 12/31/21 and Projected through 12/31/22)</v>
      </c>
      <c r="B4" s="866"/>
      <c r="C4" s="866"/>
      <c r="D4" s="866"/>
      <c r="E4" s="866"/>
      <c r="F4" s="866"/>
      <c r="G4" s="866"/>
      <c r="H4" s="866"/>
      <c r="I4" s="866"/>
      <c r="J4" s="168"/>
    </row>
    <row r="5" spans="1:10" s="26" customFormat="1" ht="15.75">
      <c r="A5" s="863" t="s">
        <v>164</v>
      </c>
      <c r="B5" s="863"/>
      <c r="C5" s="863"/>
      <c r="D5" s="863"/>
      <c r="E5" s="863"/>
      <c r="F5" s="863"/>
      <c r="G5" s="863"/>
      <c r="H5" s="863"/>
      <c r="I5" s="863"/>
      <c r="J5" s="306"/>
    </row>
    <row r="6" spans="1:10" ht="12.75">
      <c r="A6" s="379"/>
      <c r="B6" s="380"/>
      <c r="C6" s="380"/>
      <c r="D6" s="380"/>
      <c r="E6" s="380"/>
      <c r="F6" s="380"/>
      <c r="G6" s="380"/>
      <c r="H6" s="380"/>
      <c r="I6" s="380"/>
      <c r="J6" s="380"/>
    </row>
    <row r="7" spans="1:9" ht="13.5" thickBot="1">
      <c r="A7" s="379"/>
      <c r="B7" s="344"/>
      <c r="C7" s="344"/>
      <c r="D7" s="344"/>
      <c r="E7" s="344"/>
      <c r="F7" s="344"/>
      <c r="G7" s="344"/>
      <c r="H7" s="344"/>
      <c r="I7" s="344"/>
    </row>
    <row r="8" spans="1:10" ht="15" customHeight="1">
      <c r="A8" s="417"/>
      <c r="C8" s="908" t="s">
        <v>165</v>
      </c>
      <c r="D8" s="909"/>
      <c r="E8" s="909"/>
      <c r="F8" s="909"/>
      <c r="G8" s="909"/>
      <c r="H8" s="909"/>
      <c r="I8" s="910"/>
      <c r="J8" s="381"/>
    </row>
    <row r="9" spans="1:10" ht="12.75">
      <c r="A9" s="382"/>
      <c r="B9" s="382"/>
      <c r="C9" s="383" t="s">
        <v>65</v>
      </c>
      <c r="D9" s="384" t="s">
        <v>65</v>
      </c>
      <c r="E9" s="384"/>
      <c r="F9" s="384"/>
      <c r="G9" s="384"/>
      <c r="H9" s="384"/>
      <c r="I9" s="385"/>
      <c r="J9" s="381"/>
    </row>
    <row r="10" spans="1:10" ht="12.75">
      <c r="A10" s="382"/>
      <c r="B10" s="386"/>
      <c r="C10" s="387" t="s">
        <v>67</v>
      </c>
      <c r="D10" s="388" t="s">
        <v>68</v>
      </c>
      <c r="E10" s="388" t="s">
        <v>69</v>
      </c>
      <c r="F10" s="388" t="s">
        <v>158</v>
      </c>
      <c r="G10" s="388"/>
      <c r="H10" s="384">
        <v>44927</v>
      </c>
      <c r="I10" s="389"/>
      <c r="J10" s="381"/>
    </row>
    <row r="11" spans="1:10" ht="13.5" thickBot="1">
      <c r="A11" s="386"/>
      <c r="B11" s="386"/>
      <c r="C11" s="387" t="s">
        <v>70</v>
      </c>
      <c r="D11" s="388" t="s">
        <v>70</v>
      </c>
      <c r="E11" s="388" t="s">
        <v>71</v>
      </c>
      <c r="F11" s="388" t="s">
        <v>72</v>
      </c>
      <c r="G11" s="388" t="s">
        <v>73</v>
      </c>
      <c r="H11" s="388" t="s">
        <v>76</v>
      </c>
      <c r="I11" s="389" t="s">
        <v>154</v>
      </c>
      <c r="J11" s="381"/>
    </row>
    <row r="12" spans="1:10" ht="13.5" thickBot="1">
      <c r="A12" s="390" t="s">
        <v>74</v>
      </c>
      <c r="B12" s="391"/>
      <c r="C12" s="392" t="s">
        <v>77</v>
      </c>
      <c r="D12" s="393" t="s">
        <v>77</v>
      </c>
      <c r="E12" s="393" t="s">
        <v>78</v>
      </c>
      <c r="F12" s="393" t="s">
        <v>77</v>
      </c>
      <c r="G12" s="393"/>
      <c r="H12" s="393" t="s">
        <v>78</v>
      </c>
      <c r="I12" s="418" t="s">
        <v>78</v>
      </c>
      <c r="J12" s="381"/>
    </row>
    <row r="13" spans="1:10" ht="12.75">
      <c r="A13" s="395"/>
      <c r="B13" s="396"/>
      <c r="C13" s="397"/>
      <c r="D13" s="398"/>
      <c r="I13" s="399"/>
      <c r="J13" s="381"/>
    </row>
    <row r="14" spans="1:10" ht="12.75">
      <c r="A14" s="400" t="s">
        <v>107</v>
      </c>
      <c r="B14" s="401"/>
      <c r="C14" s="402"/>
      <c r="D14" s="403"/>
      <c r="E14" s="404"/>
      <c r="F14" s="404"/>
      <c r="G14" s="404"/>
      <c r="H14" s="744"/>
      <c r="I14" s="419"/>
      <c r="J14" s="381"/>
    </row>
    <row r="15" spans="1:10" ht="12.75">
      <c r="A15" s="406">
        <v>3910</v>
      </c>
      <c r="B15" s="407" t="s">
        <v>109</v>
      </c>
      <c r="C15" s="498">
        <v>14</v>
      </c>
      <c r="D15" s="499">
        <f>C15-E15-F15</f>
        <v>11.199999999999999</v>
      </c>
      <c r="E15" s="500">
        <v>0</v>
      </c>
      <c r="F15" s="408">
        <f>'Sch. M'!P856</f>
        <v>2.7999999999999998</v>
      </c>
      <c r="G15" s="408" t="s">
        <v>81</v>
      </c>
      <c r="H15" s="745">
        <f>IFERROR('Sch. D'!D34/'Sch. D'!C34*100,0)</f>
        <v>32.717032166004707</v>
      </c>
      <c r="I15" s="420">
        <f>IFERROR(100/C15,0)</f>
        <v>7.1428571428571432</v>
      </c>
      <c r="J15" s="381"/>
    </row>
    <row r="16" spans="1:10" ht="12.75">
      <c r="A16" s="409">
        <v>3912</v>
      </c>
      <c r="B16" s="407" t="s">
        <v>111</v>
      </c>
      <c r="C16" s="498">
        <v>10</v>
      </c>
      <c r="D16" s="501">
        <f t="shared" si="0" ref="D16:D23">C16-E16-F16</f>
        <v>3.4000000000000004</v>
      </c>
      <c r="E16" s="500">
        <v>0</v>
      </c>
      <c r="F16" s="408">
        <f>'Sch. M'!P871</f>
        <v>6.5999999999999996</v>
      </c>
      <c r="G16" s="408" t="s">
        <v>81</v>
      </c>
      <c r="H16" s="745">
        <f>IFERROR('Sch. D'!D35/'Sch. D'!C35*100,0)</f>
        <v>27.488580332557795</v>
      </c>
      <c r="I16" s="420">
        <f t="shared" si="1" ref="I16:I23">IFERROR(100/C16,0)</f>
        <v>10</v>
      </c>
      <c r="J16" s="381"/>
    </row>
    <row r="17" spans="1:10" ht="12.75">
      <c r="A17" s="406">
        <v>3913</v>
      </c>
      <c r="B17" s="407" t="s">
        <v>113</v>
      </c>
      <c r="C17" s="498">
        <v>20</v>
      </c>
      <c r="D17" s="501">
        <f t="shared" si="0"/>
        <v>15</v>
      </c>
      <c r="E17" s="500">
        <v>0</v>
      </c>
      <c r="F17" s="408">
        <f>'Sch. M'!P890</f>
        <v>5</v>
      </c>
      <c r="G17" s="408" t="s">
        <v>81</v>
      </c>
      <c r="H17" s="745">
        <f>IFERROR('Sch. D'!D36/'Sch. D'!C36*100,0)</f>
        <v>-46.010748025112996</v>
      </c>
      <c r="I17" s="420">
        <f t="shared" si="1"/>
        <v>5</v>
      </c>
      <c r="J17" s="381"/>
    </row>
    <row r="18" spans="1:10" ht="12.75">
      <c r="A18" s="409">
        <v>3914</v>
      </c>
      <c r="B18" s="407" t="s">
        <v>115</v>
      </c>
      <c r="C18" s="498">
        <v>10</v>
      </c>
      <c r="D18" s="501">
        <f t="shared" si="0"/>
        <v>3.7000000000000002</v>
      </c>
      <c r="E18" s="500">
        <v>0</v>
      </c>
      <c r="F18" s="408">
        <f>'Sch. M'!P904</f>
        <v>6.2999999999999998</v>
      </c>
      <c r="G18" s="408" t="s">
        <v>81</v>
      </c>
      <c r="H18" s="745">
        <f>IFERROR('Sch. D'!D37/'Sch. D'!C37*100,0)</f>
        <v>47.072851955326442</v>
      </c>
      <c r="I18" s="420">
        <f t="shared" si="1"/>
        <v>10</v>
      </c>
      <c r="J18" s="381"/>
    </row>
    <row r="19" spans="1:10" ht="12.75">
      <c r="A19" s="406">
        <v>393</v>
      </c>
      <c r="B19" s="407" t="s">
        <v>120</v>
      </c>
      <c r="C19" s="498">
        <v>26</v>
      </c>
      <c r="D19" s="501">
        <f t="shared" si="0"/>
        <v>18</v>
      </c>
      <c r="E19" s="500">
        <v>0</v>
      </c>
      <c r="F19" s="408">
        <f>'Sch. M'!P918</f>
        <v>8</v>
      </c>
      <c r="G19" s="408" t="s">
        <v>81</v>
      </c>
      <c r="H19" s="745">
        <f>IFERROR('Sch. D'!D42/'Sch. D'!C42*100,0)</f>
        <v>50.325887704528483</v>
      </c>
      <c r="I19" s="420">
        <f t="shared" si="1"/>
        <v>3.8461538461538463</v>
      </c>
      <c r="J19" s="381"/>
    </row>
    <row r="20" spans="1:10" ht="12.75">
      <c r="A20" s="406">
        <v>394</v>
      </c>
      <c r="B20" s="407" t="s">
        <v>122</v>
      </c>
      <c r="C20" s="498">
        <v>15</v>
      </c>
      <c r="D20" s="501">
        <f t="shared" si="0"/>
        <v>9.9000000000000004</v>
      </c>
      <c r="E20" s="500">
        <v>0</v>
      </c>
      <c r="F20" s="408">
        <f>+'Sch. M'!P938</f>
        <v>5.0999999999999996</v>
      </c>
      <c r="G20" s="408" t="s">
        <v>81</v>
      </c>
      <c r="H20" s="745">
        <f>IFERROR('Sch. D'!D43/'Sch. D'!C43*100,0)</f>
        <v>49.151710297488535</v>
      </c>
      <c r="I20" s="420">
        <f t="shared" si="1"/>
        <v>6.666666666666667</v>
      </c>
      <c r="J20" s="381"/>
    </row>
    <row r="21" spans="1:10" ht="12.75">
      <c r="A21" s="406">
        <v>395</v>
      </c>
      <c r="B21" s="407" t="s">
        <v>124</v>
      </c>
      <c r="C21" s="498">
        <v>20</v>
      </c>
      <c r="D21" s="501">
        <f t="shared" si="0"/>
        <v>20</v>
      </c>
      <c r="E21" s="500">
        <v>0</v>
      </c>
      <c r="F21" s="408">
        <v>0</v>
      </c>
      <c r="G21" s="408" t="s">
        <v>81</v>
      </c>
      <c r="H21" s="745">
        <f>IFERROR('Sch. D'!D44/'Sch. D'!C44*100,0)</f>
        <v>0</v>
      </c>
      <c r="I21" s="420">
        <f t="shared" si="1"/>
        <v>5</v>
      </c>
      <c r="J21" s="381"/>
    </row>
    <row r="22" spans="1:10" ht="12.75">
      <c r="A22" s="406">
        <v>397</v>
      </c>
      <c r="B22" s="407" t="s">
        <v>126</v>
      </c>
      <c r="C22" s="498">
        <v>13</v>
      </c>
      <c r="D22" s="501">
        <f t="shared" si="0"/>
        <v>7.2999999999999998</v>
      </c>
      <c r="E22" s="500">
        <v>0</v>
      </c>
      <c r="F22" s="408">
        <f>+'Sch. M'!P989</f>
        <v>5.7000000000000002</v>
      </c>
      <c r="G22" s="408" t="s">
        <v>81</v>
      </c>
      <c r="H22" s="745">
        <f>IFERROR('Sch. D'!D46/'Sch. D'!C46*100,0)</f>
        <v>39.755053812195165</v>
      </c>
      <c r="I22" s="420">
        <f t="shared" si="1"/>
        <v>7.6923076923076925</v>
      </c>
      <c r="J22" s="381"/>
    </row>
    <row r="23" spans="1:10" ht="12.75">
      <c r="A23" s="406">
        <v>398</v>
      </c>
      <c r="B23" s="407" t="s">
        <v>128</v>
      </c>
      <c r="C23" s="498">
        <v>17</v>
      </c>
      <c r="D23" s="501">
        <f t="shared" si="0"/>
        <v>5.5999999999999996</v>
      </c>
      <c r="E23" s="500">
        <v>0</v>
      </c>
      <c r="F23" s="408">
        <f>+'Sch. M'!P1006</f>
        <v>11.4</v>
      </c>
      <c r="G23" s="408" t="s">
        <v>81</v>
      </c>
      <c r="H23" s="745">
        <f>IFERROR('Sch. D'!D47/'Sch. D'!C47*100,0)</f>
        <v>64.545789690542804</v>
      </c>
      <c r="I23" s="420">
        <f t="shared" si="1"/>
        <v>5.882352941176471</v>
      </c>
      <c r="J23" s="381"/>
    </row>
    <row r="24" spans="1:10" ht="13.5" thickBot="1">
      <c r="A24" s="410"/>
      <c r="B24" s="411"/>
      <c r="C24" s="502"/>
      <c r="D24" s="503"/>
      <c r="E24" s="503"/>
      <c r="F24" s="412"/>
      <c r="G24" s="412"/>
      <c r="H24" s="412"/>
      <c r="I24" s="421"/>
      <c r="J24" s="381"/>
    </row>
    <row r="25" spans="10:10" ht="12.75">
      <c r="J25" s="381"/>
    </row>
    <row r="27" spans="3:9" ht="13.5" thickBot="1">
      <c r="C27" s="344"/>
      <c r="D27" s="344"/>
      <c r="E27" s="344"/>
      <c r="F27" s="344"/>
      <c r="G27" s="413"/>
      <c r="H27" s="414"/>
      <c r="I27" s="381"/>
    </row>
    <row r="28" spans="3:9" ht="12.75">
      <c r="C28" s="908" t="s">
        <v>166</v>
      </c>
      <c r="D28" s="909"/>
      <c r="E28" s="909"/>
      <c r="F28" s="909"/>
      <c r="G28" s="909"/>
      <c r="H28" s="909"/>
      <c r="I28" s="910"/>
    </row>
    <row r="29" spans="3:9" ht="12.75">
      <c r="C29" s="383"/>
      <c r="D29" s="384" t="s">
        <v>158</v>
      </c>
      <c r="E29" s="384" t="s">
        <v>158</v>
      </c>
      <c r="F29" s="384" t="s">
        <v>66</v>
      </c>
      <c r="G29" s="384" t="s">
        <v>158</v>
      </c>
      <c r="H29" s="384"/>
      <c r="I29" s="385" t="s">
        <v>158</v>
      </c>
    </row>
    <row r="30" spans="3:9" ht="12.75">
      <c r="C30" s="387" t="s">
        <v>159</v>
      </c>
      <c r="D30" s="388" t="s">
        <v>151</v>
      </c>
      <c r="E30" s="388" t="s">
        <v>152</v>
      </c>
      <c r="F30" s="388" t="s">
        <v>167</v>
      </c>
      <c r="G30" s="388" t="s">
        <v>76</v>
      </c>
      <c r="H30" s="384" t="s">
        <v>76</v>
      </c>
      <c r="I30" s="389" t="s">
        <v>76</v>
      </c>
    </row>
    <row r="31" spans="3:9" ht="13.5" thickBot="1">
      <c r="C31" s="387" t="s">
        <v>160</v>
      </c>
      <c r="D31" s="388" t="s">
        <v>76</v>
      </c>
      <c r="E31" s="388" t="s">
        <v>76</v>
      </c>
      <c r="F31" s="388" t="s">
        <v>163</v>
      </c>
      <c r="G31" s="388" t="s">
        <v>162</v>
      </c>
      <c r="H31" s="388" t="s">
        <v>160</v>
      </c>
      <c r="I31" s="389" t="s">
        <v>162</v>
      </c>
    </row>
    <row r="32" spans="1:9" ht="13.5" thickBot="1">
      <c r="A32" s="390" t="s">
        <v>74</v>
      </c>
      <c r="B32" s="391"/>
      <c r="C32" s="393" t="s">
        <v>161</v>
      </c>
      <c r="D32" s="393" t="s">
        <v>78</v>
      </c>
      <c r="E32" s="394" t="s">
        <v>147</v>
      </c>
      <c r="F32" s="415">
        <v>44927</v>
      </c>
      <c r="G32" s="415">
        <v>44927</v>
      </c>
      <c r="H32" s="415" t="s">
        <v>168</v>
      </c>
      <c r="I32" s="416">
        <v>44927</v>
      </c>
    </row>
    <row r="33" spans="1:9" ht="12.75">
      <c r="A33" s="395"/>
      <c r="B33" s="396"/>
      <c r="C33" s="398"/>
      <c r="D33" s="398"/>
      <c r="I33" s="399"/>
    </row>
    <row r="34" spans="1:9" ht="12.75">
      <c r="A34" s="400" t="s">
        <v>107</v>
      </c>
      <c r="B34" s="401"/>
      <c r="C34" s="404"/>
      <c r="D34" s="404"/>
      <c r="E34" s="405"/>
      <c r="F34" s="405"/>
      <c r="G34" s="405"/>
      <c r="H34" s="405"/>
      <c r="I34" s="389"/>
    </row>
    <row r="35" spans="1:9" ht="12.75">
      <c r="A35" s="406">
        <v>3910</v>
      </c>
      <c r="B35" s="407" t="s">
        <v>109</v>
      </c>
      <c r="C35" s="500">
        <f>'Sch. D'!I34</f>
        <v>7.1428571428571432</v>
      </c>
      <c r="D35" s="500">
        <f t="shared" si="2" ref="D35:D43">IFERROR(ROUND(100-(D15*I15)-E15,2),0)</f>
        <v>20</v>
      </c>
      <c r="E35" s="504">
        <f>ROUND(D35*'Sch. D'!C34/100,0)</f>
        <v>458888</v>
      </c>
      <c r="F35" s="505">
        <f>'Sch. D'!D34</f>
        <v>750673</v>
      </c>
      <c r="G35" s="505">
        <f>E35-F35</f>
        <v>-291785</v>
      </c>
      <c r="H35" s="506">
        <v>5</v>
      </c>
      <c r="I35" s="507">
        <f>G35/H35</f>
        <v>-58357</v>
      </c>
    </row>
    <row r="36" spans="1:9" ht="12.75">
      <c r="A36" s="409">
        <v>3912</v>
      </c>
      <c r="B36" s="407" t="s">
        <v>111</v>
      </c>
      <c r="C36" s="500">
        <f>'Sch. D'!I35</f>
        <v>10</v>
      </c>
      <c r="D36" s="500">
        <f t="shared" si="2"/>
        <v>66</v>
      </c>
      <c r="E36" s="504">
        <f>ROUND(D36*'Sch. D'!C35/100,0)</f>
        <v>247363</v>
      </c>
      <c r="F36" s="505">
        <f>'Sch. D'!D35</f>
        <v>103025</v>
      </c>
      <c r="G36" s="505">
        <f t="shared" si="3" ref="G36:G43">E36-F36</f>
        <v>144338</v>
      </c>
      <c r="H36" s="506">
        <v>5</v>
      </c>
      <c r="I36" s="507">
        <f t="shared" si="4" ref="I36:I43">G36/H36</f>
        <v>28867.599999999999</v>
      </c>
    </row>
    <row r="37" spans="1:9" ht="12.75">
      <c r="A37" s="406">
        <v>3913</v>
      </c>
      <c r="B37" s="407" t="s">
        <v>113</v>
      </c>
      <c r="C37" s="500">
        <f>'Sch. D'!I36</f>
        <v>5</v>
      </c>
      <c r="D37" s="500">
        <f t="shared" si="2"/>
        <v>25</v>
      </c>
      <c r="E37" s="504">
        <f>ROUND(D37*'Sch. D'!C36/100,0)</f>
        <v>189663</v>
      </c>
      <c r="F37" s="505">
        <f>'Sch. D'!D36</f>
        <v>-349061</v>
      </c>
      <c r="G37" s="505">
        <f t="shared" si="3"/>
        <v>538724</v>
      </c>
      <c r="H37" s="506">
        <v>5</v>
      </c>
      <c r="I37" s="507">
        <f t="shared" si="4"/>
        <v>107744.8</v>
      </c>
    </row>
    <row r="38" spans="1:9" ht="12.75">
      <c r="A38" s="409">
        <v>3914</v>
      </c>
      <c r="B38" s="407" t="s">
        <v>115</v>
      </c>
      <c r="C38" s="500">
        <f>'Sch. D'!I37</f>
        <v>10</v>
      </c>
      <c r="D38" s="500">
        <f t="shared" si="2"/>
        <v>63</v>
      </c>
      <c r="E38" s="504">
        <f>ROUND(D38*'Sch. D'!C37/100,0)</f>
        <v>4588889</v>
      </c>
      <c r="F38" s="505">
        <f>'Sch. D'!D37</f>
        <v>3428763</v>
      </c>
      <c r="G38" s="505">
        <f t="shared" si="3"/>
        <v>1160126</v>
      </c>
      <c r="H38" s="506">
        <v>5</v>
      </c>
      <c r="I38" s="507">
        <f t="shared" si="4"/>
        <v>232025.20000000001</v>
      </c>
    </row>
    <row r="39" spans="1:9" ht="12.75">
      <c r="A39" s="406">
        <v>393</v>
      </c>
      <c r="B39" s="407" t="s">
        <v>120</v>
      </c>
      <c r="C39" s="500">
        <f>'Sch. D'!I42</f>
        <v>3.8461538461538463</v>
      </c>
      <c r="D39" s="500">
        <f t="shared" si="2"/>
        <v>30.77</v>
      </c>
      <c r="E39" s="504">
        <f>ROUND(D39*'Sch. D'!C42/100,0)</f>
        <v>9064</v>
      </c>
      <c r="F39" s="505">
        <f>'Sch. D'!D42</f>
        <v>14825</v>
      </c>
      <c r="G39" s="505">
        <f t="shared" si="3"/>
        <v>-5761</v>
      </c>
      <c r="H39" s="506">
        <v>5</v>
      </c>
      <c r="I39" s="507">
        <f t="shared" si="4"/>
        <v>-1152.2</v>
      </c>
    </row>
    <row r="40" spans="1:9" ht="12.75">
      <c r="A40" s="406">
        <v>394</v>
      </c>
      <c r="B40" s="407" t="s">
        <v>122</v>
      </c>
      <c r="C40" s="500">
        <f>'Sch. D'!I43</f>
        <v>6.666666666666667</v>
      </c>
      <c r="D40" s="500">
        <f t="shared" si="2"/>
        <v>34</v>
      </c>
      <c r="E40" s="504">
        <f>ROUND(D40*'Sch. D'!C43/100,0)</f>
        <v>464715</v>
      </c>
      <c r="F40" s="505">
        <f>'Sch. D'!D43</f>
        <v>671810</v>
      </c>
      <c r="G40" s="505">
        <f t="shared" si="3"/>
        <v>-207095</v>
      </c>
      <c r="H40" s="506">
        <v>5</v>
      </c>
      <c r="I40" s="507">
        <f t="shared" si="4"/>
        <v>-41419</v>
      </c>
    </row>
    <row r="41" spans="1:9" ht="12.75">
      <c r="A41" s="406">
        <v>395</v>
      </c>
      <c r="B41" s="407" t="s">
        <v>124</v>
      </c>
      <c r="C41" s="500">
        <f>'Sch. D'!I44</f>
        <v>5</v>
      </c>
      <c r="D41" s="500">
        <f t="shared" si="2"/>
        <v>0</v>
      </c>
      <c r="E41" s="504">
        <f>ROUND(D41*'Sch. D'!C44/100,0)</f>
        <v>0</v>
      </c>
      <c r="F41" s="505">
        <f>'Sch. D'!D44</f>
        <v>0</v>
      </c>
      <c r="G41" s="505">
        <f t="shared" si="3"/>
        <v>0</v>
      </c>
      <c r="H41" s="506">
        <v>5</v>
      </c>
      <c r="I41" s="507">
        <f t="shared" si="4"/>
        <v>0</v>
      </c>
    </row>
    <row r="42" spans="1:9" ht="12.75">
      <c r="A42" s="406">
        <v>397</v>
      </c>
      <c r="B42" s="407" t="s">
        <v>126</v>
      </c>
      <c r="C42" s="500">
        <f>'Sch. D'!I46</f>
        <v>7.6923076923076925</v>
      </c>
      <c r="D42" s="500">
        <f t="shared" si="2"/>
        <v>43.850000000000001</v>
      </c>
      <c r="E42" s="504">
        <f>ROUND(D42*'Sch. D'!C46/100,0)</f>
        <v>1030934</v>
      </c>
      <c r="F42" s="505">
        <f>'Sch. D'!D46</f>
        <v>934660</v>
      </c>
      <c r="G42" s="505">
        <f t="shared" si="3"/>
        <v>96274</v>
      </c>
      <c r="H42" s="506">
        <v>5</v>
      </c>
      <c r="I42" s="507">
        <f t="shared" si="4"/>
        <v>19254.799999999999</v>
      </c>
    </row>
    <row r="43" spans="1:9" ht="12.75">
      <c r="A43" s="406">
        <v>398</v>
      </c>
      <c r="B43" s="407" t="s">
        <v>128</v>
      </c>
      <c r="C43" s="500">
        <f>'Sch. D'!I47</f>
        <v>5.882352941176471</v>
      </c>
      <c r="D43" s="500">
        <f t="shared" si="2"/>
        <v>67.060000000000002</v>
      </c>
      <c r="E43" s="504">
        <f>ROUND(D43*'Sch. D'!C47/100,0)</f>
        <v>247387</v>
      </c>
      <c r="F43" s="505">
        <f>'Sch. D'!D47</f>
        <v>238112</v>
      </c>
      <c r="G43" s="505">
        <f t="shared" si="3"/>
        <v>9275</v>
      </c>
      <c r="H43" s="508">
        <v>5</v>
      </c>
      <c r="I43" s="507">
        <f t="shared" si="4"/>
        <v>1855</v>
      </c>
    </row>
    <row r="44" spans="1:9" ht="13.5" thickBot="1">
      <c r="A44" s="410"/>
      <c r="B44" s="411"/>
      <c r="C44" s="412"/>
      <c r="D44" s="503"/>
      <c r="E44" s="509">
        <f>SUM(E35:E43)</f>
        <v>7236903</v>
      </c>
      <c r="F44" s="742">
        <f>SUM(F35:F43)</f>
        <v>5792807</v>
      </c>
      <c r="G44" s="742">
        <f>SUM(G35:G43)</f>
        <v>1444096</v>
      </c>
      <c r="H44" s="510"/>
      <c r="I44" s="743">
        <f>SUM(I35:I43)</f>
        <v>288819.19999999995</v>
      </c>
    </row>
  </sheetData>
  <mergeCells count="7">
    <mergeCell ref="C8:I8"/>
    <mergeCell ref="C28:I28"/>
    <mergeCell ref="A1:I1"/>
    <mergeCell ref="A2:I2"/>
    <mergeCell ref="A3:I3"/>
    <mergeCell ref="A4:I4"/>
    <mergeCell ref="A5:I5"/>
  </mergeCells>
  <printOptions horizontalCentered="1"/>
  <pageMargins left="0.5" right="0.5" top="1.08" bottom="0.5" header="0.5" footer="0.2"/>
  <pageSetup fitToHeight="0" fitToWidth="0" orientation="landscape" scale="75" r:id="rId1"/>
  <headerFooter>
    <oddHeader>&amp;L&amp;"Arial,Bold"&amp;12Florida Public Utilities Natural Gas Division
2023 Consolidated Depreciation Study Workbook
Docket No. 20220067&amp;R&amp;"Arial,Bold"&amp;12Revised Exhibit PSL-2
Page &amp;P of 93
Schedule E</oddHeader>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U87"/>
  <sheetViews>
    <sheetView zoomScale="98" zoomScaleNormal="98" workbookViewId="0" topLeftCell="A1">
      <selection pane="topLeft" activeCell="A1" sqref="A1:XFD1048576"/>
    </sheetView>
  </sheetViews>
  <sheetFormatPr defaultColWidth="8.71428571428571" defaultRowHeight="14.25"/>
  <cols>
    <col min="1" max="1" width="7.14285714285714" style="7" bestFit="1" customWidth="1"/>
    <col min="2" max="2" width="5.85714285714286" style="7" bestFit="1" customWidth="1"/>
    <col min="3" max="3" width="5.85714285714286" style="7" hidden="1" customWidth="1"/>
    <col min="4" max="4" width="10" style="7" hidden="1" customWidth="1"/>
    <col min="5" max="5" width="4.57142857142857" style="7" hidden="1" customWidth="1"/>
    <col min="6" max="6" width="10" style="7" hidden="1" customWidth="1"/>
    <col min="7" max="7" width="9.14285714285714" style="7" bestFit="1" customWidth="1"/>
    <col min="8" max="8" width="10.7142857142857" style="7" bestFit="1" customWidth="1"/>
    <col min="9" max="9" width="9.14285714285714" style="7" bestFit="1" customWidth="1"/>
    <col min="10" max="10" width="11.8571428571429" style="7" bestFit="1" customWidth="1"/>
    <col min="11" max="11" width="6.42857142857143" style="7" hidden="1" customWidth="1"/>
    <col min="12" max="12" width="10" style="7" hidden="1" customWidth="1"/>
    <col min="13" max="13" width="4.57142857142857" style="7" hidden="1" customWidth="1"/>
    <col min="14" max="14" width="10" style="7" hidden="1" customWidth="1"/>
    <col min="15" max="15" width="4.57142857142857" style="7" hidden="1" customWidth="1"/>
    <col min="16" max="16" width="10" style="7" hidden="1" customWidth="1"/>
    <col min="17" max="17" width="9.14285714285714" style="7" bestFit="1" customWidth="1"/>
    <col min="18" max="18" width="10.7142857142857" style="7" bestFit="1" customWidth="1"/>
    <col min="19" max="19" width="9.14285714285714" style="7" bestFit="1" customWidth="1"/>
    <col min="20" max="20" width="10.7142857142857" style="7" bestFit="1" customWidth="1"/>
    <col min="21" max="21" width="6.42857142857143" style="7" hidden="1" customWidth="1"/>
    <col min="22" max="22" width="10" style="7" hidden="1" customWidth="1"/>
    <col min="23" max="23" width="4.57142857142857" style="7" hidden="1" customWidth="1"/>
    <col min="24" max="24" width="10" style="7" hidden="1" customWidth="1"/>
    <col min="25" max="25" width="5.85714285714286" style="7" hidden="1" customWidth="1"/>
    <col min="26" max="26" width="10" style="7" hidden="1" customWidth="1"/>
    <col min="27" max="27" width="7.14285714285714" style="7" bestFit="1" customWidth="1"/>
    <col min="28" max="28" width="10" style="7" bestFit="1" customWidth="1"/>
    <col min="29" max="29" width="5.85714285714286" style="7" hidden="1" customWidth="1"/>
    <col min="30" max="30" width="10" style="7" hidden="1" customWidth="1"/>
    <col min="31" max="31" width="8.14285714285714" style="7" bestFit="1" customWidth="1"/>
    <col min="32" max="32" width="10" style="7" bestFit="1" customWidth="1"/>
    <col min="33" max="33" width="7.14285714285714" style="7" bestFit="1" customWidth="1"/>
    <col min="34" max="34" width="10" style="7" bestFit="1" customWidth="1"/>
    <col min="35" max="35" width="4.57142857142857" style="7" hidden="1" customWidth="1"/>
    <col min="36" max="36" width="10" style="7" hidden="1" customWidth="1"/>
    <col min="37" max="37" width="4.57142857142857" style="7" hidden="1" customWidth="1"/>
    <col min="38" max="38" width="10" style="7" hidden="1" customWidth="1"/>
    <col min="39" max="39" width="4.57142857142857" style="7" hidden="1" customWidth="1"/>
    <col min="40" max="40" width="10" style="7" hidden="1" customWidth="1"/>
    <col min="41" max="41" width="8.14285714285714" style="7" bestFit="1" customWidth="1"/>
    <col min="42" max="42" width="10" style="7" bestFit="1" customWidth="1"/>
    <col min="43" max="43" width="5.85714285714286" style="7" hidden="1" customWidth="1"/>
    <col min="44" max="44" width="10" style="7" hidden="1" customWidth="1"/>
    <col min="45" max="45" width="5.85714285714286" style="7" hidden="1" customWidth="1"/>
    <col min="46" max="46" width="10" style="7" hidden="1" customWidth="1"/>
    <col min="47" max="47" width="5.85714285714286" style="7" hidden="1" customWidth="1"/>
    <col min="48" max="48" width="10" style="7" hidden="1" customWidth="1"/>
    <col min="49" max="49" width="8.14285714285714" style="7" bestFit="1" customWidth="1"/>
    <col min="50" max="50" width="10" style="7" bestFit="1" customWidth="1"/>
    <col min="51" max="51" width="10.7142857142857" style="7" bestFit="1" customWidth="1"/>
    <col min="52" max="52" width="11.8571428571429" style="7" bestFit="1" customWidth="1"/>
    <col min="53" max="53" width="5.85714285714286" style="7" hidden="1" customWidth="1"/>
    <col min="54" max="54" width="10" style="7" hidden="1" customWidth="1"/>
    <col min="55" max="55" width="8.14285714285714" style="7" bestFit="1" customWidth="1"/>
    <col min="56" max="56" width="10" style="7" bestFit="1" customWidth="1"/>
    <col min="57" max="57" width="5.85714285714286" style="7" hidden="1" customWidth="1"/>
    <col min="58" max="58" width="10" style="7" hidden="1" customWidth="1"/>
    <col min="59" max="59" width="5.85714285714286" style="7" hidden="1" customWidth="1"/>
    <col min="60" max="60" width="10" style="7" hidden="1" customWidth="1"/>
    <col min="61" max="61" width="5.85714285714286" style="7" hidden="1" customWidth="1"/>
    <col min="62" max="62" width="10" style="7" hidden="1" customWidth="1"/>
    <col min="63" max="63" width="5.85714285714286" style="7" hidden="1" customWidth="1"/>
    <col min="64" max="64" width="10" style="7" hidden="1" customWidth="1"/>
    <col min="65" max="65" width="5.85714285714286" style="7" hidden="1" customWidth="1"/>
    <col min="66" max="66" width="10" style="7" hidden="1" customWidth="1"/>
    <col min="67" max="67" width="4.57142857142857" style="7" hidden="1" customWidth="1"/>
    <col min="68" max="68" width="10" style="7" hidden="1" customWidth="1"/>
    <col min="69" max="69" width="4.57142857142857" style="7" hidden="1" customWidth="1"/>
    <col min="70" max="70" width="10" style="7" hidden="1" customWidth="1"/>
    <col min="71" max="71" width="2.71428571428571" style="7" customWidth="1"/>
    <col min="72" max="72" width="10.7142857142857" style="7" bestFit="1" customWidth="1"/>
    <col min="73" max="73" width="11.8571428571429" style="7" bestFit="1" customWidth="1"/>
    <col min="74" max="16384" width="8.71428571428571" style="7"/>
  </cols>
  <sheetData>
    <row r="1" spans="1:73" s="1" customFormat="1" ht="18">
      <c r="A1" s="552"/>
      <c r="B1" s="523"/>
      <c r="C1" s="523"/>
      <c r="D1" s="523"/>
      <c r="E1" s="523"/>
      <c r="F1" s="523"/>
      <c r="G1" s="912" t="s">
        <v>56</v>
      </c>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t="str">
        <f>G1</f>
        <v>FLORIDA PUBLIC UTILITIES - CONSOLIDATED NATURAL GAS</v>
      </c>
      <c r="AH1" s="912"/>
      <c r="AI1" s="912"/>
      <c r="AJ1" s="912"/>
      <c r="AK1" s="912"/>
      <c r="AL1" s="912"/>
      <c r="AM1" s="912"/>
      <c r="AN1" s="912"/>
      <c r="AO1" s="912"/>
      <c r="AP1" s="912"/>
      <c r="AQ1" s="912"/>
      <c r="AR1" s="912"/>
      <c r="AS1" s="912"/>
      <c r="AT1" s="912"/>
      <c r="AU1" s="912"/>
      <c r="AV1" s="912"/>
      <c r="AW1" s="912"/>
      <c r="AX1" s="912"/>
      <c r="AY1" s="912"/>
      <c r="AZ1" s="912"/>
      <c r="BA1" s="912"/>
      <c r="BB1" s="912"/>
      <c r="BC1" s="912"/>
      <c r="BD1" s="912"/>
      <c r="BE1" s="912"/>
      <c r="BF1" s="912"/>
      <c r="BG1" s="912"/>
      <c r="BH1" s="912"/>
      <c r="BI1" s="912"/>
      <c r="BJ1" s="912"/>
      <c r="BK1" s="912"/>
      <c r="BL1" s="912"/>
      <c r="BM1" s="912"/>
      <c r="BN1" s="912"/>
      <c r="BO1" s="912"/>
      <c r="BP1" s="912"/>
      <c r="BQ1" s="912"/>
      <c r="BR1" s="912"/>
      <c r="BS1" s="912"/>
      <c r="BT1" s="912"/>
      <c r="BU1" s="912"/>
    </row>
    <row r="2" spans="1:73" s="1" customFormat="1" ht="14.45" customHeight="1">
      <c r="A2" s="552"/>
      <c r="B2" s="524"/>
      <c r="C2" s="524"/>
      <c r="D2" s="524"/>
      <c r="E2" s="524"/>
      <c r="F2" s="524"/>
      <c r="G2" s="524" t="s">
        <v>649</v>
      </c>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913" t="str">
        <f>G2</f>
        <v xml:space="preserve">FPUC, FPUC - Common, FPUC - Indiantown, Florida Division of Chesapeake Utilities Corporation, FPUC - Ft Meade      </v>
      </c>
      <c r="AH2" s="913"/>
      <c r="AI2" s="913"/>
      <c r="AJ2" s="913"/>
      <c r="AK2" s="913"/>
      <c r="AL2" s="913"/>
      <c r="AM2" s="913"/>
      <c r="AN2" s="913"/>
      <c r="AO2" s="913"/>
      <c r="AP2" s="913"/>
      <c r="AQ2" s="913"/>
      <c r="AR2" s="913"/>
      <c r="AS2" s="913"/>
      <c r="AT2" s="913"/>
      <c r="AU2" s="913"/>
      <c r="AV2" s="913"/>
      <c r="AW2" s="913"/>
      <c r="AX2" s="913"/>
      <c r="AY2" s="913"/>
      <c r="AZ2" s="913"/>
      <c r="BA2" s="913"/>
      <c r="BB2" s="913"/>
      <c r="BC2" s="913"/>
      <c r="BD2" s="913"/>
      <c r="BE2" s="913"/>
      <c r="BF2" s="913"/>
      <c r="BG2" s="913"/>
      <c r="BH2" s="913"/>
      <c r="BI2" s="913"/>
      <c r="BJ2" s="913"/>
      <c r="BK2" s="913"/>
      <c r="BL2" s="913"/>
      <c r="BM2" s="913"/>
      <c r="BN2" s="913"/>
      <c r="BO2" s="913"/>
      <c r="BP2" s="913"/>
      <c r="BQ2" s="913"/>
      <c r="BR2" s="913"/>
      <c r="BS2" s="913"/>
      <c r="BT2" s="913"/>
      <c r="BU2" s="913"/>
    </row>
    <row r="3" spans="1:73" s="1" customFormat="1" ht="15.75">
      <c r="A3" s="552"/>
      <c r="B3" s="525"/>
      <c r="C3" s="525"/>
      <c r="D3" s="525"/>
      <c r="E3" s="525"/>
      <c r="F3" s="525"/>
      <c r="G3" s="911" t="s">
        <v>651</v>
      </c>
      <c r="H3" s="911"/>
      <c r="I3" s="911"/>
      <c r="J3" s="911"/>
      <c r="K3" s="911"/>
      <c r="L3" s="911"/>
      <c r="M3" s="911"/>
      <c r="N3" s="911"/>
      <c r="O3" s="911"/>
      <c r="P3" s="911"/>
      <c r="Q3" s="911"/>
      <c r="R3" s="911"/>
      <c r="S3" s="911"/>
      <c r="T3" s="911"/>
      <c r="U3" s="911"/>
      <c r="V3" s="911"/>
      <c r="W3" s="911"/>
      <c r="X3" s="911"/>
      <c r="Y3" s="911"/>
      <c r="Z3" s="911"/>
      <c r="AA3" s="911"/>
      <c r="AB3" s="911"/>
      <c r="AC3" s="911"/>
      <c r="AD3" s="911"/>
      <c r="AE3" s="911"/>
      <c r="AF3" s="911"/>
      <c r="AG3" s="911" t="str">
        <f>G3</f>
        <v>ACTUAL 2018 RETIREMENTS</v>
      </c>
      <c r="AH3" s="911"/>
      <c r="AI3" s="911"/>
      <c r="AJ3" s="911"/>
      <c r="AK3" s="911"/>
      <c r="AL3" s="911"/>
      <c r="AM3" s="911"/>
      <c r="AN3" s="911"/>
      <c r="AO3" s="911"/>
      <c r="AP3" s="911"/>
      <c r="AQ3" s="911"/>
      <c r="AR3" s="911"/>
      <c r="AS3" s="911"/>
      <c r="AT3" s="911"/>
      <c r="AU3" s="911"/>
      <c r="AV3" s="911"/>
      <c r="AW3" s="911"/>
      <c r="AX3" s="911"/>
      <c r="AY3" s="911"/>
      <c r="AZ3" s="911"/>
      <c r="BA3" s="911"/>
      <c r="BB3" s="911"/>
      <c r="BC3" s="911"/>
      <c r="BD3" s="911"/>
      <c r="BE3" s="911"/>
      <c r="BF3" s="911"/>
      <c r="BG3" s="911"/>
      <c r="BH3" s="911"/>
      <c r="BI3" s="911"/>
      <c r="BJ3" s="911"/>
      <c r="BK3" s="911"/>
      <c r="BL3" s="911"/>
      <c r="BM3" s="911"/>
      <c r="BN3" s="911"/>
      <c r="BO3" s="911"/>
      <c r="BP3" s="911"/>
      <c r="BQ3" s="911"/>
      <c r="BR3" s="911"/>
      <c r="BS3" s="911"/>
      <c r="BT3" s="911"/>
      <c r="BU3" s="911"/>
    </row>
    <row r="5" spans="1:73" ht="15.75">
      <c r="A5" s="247" t="s">
        <v>169</v>
      </c>
      <c r="B5" s="527" t="s">
        <v>72</v>
      </c>
      <c r="C5" s="526">
        <v>3741</v>
      </c>
      <c r="D5" s="242" t="s">
        <v>170</v>
      </c>
      <c r="E5" s="243">
        <v>375</v>
      </c>
      <c r="F5" s="242" t="s">
        <v>170</v>
      </c>
      <c r="G5" s="243">
        <v>3761</v>
      </c>
      <c r="H5" s="242" t="s">
        <v>170</v>
      </c>
      <c r="I5" s="243">
        <v>3762</v>
      </c>
      <c r="J5" s="242" t="s">
        <v>170</v>
      </c>
      <c r="K5" s="243" t="s">
        <v>87</v>
      </c>
      <c r="L5" s="242" t="s">
        <v>170</v>
      </c>
      <c r="M5" s="243">
        <v>378</v>
      </c>
      <c r="N5" s="242" t="s">
        <v>170</v>
      </c>
      <c r="O5" s="243">
        <v>379</v>
      </c>
      <c r="P5" s="242" t="s">
        <v>170</v>
      </c>
      <c r="Q5" s="243">
        <v>3801</v>
      </c>
      <c r="R5" s="242" t="s">
        <v>170</v>
      </c>
      <c r="S5" s="243">
        <v>3802</v>
      </c>
      <c r="T5" s="242" t="s">
        <v>170</v>
      </c>
      <c r="U5" s="243" t="s">
        <v>95</v>
      </c>
      <c r="V5" s="242" t="s">
        <v>170</v>
      </c>
      <c r="W5" s="245">
        <v>381</v>
      </c>
      <c r="X5" s="242" t="s">
        <v>170</v>
      </c>
      <c r="Y5" s="245">
        <v>3811</v>
      </c>
      <c r="Z5" s="242" t="s">
        <v>170</v>
      </c>
      <c r="AA5" s="243">
        <v>382</v>
      </c>
      <c r="AB5" s="242" t="s">
        <v>170</v>
      </c>
      <c r="AC5" s="243">
        <v>3821</v>
      </c>
      <c r="AD5" s="242" t="s">
        <v>170</v>
      </c>
      <c r="AE5" s="243">
        <v>383</v>
      </c>
      <c r="AF5" s="242" t="s">
        <v>170</v>
      </c>
      <c r="AG5" s="243">
        <v>384</v>
      </c>
      <c r="AH5" s="242" t="s">
        <v>170</v>
      </c>
      <c r="AI5" s="243">
        <v>385</v>
      </c>
      <c r="AJ5" s="242" t="s">
        <v>170</v>
      </c>
      <c r="AK5" s="243">
        <v>387</v>
      </c>
      <c r="AL5" s="242" t="s">
        <v>170</v>
      </c>
      <c r="AM5" s="243">
        <v>390</v>
      </c>
      <c r="AN5" s="242" t="s">
        <v>170</v>
      </c>
      <c r="AO5" s="243">
        <v>3910</v>
      </c>
      <c r="AP5" s="242" t="s">
        <v>170</v>
      </c>
      <c r="AQ5" s="243">
        <v>3912</v>
      </c>
      <c r="AR5" s="242" t="s">
        <v>170</v>
      </c>
      <c r="AS5" s="243">
        <v>3913</v>
      </c>
      <c r="AT5" s="242" t="s">
        <v>170</v>
      </c>
      <c r="AU5" s="243">
        <v>3914</v>
      </c>
      <c r="AV5" s="242" t="s">
        <v>170</v>
      </c>
      <c r="AW5" s="243">
        <v>3921</v>
      </c>
      <c r="AX5" s="242" t="s">
        <v>170</v>
      </c>
      <c r="AY5" s="243">
        <v>3922</v>
      </c>
      <c r="AZ5" s="242" t="s">
        <v>170</v>
      </c>
      <c r="BA5" s="243">
        <v>3923</v>
      </c>
      <c r="BB5" s="242" t="s">
        <v>170</v>
      </c>
      <c r="BC5" s="243">
        <v>3924</v>
      </c>
      <c r="BD5" s="242" t="s">
        <v>170</v>
      </c>
      <c r="BE5" s="243">
        <v>3930</v>
      </c>
      <c r="BF5" s="242" t="s">
        <v>170</v>
      </c>
      <c r="BG5" s="243">
        <v>3940</v>
      </c>
      <c r="BH5" s="242" t="s">
        <v>170</v>
      </c>
      <c r="BI5" s="243">
        <v>3950</v>
      </c>
      <c r="BJ5" s="242" t="s">
        <v>170</v>
      </c>
      <c r="BK5" s="243">
        <v>3960</v>
      </c>
      <c r="BL5" s="242" t="s">
        <v>170</v>
      </c>
      <c r="BM5" s="243">
        <v>3970</v>
      </c>
      <c r="BN5" s="242" t="s">
        <v>170</v>
      </c>
      <c r="BO5" s="243">
        <v>398</v>
      </c>
      <c r="BP5" s="242" t="s">
        <v>170</v>
      </c>
      <c r="BQ5" s="243">
        <v>399</v>
      </c>
      <c r="BR5" s="242" t="s">
        <v>170</v>
      </c>
      <c r="BS5" s="244"/>
      <c r="BT5" s="243" t="s">
        <v>171</v>
      </c>
      <c r="BU5" s="242" t="s">
        <v>170</v>
      </c>
    </row>
    <row r="6" spans="1:73" ht="14.25">
      <c r="A6" s="241">
        <v>1940</v>
      </c>
      <c r="B6" s="528">
        <f t="shared" si="0" ref="B6:B14">B7+1</f>
        <v>58.5</v>
      </c>
      <c r="C6" s="193">
        <v>0</v>
      </c>
      <c r="D6" s="238">
        <f>+C6*$B6</f>
        <v>0</v>
      </c>
      <c r="E6" s="193">
        <v>0</v>
      </c>
      <c r="F6" s="238">
        <f t="shared" si="1" ref="F6:F69">+E6*$B6</f>
        <v>0</v>
      </c>
      <c r="G6" s="193">
        <v>13355.5</v>
      </c>
      <c r="H6" s="238">
        <f t="shared" si="2" ref="H6:H69">+G6*$B6</f>
        <v>781296.75</v>
      </c>
      <c r="I6" s="193">
        <v>23206.990000000002</v>
      </c>
      <c r="J6" s="238">
        <f t="shared" si="3" ref="J6:J69">+I6*$B6</f>
        <v>1357608.915</v>
      </c>
      <c r="K6" s="193">
        <v>0</v>
      </c>
      <c r="L6" s="238">
        <f t="shared" si="4" ref="L6:L69">+K6*$B6</f>
        <v>0</v>
      </c>
      <c r="M6" s="193">
        <v>0</v>
      </c>
      <c r="N6" s="238">
        <f t="shared" si="5" ref="N6:N69">+M6*$B6</f>
        <v>0</v>
      </c>
      <c r="O6" s="193">
        <v>0</v>
      </c>
      <c r="P6" s="238">
        <f t="shared" si="6" ref="P6:P69">+O6*$B6</f>
        <v>0</v>
      </c>
      <c r="Q6" s="193">
        <v>0</v>
      </c>
      <c r="R6" s="238">
        <f t="shared" si="7" ref="R6:R69">+Q6*$B6</f>
        <v>0</v>
      </c>
      <c r="S6" s="193">
        <v>162.03999999999999</v>
      </c>
      <c r="T6" s="238">
        <f t="shared" si="8" ref="T6:T69">+S6*$B6</f>
        <v>9479.3400000000001</v>
      </c>
      <c r="U6" s="193">
        <v>0</v>
      </c>
      <c r="V6" s="238">
        <f t="shared" si="9" ref="V6:V69">+U6*$B6</f>
        <v>0</v>
      </c>
      <c r="W6" s="193">
        <v>0</v>
      </c>
      <c r="X6" s="238">
        <f t="shared" si="10" ref="X6:X69">+W6*$B6</f>
        <v>0</v>
      </c>
      <c r="Y6" s="193">
        <v>0</v>
      </c>
      <c r="Z6" s="238">
        <f t="shared" si="11" ref="Z6:Z69">+Y6*$B6</f>
        <v>0</v>
      </c>
      <c r="AA6" s="193">
        <v>0</v>
      </c>
      <c r="AB6" s="238">
        <f t="shared" si="12" ref="AB6:AB69">+AA6*$B6</f>
        <v>0</v>
      </c>
      <c r="AC6" s="193">
        <v>0</v>
      </c>
      <c r="AD6" s="238">
        <f t="shared" si="13" ref="AD6:AD69">+AC6*$B6</f>
        <v>0</v>
      </c>
      <c r="AE6" s="193">
        <v>0</v>
      </c>
      <c r="AF6" s="238">
        <f t="shared" si="14" ref="AF6:AF69">+AE6*$B6</f>
        <v>0</v>
      </c>
      <c r="AG6" s="193">
        <v>0</v>
      </c>
      <c r="AH6" s="238">
        <f t="shared" si="15" ref="AH6:AH69">+AG6*$B6</f>
        <v>0</v>
      </c>
      <c r="AI6" s="193">
        <v>0</v>
      </c>
      <c r="AJ6" s="238">
        <f t="shared" si="16" ref="AJ6:AJ69">+AI6*$B6</f>
        <v>0</v>
      </c>
      <c r="AK6" s="193">
        <v>0</v>
      </c>
      <c r="AL6" s="238">
        <f t="shared" si="17" ref="AL6:AL69">+AK6*$B6</f>
        <v>0</v>
      </c>
      <c r="AM6" s="193">
        <v>0</v>
      </c>
      <c r="AN6" s="238">
        <f t="shared" si="18" ref="AN6:AN69">+AM6*$B6</f>
        <v>0</v>
      </c>
      <c r="AO6" s="193">
        <v>0</v>
      </c>
      <c r="AP6" s="238">
        <f t="shared" si="19" ref="AP6:AP69">+AO6*$B6</f>
        <v>0</v>
      </c>
      <c r="AQ6" s="193">
        <v>0</v>
      </c>
      <c r="AR6" s="238">
        <f t="shared" si="20" ref="AR6:AR69">+AQ6*$B6</f>
        <v>0</v>
      </c>
      <c r="AS6" s="193">
        <v>0</v>
      </c>
      <c r="AT6" s="238">
        <f t="shared" si="21" ref="AT6:AT69">+AS6*$B6</f>
        <v>0</v>
      </c>
      <c r="AU6" s="193">
        <v>0</v>
      </c>
      <c r="AV6" s="238">
        <f t="shared" si="22" ref="AV6:AV69">+AU6*$B6</f>
        <v>0</v>
      </c>
      <c r="AW6" s="193">
        <v>0</v>
      </c>
      <c r="AX6" s="238">
        <f t="shared" si="23" ref="AX6:AX69">+AW6*$B6</f>
        <v>0</v>
      </c>
      <c r="AY6" s="193">
        <v>0</v>
      </c>
      <c r="AZ6" s="238">
        <f t="shared" si="24" ref="AZ6:AZ69">+AY6*$B6</f>
        <v>0</v>
      </c>
      <c r="BA6" s="193">
        <v>0</v>
      </c>
      <c r="BB6" s="238">
        <f t="shared" si="25" ref="BB6:BB69">+BA6*$B6</f>
        <v>0</v>
      </c>
      <c r="BC6" s="193">
        <v>0</v>
      </c>
      <c r="BD6" s="238">
        <f t="shared" si="26" ref="BD6:BD69">+BC6*$B6</f>
        <v>0</v>
      </c>
      <c r="BE6" s="193">
        <v>0</v>
      </c>
      <c r="BF6" s="238">
        <f t="shared" si="27" ref="BF6:BF69">+BE6*$B6</f>
        <v>0</v>
      </c>
      <c r="BG6" s="193">
        <v>0</v>
      </c>
      <c r="BH6" s="238">
        <f t="shared" si="28" ref="BH6:BH69">+BG6*$B6</f>
        <v>0</v>
      </c>
      <c r="BI6" s="193">
        <v>0</v>
      </c>
      <c r="BJ6" s="238">
        <f t="shared" si="29" ref="BJ6:BJ69">+BI6*$B6</f>
        <v>0</v>
      </c>
      <c r="BK6" s="193">
        <v>0</v>
      </c>
      <c r="BL6" s="238">
        <f t="shared" si="30" ref="BL6:BL69">+BK6*$B6</f>
        <v>0</v>
      </c>
      <c r="BM6" s="193">
        <v>0</v>
      </c>
      <c r="BN6" s="238">
        <f t="shared" si="31" ref="BN6:BN69">+BM6*$B6</f>
        <v>0</v>
      </c>
      <c r="BO6" s="193">
        <v>0</v>
      </c>
      <c r="BP6" s="238">
        <f t="shared" si="32" ref="BP6:BP69">+BO6*$B6</f>
        <v>0</v>
      </c>
      <c r="BQ6" s="193">
        <v>0</v>
      </c>
      <c r="BR6" s="238">
        <f t="shared" si="33" ref="BR6:BR69">+BQ6*$B6</f>
        <v>0</v>
      </c>
      <c r="BS6" s="225"/>
      <c r="BT6" s="239">
        <f>+BO6+BM6+BK6+BG6+BE6+BC6+AY6+AW6+AS6+AQ6+AO6+AM6+AK6+AI6+AG6+AE6+AA6+C6+E6+G6+I6+M6+O6+Q6+S6+W6+BQ6+AC6+Y6+BI6+BA6+K6+U6+AU6</f>
        <v>36724.530000000006</v>
      </c>
      <c r="BU6" s="238">
        <f t="shared" si="34" ref="BU6:BU14">+BT6*$B6</f>
        <v>2148385.0050000004</v>
      </c>
    </row>
    <row r="7" spans="1:73" ht="14.25">
      <c r="A7" s="241">
        <v>1947</v>
      </c>
      <c r="B7" s="528">
        <f t="shared" si="0"/>
        <v>57.5</v>
      </c>
      <c r="C7" s="193">
        <v>0</v>
      </c>
      <c r="D7" s="238">
        <f t="shared" si="35" ref="D7:D70">+C7*$B7</f>
        <v>0</v>
      </c>
      <c r="E7" s="193">
        <v>0</v>
      </c>
      <c r="F7" s="238">
        <f t="shared" si="1"/>
        <v>0</v>
      </c>
      <c r="G7" s="193">
        <v>0</v>
      </c>
      <c r="H7" s="238">
        <f t="shared" si="2"/>
        <v>0</v>
      </c>
      <c r="I7" s="193">
        <v>0</v>
      </c>
      <c r="J7" s="238">
        <f t="shared" si="3"/>
        <v>0</v>
      </c>
      <c r="K7" s="193">
        <v>0</v>
      </c>
      <c r="L7" s="238">
        <f t="shared" si="4"/>
        <v>0</v>
      </c>
      <c r="M7" s="193">
        <v>0</v>
      </c>
      <c r="N7" s="238">
        <f t="shared" si="5"/>
        <v>0</v>
      </c>
      <c r="O7" s="193">
        <v>0</v>
      </c>
      <c r="P7" s="238">
        <f t="shared" si="6"/>
        <v>0</v>
      </c>
      <c r="Q7" s="193">
        <v>0</v>
      </c>
      <c r="R7" s="238">
        <f t="shared" si="7"/>
        <v>0</v>
      </c>
      <c r="S7" s="193">
        <v>3.5600000000000001</v>
      </c>
      <c r="T7" s="238">
        <f t="shared" si="8"/>
        <v>204.70000000000002</v>
      </c>
      <c r="U7" s="193">
        <v>0</v>
      </c>
      <c r="V7" s="238">
        <f t="shared" si="9"/>
        <v>0</v>
      </c>
      <c r="W7" s="193">
        <v>0</v>
      </c>
      <c r="X7" s="238">
        <f t="shared" si="10"/>
        <v>0</v>
      </c>
      <c r="Y7" s="193">
        <v>0</v>
      </c>
      <c r="Z7" s="238">
        <f t="shared" si="11"/>
        <v>0</v>
      </c>
      <c r="AA7" s="193">
        <v>0</v>
      </c>
      <c r="AB7" s="238">
        <f t="shared" si="12"/>
        <v>0</v>
      </c>
      <c r="AC7" s="193">
        <v>0</v>
      </c>
      <c r="AD7" s="238">
        <f t="shared" si="13"/>
        <v>0</v>
      </c>
      <c r="AE7" s="193">
        <v>0</v>
      </c>
      <c r="AF7" s="238">
        <f t="shared" si="14"/>
        <v>0</v>
      </c>
      <c r="AG7" s="193">
        <v>0</v>
      </c>
      <c r="AH7" s="238">
        <f t="shared" si="15"/>
        <v>0</v>
      </c>
      <c r="AI7" s="193">
        <v>0</v>
      </c>
      <c r="AJ7" s="238">
        <f t="shared" si="16"/>
        <v>0</v>
      </c>
      <c r="AK7" s="193">
        <v>0</v>
      </c>
      <c r="AL7" s="238">
        <f t="shared" si="17"/>
        <v>0</v>
      </c>
      <c r="AM7" s="193">
        <v>0</v>
      </c>
      <c r="AN7" s="238">
        <f t="shared" si="18"/>
        <v>0</v>
      </c>
      <c r="AO7" s="193">
        <v>0</v>
      </c>
      <c r="AP7" s="238">
        <f t="shared" si="19"/>
        <v>0</v>
      </c>
      <c r="AQ7" s="193">
        <v>0</v>
      </c>
      <c r="AR7" s="238">
        <f t="shared" si="20"/>
        <v>0</v>
      </c>
      <c r="AS7" s="193">
        <v>0</v>
      </c>
      <c r="AT7" s="238">
        <f t="shared" si="21"/>
        <v>0</v>
      </c>
      <c r="AU7" s="193">
        <v>0</v>
      </c>
      <c r="AV7" s="238">
        <f t="shared" si="22"/>
        <v>0</v>
      </c>
      <c r="AW7" s="193">
        <v>0</v>
      </c>
      <c r="AX7" s="238">
        <f t="shared" si="23"/>
        <v>0</v>
      </c>
      <c r="AY7" s="193">
        <v>0</v>
      </c>
      <c r="AZ7" s="238">
        <f t="shared" si="24"/>
        <v>0</v>
      </c>
      <c r="BA7" s="193">
        <v>0</v>
      </c>
      <c r="BB7" s="238">
        <f t="shared" si="25"/>
        <v>0</v>
      </c>
      <c r="BC7" s="193">
        <v>0</v>
      </c>
      <c r="BD7" s="238">
        <f t="shared" si="26"/>
        <v>0</v>
      </c>
      <c r="BE7" s="193">
        <v>0</v>
      </c>
      <c r="BF7" s="238">
        <f t="shared" si="27"/>
        <v>0</v>
      </c>
      <c r="BG7" s="193">
        <v>0</v>
      </c>
      <c r="BH7" s="238">
        <f t="shared" si="28"/>
        <v>0</v>
      </c>
      <c r="BI7" s="193">
        <v>0</v>
      </c>
      <c r="BJ7" s="238">
        <f t="shared" si="29"/>
        <v>0</v>
      </c>
      <c r="BK7" s="193">
        <v>0</v>
      </c>
      <c r="BL7" s="238">
        <f t="shared" si="30"/>
        <v>0</v>
      </c>
      <c r="BM7" s="193">
        <v>0</v>
      </c>
      <c r="BN7" s="238">
        <f t="shared" si="31"/>
        <v>0</v>
      </c>
      <c r="BO7" s="193">
        <v>0</v>
      </c>
      <c r="BP7" s="238">
        <f t="shared" si="32"/>
        <v>0</v>
      </c>
      <c r="BQ7" s="193">
        <v>0</v>
      </c>
      <c r="BR7" s="238">
        <f t="shared" si="33"/>
        <v>0</v>
      </c>
      <c r="BS7" s="225"/>
      <c r="BT7" s="239">
        <f t="shared" si="36" ref="BT7:BT70">+BO7+BM7+BK7+BG7+BE7+BC7+AY7+AW7+AS7+AQ7+AO7+AM7+AK7+AI7+AG7+AE7+AA7+C7+E7+G7+I7+M7+O7+Q7+S7+W7+BQ7+AC7+Y7+BI7+BA7+K7+U7+AU7</f>
        <v>3.5600000000000001</v>
      </c>
      <c r="BU7" s="238">
        <f t="shared" si="34"/>
        <v>204.70000000000002</v>
      </c>
    </row>
    <row r="8" spans="1:73" ht="14.25">
      <c r="A8" s="241">
        <v>1948</v>
      </c>
      <c r="B8" s="528">
        <f t="shared" si="0"/>
        <v>56.5</v>
      </c>
      <c r="C8" s="193">
        <v>0</v>
      </c>
      <c r="D8" s="238">
        <f t="shared" si="35"/>
        <v>0</v>
      </c>
      <c r="E8" s="193">
        <v>0</v>
      </c>
      <c r="F8" s="238">
        <f t="shared" si="1"/>
        <v>0</v>
      </c>
      <c r="G8" s="193">
        <v>0</v>
      </c>
      <c r="H8" s="238">
        <f t="shared" si="2"/>
        <v>0</v>
      </c>
      <c r="I8" s="193">
        <v>1769.03</v>
      </c>
      <c r="J8" s="238">
        <f t="shared" si="3"/>
        <v>99950.194999999992</v>
      </c>
      <c r="K8" s="193">
        <v>0</v>
      </c>
      <c r="L8" s="238">
        <f t="shared" si="4"/>
        <v>0</v>
      </c>
      <c r="M8" s="193">
        <v>0</v>
      </c>
      <c r="N8" s="238">
        <f t="shared" si="5"/>
        <v>0</v>
      </c>
      <c r="O8" s="193">
        <v>0</v>
      </c>
      <c r="P8" s="238">
        <f t="shared" si="6"/>
        <v>0</v>
      </c>
      <c r="Q8" s="193">
        <v>0</v>
      </c>
      <c r="R8" s="238">
        <f t="shared" si="7"/>
        <v>0</v>
      </c>
      <c r="S8" s="193">
        <v>683.51999999999998</v>
      </c>
      <c r="T8" s="238">
        <f t="shared" si="8"/>
        <v>38618.879999999997</v>
      </c>
      <c r="U8" s="193">
        <v>0</v>
      </c>
      <c r="V8" s="238">
        <f t="shared" si="9"/>
        <v>0</v>
      </c>
      <c r="W8" s="193">
        <v>0</v>
      </c>
      <c r="X8" s="238">
        <f t="shared" si="10"/>
        <v>0</v>
      </c>
      <c r="Y8" s="193">
        <v>0</v>
      </c>
      <c r="Z8" s="238">
        <f t="shared" si="11"/>
        <v>0</v>
      </c>
      <c r="AA8" s="193">
        <v>0</v>
      </c>
      <c r="AB8" s="238">
        <f t="shared" si="12"/>
        <v>0</v>
      </c>
      <c r="AC8" s="193">
        <v>0</v>
      </c>
      <c r="AD8" s="238">
        <f t="shared" si="13"/>
        <v>0</v>
      </c>
      <c r="AE8" s="193">
        <v>0</v>
      </c>
      <c r="AF8" s="238">
        <f t="shared" si="14"/>
        <v>0</v>
      </c>
      <c r="AG8" s="193">
        <v>0</v>
      </c>
      <c r="AH8" s="238">
        <f t="shared" si="15"/>
        <v>0</v>
      </c>
      <c r="AI8" s="193">
        <v>0</v>
      </c>
      <c r="AJ8" s="238">
        <f t="shared" si="16"/>
        <v>0</v>
      </c>
      <c r="AK8" s="193">
        <v>0</v>
      </c>
      <c r="AL8" s="238">
        <f t="shared" si="17"/>
        <v>0</v>
      </c>
      <c r="AM8" s="193">
        <v>0</v>
      </c>
      <c r="AN8" s="238">
        <f t="shared" si="18"/>
        <v>0</v>
      </c>
      <c r="AO8" s="193">
        <v>0</v>
      </c>
      <c r="AP8" s="238">
        <f t="shared" si="19"/>
        <v>0</v>
      </c>
      <c r="AQ8" s="193">
        <v>0</v>
      </c>
      <c r="AR8" s="238">
        <f t="shared" si="20"/>
        <v>0</v>
      </c>
      <c r="AS8" s="193">
        <v>0</v>
      </c>
      <c r="AT8" s="238">
        <f t="shared" si="21"/>
        <v>0</v>
      </c>
      <c r="AU8" s="193">
        <v>0</v>
      </c>
      <c r="AV8" s="238">
        <f t="shared" si="22"/>
        <v>0</v>
      </c>
      <c r="AW8" s="193">
        <v>0</v>
      </c>
      <c r="AX8" s="238">
        <f t="shared" si="23"/>
        <v>0</v>
      </c>
      <c r="AY8" s="193">
        <v>0</v>
      </c>
      <c r="AZ8" s="238">
        <f t="shared" si="24"/>
        <v>0</v>
      </c>
      <c r="BA8" s="193">
        <v>0</v>
      </c>
      <c r="BB8" s="238">
        <f t="shared" si="25"/>
        <v>0</v>
      </c>
      <c r="BC8" s="193">
        <v>0</v>
      </c>
      <c r="BD8" s="238">
        <f t="shared" si="26"/>
        <v>0</v>
      </c>
      <c r="BE8" s="193">
        <v>0</v>
      </c>
      <c r="BF8" s="238">
        <f t="shared" si="27"/>
        <v>0</v>
      </c>
      <c r="BG8" s="193">
        <v>0</v>
      </c>
      <c r="BH8" s="238">
        <f t="shared" si="28"/>
        <v>0</v>
      </c>
      <c r="BI8" s="193">
        <v>0</v>
      </c>
      <c r="BJ8" s="238">
        <f t="shared" si="29"/>
        <v>0</v>
      </c>
      <c r="BK8" s="193">
        <v>0</v>
      </c>
      <c r="BL8" s="238">
        <f t="shared" si="30"/>
        <v>0</v>
      </c>
      <c r="BM8" s="193">
        <v>0</v>
      </c>
      <c r="BN8" s="238">
        <f t="shared" si="31"/>
        <v>0</v>
      </c>
      <c r="BO8" s="193">
        <v>0</v>
      </c>
      <c r="BP8" s="238">
        <f t="shared" si="32"/>
        <v>0</v>
      </c>
      <c r="BQ8" s="193">
        <v>0</v>
      </c>
      <c r="BR8" s="238">
        <f t="shared" si="33"/>
        <v>0</v>
      </c>
      <c r="BS8" s="225"/>
      <c r="BT8" s="239">
        <f t="shared" si="36"/>
        <v>2452.5500000000002</v>
      </c>
      <c r="BU8" s="238">
        <f t="shared" si="34"/>
        <v>138569.07500000001</v>
      </c>
    </row>
    <row r="9" spans="1:73" ht="14.25">
      <c r="A9" s="241">
        <v>1949</v>
      </c>
      <c r="B9" s="528">
        <f t="shared" si="0"/>
        <v>55.5</v>
      </c>
      <c r="C9" s="193">
        <v>0</v>
      </c>
      <c r="D9" s="238">
        <f t="shared" si="35"/>
        <v>0</v>
      </c>
      <c r="E9" s="193">
        <v>0</v>
      </c>
      <c r="F9" s="238">
        <f t="shared" si="1"/>
        <v>0</v>
      </c>
      <c r="G9" s="193">
        <v>0</v>
      </c>
      <c r="H9" s="238">
        <f t="shared" si="2"/>
        <v>0</v>
      </c>
      <c r="I9" s="193">
        <v>0</v>
      </c>
      <c r="J9" s="238">
        <f t="shared" si="3"/>
        <v>0</v>
      </c>
      <c r="K9" s="193">
        <v>0</v>
      </c>
      <c r="L9" s="238">
        <f t="shared" si="4"/>
        <v>0</v>
      </c>
      <c r="M9" s="193">
        <v>0</v>
      </c>
      <c r="N9" s="238">
        <f t="shared" si="5"/>
        <v>0</v>
      </c>
      <c r="O9" s="193">
        <v>0</v>
      </c>
      <c r="P9" s="238">
        <f t="shared" si="6"/>
        <v>0</v>
      </c>
      <c r="Q9" s="193">
        <v>0</v>
      </c>
      <c r="R9" s="238">
        <f t="shared" si="7"/>
        <v>0</v>
      </c>
      <c r="S9" s="193">
        <v>239.94</v>
      </c>
      <c r="T9" s="238">
        <f t="shared" si="8"/>
        <v>13316.67</v>
      </c>
      <c r="U9" s="193">
        <v>0</v>
      </c>
      <c r="V9" s="238">
        <f t="shared" si="9"/>
        <v>0</v>
      </c>
      <c r="W9" s="193">
        <v>0</v>
      </c>
      <c r="X9" s="238">
        <f t="shared" si="10"/>
        <v>0</v>
      </c>
      <c r="Y9" s="193">
        <v>0</v>
      </c>
      <c r="Z9" s="238">
        <f t="shared" si="11"/>
        <v>0</v>
      </c>
      <c r="AA9" s="193">
        <v>0</v>
      </c>
      <c r="AB9" s="238">
        <f t="shared" si="12"/>
        <v>0</v>
      </c>
      <c r="AC9" s="193">
        <v>0</v>
      </c>
      <c r="AD9" s="238">
        <f t="shared" si="13"/>
        <v>0</v>
      </c>
      <c r="AE9" s="193">
        <v>0</v>
      </c>
      <c r="AF9" s="238">
        <f t="shared" si="14"/>
        <v>0</v>
      </c>
      <c r="AG9" s="193">
        <v>0</v>
      </c>
      <c r="AH9" s="238">
        <f t="shared" si="15"/>
        <v>0</v>
      </c>
      <c r="AI9" s="193">
        <v>0</v>
      </c>
      <c r="AJ9" s="238">
        <f t="shared" si="16"/>
        <v>0</v>
      </c>
      <c r="AK9" s="193">
        <v>0</v>
      </c>
      <c r="AL9" s="238">
        <f t="shared" si="17"/>
        <v>0</v>
      </c>
      <c r="AM9" s="193">
        <v>0</v>
      </c>
      <c r="AN9" s="238">
        <f t="shared" si="18"/>
        <v>0</v>
      </c>
      <c r="AO9" s="193">
        <v>0</v>
      </c>
      <c r="AP9" s="238">
        <f t="shared" si="19"/>
        <v>0</v>
      </c>
      <c r="AQ9" s="193">
        <v>0</v>
      </c>
      <c r="AR9" s="238">
        <f t="shared" si="20"/>
        <v>0</v>
      </c>
      <c r="AS9" s="193">
        <v>0</v>
      </c>
      <c r="AT9" s="238">
        <f t="shared" si="21"/>
        <v>0</v>
      </c>
      <c r="AU9" s="193">
        <v>0</v>
      </c>
      <c r="AV9" s="238">
        <f t="shared" si="22"/>
        <v>0</v>
      </c>
      <c r="AW9" s="193">
        <v>0</v>
      </c>
      <c r="AX9" s="238">
        <f t="shared" si="23"/>
        <v>0</v>
      </c>
      <c r="AY9" s="193">
        <v>0</v>
      </c>
      <c r="AZ9" s="238">
        <f t="shared" si="24"/>
        <v>0</v>
      </c>
      <c r="BA9" s="193">
        <v>0</v>
      </c>
      <c r="BB9" s="238">
        <f t="shared" si="25"/>
        <v>0</v>
      </c>
      <c r="BC9" s="193">
        <v>0</v>
      </c>
      <c r="BD9" s="238">
        <f t="shared" si="26"/>
        <v>0</v>
      </c>
      <c r="BE9" s="193">
        <v>0</v>
      </c>
      <c r="BF9" s="238">
        <f t="shared" si="27"/>
        <v>0</v>
      </c>
      <c r="BG9" s="193">
        <v>0</v>
      </c>
      <c r="BH9" s="238">
        <f t="shared" si="28"/>
        <v>0</v>
      </c>
      <c r="BI9" s="193">
        <v>0</v>
      </c>
      <c r="BJ9" s="238">
        <f t="shared" si="29"/>
        <v>0</v>
      </c>
      <c r="BK9" s="193">
        <v>0</v>
      </c>
      <c r="BL9" s="238">
        <f t="shared" si="30"/>
        <v>0</v>
      </c>
      <c r="BM9" s="193">
        <v>0</v>
      </c>
      <c r="BN9" s="238">
        <f t="shared" si="31"/>
        <v>0</v>
      </c>
      <c r="BO9" s="193">
        <v>0</v>
      </c>
      <c r="BP9" s="238">
        <f t="shared" si="32"/>
        <v>0</v>
      </c>
      <c r="BQ9" s="193">
        <v>0</v>
      </c>
      <c r="BR9" s="238">
        <f t="shared" si="33"/>
        <v>0</v>
      </c>
      <c r="BS9" s="225"/>
      <c r="BT9" s="239">
        <f t="shared" si="36"/>
        <v>239.94</v>
      </c>
      <c r="BU9" s="238">
        <f t="shared" si="34"/>
        <v>13316.67</v>
      </c>
    </row>
    <row r="10" spans="1:73" ht="14.25">
      <c r="A10" s="241">
        <v>1950</v>
      </c>
      <c r="B10" s="528">
        <f t="shared" si="0"/>
        <v>54.5</v>
      </c>
      <c r="C10" s="193">
        <v>0</v>
      </c>
      <c r="D10" s="238">
        <f t="shared" si="35"/>
        <v>0</v>
      </c>
      <c r="E10" s="193">
        <v>0</v>
      </c>
      <c r="F10" s="238">
        <f t="shared" si="1"/>
        <v>0</v>
      </c>
      <c r="G10" s="193">
        <v>0</v>
      </c>
      <c r="H10" s="238">
        <f t="shared" si="2"/>
        <v>0</v>
      </c>
      <c r="I10" s="193">
        <v>373.72000000000003</v>
      </c>
      <c r="J10" s="238">
        <f t="shared" si="3"/>
        <v>20367.740000000002</v>
      </c>
      <c r="K10" s="193">
        <v>0</v>
      </c>
      <c r="L10" s="238">
        <f t="shared" si="4"/>
        <v>0</v>
      </c>
      <c r="M10" s="193">
        <v>0</v>
      </c>
      <c r="N10" s="238">
        <f t="shared" si="5"/>
        <v>0</v>
      </c>
      <c r="O10" s="193">
        <v>0</v>
      </c>
      <c r="P10" s="238">
        <f t="shared" si="6"/>
        <v>0</v>
      </c>
      <c r="Q10" s="193">
        <v>0</v>
      </c>
      <c r="R10" s="238">
        <f t="shared" si="7"/>
        <v>0</v>
      </c>
      <c r="S10" s="193">
        <v>71.75</v>
      </c>
      <c r="T10" s="238">
        <f t="shared" si="8"/>
        <v>3910.375</v>
      </c>
      <c r="U10" s="193">
        <v>0</v>
      </c>
      <c r="V10" s="238">
        <f t="shared" si="9"/>
        <v>0</v>
      </c>
      <c r="W10" s="193">
        <v>0</v>
      </c>
      <c r="X10" s="238">
        <f t="shared" si="10"/>
        <v>0</v>
      </c>
      <c r="Y10" s="193">
        <v>0</v>
      </c>
      <c r="Z10" s="238">
        <f t="shared" si="11"/>
        <v>0</v>
      </c>
      <c r="AA10" s="193">
        <v>0</v>
      </c>
      <c r="AB10" s="238">
        <f t="shared" si="12"/>
        <v>0</v>
      </c>
      <c r="AC10" s="193">
        <v>0</v>
      </c>
      <c r="AD10" s="238">
        <f t="shared" si="13"/>
        <v>0</v>
      </c>
      <c r="AE10" s="193">
        <v>0</v>
      </c>
      <c r="AF10" s="238">
        <f t="shared" si="14"/>
        <v>0</v>
      </c>
      <c r="AG10" s="193">
        <v>0</v>
      </c>
      <c r="AH10" s="238">
        <f t="shared" si="15"/>
        <v>0</v>
      </c>
      <c r="AI10" s="193">
        <v>0</v>
      </c>
      <c r="AJ10" s="238">
        <f t="shared" si="16"/>
        <v>0</v>
      </c>
      <c r="AK10" s="193">
        <v>0</v>
      </c>
      <c r="AL10" s="238">
        <f t="shared" si="17"/>
        <v>0</v>
      </c>
      <c r="AM10" s="193">
        <v>0</v>
      </c>
      <c r="AN10" s="238">
        <f t="shared" si="18"/>
        <v>0</v>
      </c>
      <c r="AO10" s="193">
        <v>0</v>
      </c>
      <c r="AP10" s="238">
        <f t="shared" si="19"/>
        <v>0</v>
      </c>
      <c r="AQ10" s="193">
        <v>0</v>
      </c>
      <c r="AR10" s="238">
        <f t="shared" si="20"/>
        <v>0</v>
      </c>
      <c r="AS10" s="193">
        <v>0</v>
      </c>
      <c r="AT10" s="238">
        <f t="shared" si="21"/>
        <v>0</v>
      </c>
      <c r="AU10" s="193">
        <v>0</v>
      </c>
      <c r="AV10" s="238">
        <f t="shared" si="22"/>
        <v>0</v>
      </c>
      <c r="AW10" s="193">
        <v>0</v>
      </c>
      <c r="AX10" s="238">
        <f t="shared" si="23"/>
        <v>0</v>
      </c>
      <c r="AY10" s="193">
        <v>0</v>
      </c>
      <c r="AZ10" s="238">
        <f t="shared" si="24"/>
        <v>0</v>
      </c>
      <c r="BA10" s="193">
        <v>0</v>
      </c>
      <c r="BB10" s="238">
        <f t="shared" si="25"/>
        <v>0</v>
      </c>
      <c r="BC10" s="193">
        <v>0</v>
      </c>
      <c r="BD10" s="238">
        <f t="shared" si="26"/>
        <v>0</v>
      </c>
      <c r="BE10" s="193">
        <v>0</v>
      </c>
      <c r="BF10" s="238">
        <f t="shared" si="27"/>
        <v>0</v>
      </c>
      <c r="BG10" s="193">
        <v>0</v>
      </c>
      <c r="BH10" s="238">
        <f t="shared" si="28"/>
        <v>0</v>
      </c>
      <c r="BI10" s="193">
        <v>0</v>
      </c>
      <c r="BJ10" s="238">
        <f t="shared" si="29"/>
        <v>0</v>
      </c>
      <c r="BK10" s="193">
        <v>0</v>
      </c>
      <c r="BL10" s="238">
        <f t="shared" si="30"/>
        <v>0</v>
      </c>
      <c r="BM10" s="193">
        <v>0</v>
      </c>
      <c r="BN10" s="238">
        <f t="shared" si="31"/>
        <v>0</v>
      </c>
      <c r="BO10" s="193">
        <v>0</v>
      </c>
      <c r="BP10" s="238">
        <f t="shared" si="32"/>
        <v>0</v>
      </c>
      <c r="BQ10" s="193">
        <v>0</v>
      </c>
      <c r="BR10" s="238">
        <f t="shared" si="33"/>
        <v>0</v>
      </c>
      <c r="BS10" s="225"/>
      <c r="BT10" s="239">
        <f t="shared" si="36"/>
        <v>445.47000000000003</v>
      </c>
      <c r="BU10" s="238">
        <f t="shared" si="34"/>
        <v>24278.115000000002</v>
      </c>
    </row>
    <row r="11" spans="1:73" ht="14.25">
      <c r="A11" s="241">
        <v>1952</v>
      </c>
      <c r="B11" s="528">
        <f t="shared" si="0"/>
        <v>53.5</v>
      </c>
      <c r="C11" s="193">
        <v>0</v>
      </c>
      <c r="D11" s="238">
        <f t="shared" si="35"/>
        <v>0</v>
      </c>
      <c r="E11" s="193">
        <v>0</v>
      </c>
      <c r="F11" s="238">
        <f t="shared" si="1"/>
        <v>0</v>
      </c>
      <c r="G11" s="193">
        <v>0</v>
      </c>
      <c r="H11" s="238">
        <f t="shared" si="2"/>
        <v>0</v>
      </c>
      <c r="I11" s="193">
        <v>1492.46</v>
      </c>
      <c r="J11" s="238">
        <f t="shared" si="3"/>
        <v>79846.610000000001</v>
      </c>
      <c r="K11" s="193">
        <v>0</v>
      </c>
      <c r="L11" s="238">
        <f t="shared" si="4"/>
        <v>0</v>
      </c>
      <c r="M11" s="193">
        <v>0</v>
      </c>
      <c r="N11" s="238">
        <f t="shared" si="5"/>
        <v>0</v>
      </c>
      <c r="O11" s="193">
        <v>0</v>
      </c>
      <c r="P11" s="238">
        <f t="shared" si="6"/>
        <v>0</v>
      </c>
      <c r="Q11" s="193">
        <v>0</v>
      </c>
      <c r="R11" s="238">
        <f t="shared" si="7"/>
        <v>0</v>
      </c>
      <c r="S11" s="193">
        <v>98.519999999999996</v>
      </c>
      <c r="T11" s="238">
        <f t="shared" si="8"/>
        <v>5270.8199999999997</v>
      </c>
      <c r="U11" s="193">
        <v>0</v>
      </c>
      <c r="V11" s="238">
        <f t="shared" si="9"/>
        <v>0</v>
      </c>
      <c r="W11" s="193">
        <v>0</v>
      </c>
      <c r="X11" s="238">
        <f t="shared" si="10"/>
        <v>0</v>
      </c>
      <c r="Y11" s="193">
        <v>0</v>
      </c>
      <c r="Z11" s="238">
        <f t="shared" si="11"/>
        <v>0</v>
      </c>
      <c r="AA11" s="193">
        <v>0</v>
      </c>
      <c r="AB11" s="238">
        <f t="shared" si="12"/>
        <v>0</v>
      </c>
      <c r="AC11" s="193">
        <v>0</v>
      </c>
      <c r="AD11" s="238">
        <f t="shared" si="13"/>
        <v>0</v>
      </c>
      <c r="AE11" s="193">
        <v>0</v>
      </c>
      <c r="AF11" s="238">
        <f t="shared" si="14"/>
        <v>0</v>
      </c>
      <c r="AG11" s="193">
        <v>0</v>
      </c>
      <c r="AH11" s="238">
        <f t="shared" si="15"/>
        <v>0</v>
      </c>
      <c r="AI11" s="193">
        <v>0</v>
      </c>
      <c r="AJ11" s="238">
        <f t="shared" si="16"/>
        <v>0</v>
      </c>
      <c r="AK11" s="193">
        <v>0</v>
      </c>
      <c r="AL11" s="238">
        <f t="shared" si="17"/>
        <v>0</v>
      </c>
      <c r="AM11" s="193">
        <v>0</v>
      </c>
      <c r="AN11" s="238">
        <f t="shared" si="18"/>
        <v>0</v>
      </c>
      <c r="AO11" s="193">
        <v>0</v>
      </c>
      <c r="AP11" s="238">
        <f t="shared" si="19"/>
        <v>0</v>
      </c>
      <c r="AQ11" s="193">
        <v>0</v>
      </c>
      <c r="AR11" s="238">
        <f t="shared" si="20"/>
        <v>0</v>
      </c>
      <c r="AS11" s="193">
        <v>0</v>
      </c>
      <c r="AT11" s="238">
        <f t="shared" si="21"/>
        <v>0</v>
      </c>
      <c r="AU11" s="193">
        <v>0</v>
      </c>
      <c r="AV11" s="238">
        <f t="shared" si="22"/>
        <v>0</v>
      </c>
      <c r="AW11" s="193">
        <v>0</v>
      </c>
      <c r="AX11" s="238">
        <f t="shared" si="23"/>
        <v>0</v>
      </c>
      <c r="AY11" s="193">
        <v>0</v>
      </c>
      <c r="AZ11" s="238">
        <f t="shared" si="24"/>
        <v>0</v>
      </c>
      <c r="BA11" s="193">
        <v>0</v>
      </c>
      <c r="BB11" s="238">
        <f t="shared" si="25"/>
        <v>0</v>
      </c>
      <c r="BC11" s="193">
        <v>0</v>
      </c>
      <c r="BD11" s="238">
        <f t="shared" si="26"/>
        <v>0</v>
      </c>
      <c r="BE11" s="193">
        <v>0</v>
      </c>
      <c r="BF11" s="238">
        <f t="shared" si="27"/>
        <v>0</v>
      </c>
      <c r="BG11" s="193">
        <v>0</v>
      </c>
      <c r="BH11" s="238">
        <f t="shared" si="28"/>
        <v>0</v>
      </c>
      <c r="BI11" s="193">
        <v>0</v>
      </c>
      <c r="BJ11" s="238">
        <f t="shared" si="29"/>
        <v>0</v>
      </c>
      <c r="BK11" s="193">
        <v>0</v>
      </c>
      <c r="BL11" s="238">
        <f t="shared" si="30"/>
        <v>0</v>
      </c>
      <c r="BM11" s="193">
        <v>0</v>
      </c>
      <c r="BN11" s="238">
        <f t="shared" si="31"/>
        <v>0</v>
      </c>
      <c r="BO11" s="193">
        <v>0</v>
      </c>
      <c r="BP11" s="238">
        <f t="shared" si="32"/>
        <v>0</v>
      </c>
      <c r="BQ11" s="193">
        <v>0</v>
      </c>
      <c r="BR11" s="238">
        <f t="shared" si="33"/>
        <v>0</v>
      </c>
      <c r="BS11" s="225"/>
      <c r="BT11" s="239">
        <f t="shared" si="36"/>
        <v>1590.98</v>
      </c>
      <c r="BU11" s="238">
        <f t="shared" si="34"/>
        <v>85117.430000000008</v>
      </c>
    </row>
    <row r="12" spans="1:73" ht="14.25">
      <c r="A12" s="241">
        <v>1957</v>
      </c>
      <c r="B12" s="528">
        <f t="shared" si="0"/>
        <v>52.5</v>
      </c>
      <c r="C12" s="193">
        <v>0</v>
      </c>
      <c r="D12" s="238">
        <f t="shared" si="35"/>
        <v>0</v>
      </c>
      <c r="E12" s="193">
        <v>0</v>
      </c>
      <c r="F12" s="238">
        <f t="shared" si="1"/>
        <v>0</v>
      </c>
      <c r="G12" s="193">
        <v>0</v>
      </c>
      <c r="H12" s="238">
        <f t="shared" si="2"/>
        <v>0</v>
      </c>
      <c r="I12" s="193">
        <v>81.450000000000003</v>
      </c>
      <c r="J12" s="238">
        <f t="shared" si="3"/>
        <v>4276.125</v>
      </c>
      <c r="K12" s="193">
        <v>0</v>
      </c>
      <c r="L12" s="238">
        <f t="shared" si="4"/>
        <v>0</v>
      </c>
      <c r="M12" s="193">
        <v>0</v>
      </c>
      <c r="N12" s="238">
        <f t="shared" si="5"/>
        <v>0</v>
      </c>
      <c r="O12" s="193">
        <v>0</v>
      </c>
      <c r="P12" s="238">
        <f t="shared" si="6"/>
        <v>0</v>
      </c>
      <c r="Q12" s="193">
        <v>0</v>
      </c>
      <c r="R12" s="238">
        <f t="shared" si="7"/>
        <v>0</v>
      </c>
      <c r="S12" s="193">
        <v>44.5</v>
      </c>
      <c r="T12" s="238">
        <f t="shared" si="8"/>
        <v>2336.25</v>
      </c>
      <c r="U12" s="193">
        <v>0</v>
      </c>
      <c r="V12" s="238">
        <f t="shared" si="9"/>
        <v>0</v>
      </c>
      <c r="W12" s="193">
        <v>0</v>
      </c>
      <c r="X12" s="238">
        <f t="shared" si="10"/>
        <v>0</v>
      </c>
      <c r="Y12" s="193">
        <v>0</v>
      </c>
      <c r="Z12" s="238">
        <f t="shared" si="11"/>
        <v>0</v>
      </c>
      <c r="AA12" s="193">
        <v>0</v>
      </c>
      <c r="AB12" s="238">
        <f t="shared" si="12"/>
        <v>0</v>
      </c>
      <c r="AC12" s="193">
        <v>0</v>
      </c>
      <c r="AD12" s="238">
        <f t="shared" si="13"/>
        <v>0</v>
      </c>
      <c r="AE12" s="193">
        <v>0</v>
      </c>
      <c r="AF12" s="238">
        <f t="shared" si="14"/>
        <v>0</v>
      </c>
      <c r="AG12" s="193">
        <v>0</v>
      </c>
      <c r="AH12" s="238">
        <f t="shared" si="15"/>
        <v>0</v>
      </c>
      <c r="AI12" s="193">
        <v>0</v>
      </c>
      <c r="AJ12" s="238">
        <f t="shared" si="16"/>
        <v>0</v>
      </c>
      <c r="AK12" s="193">
        <v>0</v>
      </c>
      <c r="AL12" s="238">
        <f t="shared" si="17"/>
        <v>0</v>
      </c>
      <c r="AM12" s="193">
        <v>0</v>
      </c>
      <c r="AN12" s="238">
        <f t="shared" si="18"/>
        <v>0</v>
      </c>
      <c r="AO12" s="193">
        <v>0</v>
      </c>
      <c r="AP12" s="238">
        <f t="shared" si="19"/>
        <v>0</v>
      </c>
      <c r="AQ12" s="193">
        <v>0</v>
      </c>
      <c r="AR12" s="238">
        <f t="shared" si="20"/>
        <v>0</v>
      </c>
      <c r="AS12" s="193">
        <v>0</v>
      </c>
      <c r="AT12" s="238">
        <f t="shared" si="21"/>
        <v>0</v>
      </c>
      <c r="AU12" s="193">
        <v>0</v>
      </c>
      <c r="AV12" s="238">
        <f t="shared" si="22"/>
        <v>0</v>
      </c>
      <c r="AW12" s="193">
        <v>0</v>
      </c>
      <c r="AX12" s="238">
        <f t="shared" si="23"/>
        <v>0</v>
      </c>
      <c r="AY12" s="193">
        <v>0</v>
      </c>
      <c r="AZ12" s="238">
        <f t="shared" si="24"/>
        <v>0</v>
      </c>
      <c r="BA12" s="193">
        <v>0</v>
      </c>
      <c r="BB12" s="238">
        <f t="shared" si="25"/>
        <v>0</v>
      </c>
      <c r="BC12" s="193">
        <v>0</v>
      </c>
      <c r="BD12" s="238">
        <f t="shared" si="26"/>
        <v>0</v>
      </c>
      <c r="BE12" s="193">
        <v>0</v>
      </c>
      <c r="BF12" s="238">
        <f t="shared" si="27"/>
        <v>0</v>
      </c>
      <c r="BG12" s="193">
        <v>0</v>
      </c>
      <c r="BH12" s="238">
        <f t="shared" si="28"/>
        <v>0</v>
      </c>
      <c r="BI12" s="193">
        <v>0</v>
      </c>
      <c r="BJ12" s="238">
        <f t="shared" si="29"/>
        <v>0</v>
      </c>
      <c r="BK12" s="193">
        <v>0</v>
      </c>
      <c r="BL12" s="238">
        <f t="shared" si="30"/>
        <v>0</v>
      </c>
      <c r="BM12" s="193">
        <v>0</v>
      </c>
      <c r="BN12" s="238">
        <f t="shared" si="31"/>
        <v>0</v>
      </c>
      <c r="BO12" s="193">
        <v>0</v>
      </c>
      <c r="BP12" s="238">
        <f t="shared" si="32"/>
        <v>0</v>
      </c>
      <c r="BQ12" s="193">
        <v>0</v>
      </c>
      <c r="BR12" s="238">
        <f t="shared" si="33"/>
        <v>0</v>
      </c>
      <c r="BS12" s="225"/>
      <c r="BT12" s="239">
        <f t="shared" si="36"/>
        <v>125.95</v>
      </c>
      <c r="BU12" s="238">
        <f t="shared" si="34"/>
        <v>6612.375</v>
      </c>
    </row>
    <row r="13" spans="1:73" ht="14.25">
      <c r="A13" s="241">
        <v>1958</v>
      </c>
      <c r="B13" s="528">
        <f t="shared" si="0"/>
        <v>51.5</v>
      </c>
      <c r="C13" s="193">
        <v>0</v>
      </c>
      <c r="D13" s="238">
        <f t="shared" si="35"/>
        <v>0</v>
      </c>
      <c r="E13" s="193">
        <v>0</v>
      </c>
      <c r="F13" s="238">
        <f t="shared" si="1"/>
        <v>0</v>
      </c>
      <c r="G13" s="193">
        <v>0</v>
      </c>
      <c r="H13" s="238">
        <f t="shared" si="2"/>
        <v>0</v>
      </c>
      <c r="I13" s="193">
        <v>128.75999999999999</v>
      </c>
      <c r="J13" s="238">
        <f t="shared" si="3"/>
        <v>6631.1399999999994</v>
      </c>
      <c r="K13" s="193">
        <v>0</v>
      </c>
      <c r="L13" s="238">
        <f t="shared" si="4"/>
        <v>0</v>
      </c>
      <c r="M13" s="193">
        <v>0</v>
      </c>
      <c r="N13" s="238">
        <f t="shared" si="5"/>
        <v>0</v>
      </c>
      <c r="O13" s="193">
        <v>0</v>
      </c>
      <c r="P13" s="238">
        <f t="shared" si="6"/>
        <v>0</v>
      </c>
      <c r="Q13" s="193">
        <v>0</v>
      </c>
      <c r="R13" s="238">
        <f t="shared" si="7"/>
        <v>0</v>
      </c>
      <c r="S13" s="193">
        <v>0</v>
      </c>
      <c r="T13" s="238">
        <f t="shared" si="8"/>
        <v>0</v>
      </c>
      <c r="U13" s="193">
        <v>0</v>
      </c>
      <c r="V13" s="238">
        <f t="shared" si="9"/>
        <v>0</v>
      </c>
      <c r="W13" s="193">
        <v>0</v>
      </c>
      <c r="X13" s="238">
        <f t="shared" si="10"/>
        <v>0</v>
      </c>
      <c r="Y13" s="193">
        <v>0</v>
      </c>
      <c r="Z13" s="238">
        <f t="shared" si="11"/>
        <v>0</v>
      </c>
      <c r="AA13" s="193">
        <v>0</v>
      </c>
      <c r="AB13" s="238">
        <f t="shared" si="12"/>
        <v>0</v>
      </c>
      <c r="AC13" s="193">
        <v>0</v>
      </c>
      <c r="AD13" s="238">
        <f t="shared" si="13"/>
        <v>0</v>
      </c>
      <c r="AE13" s="193">
        <v>0</v>
      </c>
      <c r="AF13" s="238">
        <f t="shared" si="14"/>
        <v>0</v>
      </c>
      <c r="AG13" s="193">
        <v>0</v>
      </c>
      <c r="AH13" s="238">
        <f t="shared" si="15"/>
        <v>0</v>
      </c>
      <c r="AI13" s="193">
        <v>0</v>
      </c>
      <c r="AJ13" s="238">
        <f t="shared" si="16"/>
        <v>0</v>
      </c>
      <c r="AK13" s="193">
        <v>0</v>
      </c>
      <c r="AL13" s="238">
        <f t="shared" si="17"/>
        <v>0</v>
      </c>
      <c r="AM13" s="193">
        <v>0</v>
      </c>
      <c r="AN13" s="238">
        <f t="shared" si="18"/>
        <v>0</v>
      </c>
      <c r="AO13" s="193">
        <v>0</v>
      </c>
      <c r="AP13" s="238">
        <f t="shared" si="19"/>
        <v>0</v>
      </c>
      <c r="AQ13" s="193">
        <v>0</v>
      </c>
      <c r="AR13" s="238">
        <f t="shared" si="20"/>
        <v>0</v>
      </c>
      <c r="AS13" s="193">
        <v>0</v>
      </c>
      <c r="AT13" s="238">
        <f t="shared" si="21"/>
        <v>0</v>
      </c>
      <c r="AU13" s="193">
        <v>0</v>
      </c>
      <c r="AV13" s="238">
        <f t="shared" si="22"/>
        <v>0</v>
      </c>
      <c r="AW13" s="193">
        <v>0</v>
      </c>
      <c r="AX13" s="238">
        <f t="shared" si="23"/>
        <v>0</v>
      </c>
      <c r="AY13" s="193">
        <v>0</v>
      </c>
      <c r="AZ13" s="238">
        <f t="shared" si="24"/>
        <v>0</v>
      </c>
      <c r="BA13" s="193">
        <v>0</v>
      </c>
      <c r="BB13" s="238">
        <f t="shared" si="25"/>
        <v>0</v>
      </c>
      <c r="BC13" s="193">
        <v>0</v>
      </c>
      <c r="BD13" s="238">
        <f t="shared" si="26"/>
        <v>0</v>
      </c>
      <c r="BE13" s="193">
        <v>0</v>
      </c>
      <c r="BF13" s="238">
        <f t="shared" si="27"/>
        <v>0</v>
      </c>
      <c r="BG13" s="193">
        <v>0</v>
      </c>
      <c r="BH13" s="238">
        <f t="shared" si="28"/>
        <v>0</v>
      </c>
      <c r="BI13" s="193">
        <v>0</v>
      </c>
      <c r="BJ13" s="238">
        <f t="shared" si="29"/>
        <v>0</v>
      </c>
      <c r="BK13" s="193">
        <v>0</v>
      </c>
      <c r="BL13" s="238">
        <f t="shared" si="30"/>
        <v>0</v>
      </c>
      <c r="BM13" s="193">
        <v>0</v>
      </c>
      <c r="BN13" s="238">
        <f t="shared" si="31"/>
        <v>0</v>
      </c>
      <c r="BO13" s="193">
        <v>0</v>
      </c>
      <c r="BP13" s="238">
        <f t="shared" si="32"/>
        <v>0</v>
      </c>
      <c r="BQ13" s="193">
        <v>0</v>
      </c>
      <c r="BR13" s="238">
        <f t="shared" si="33"/>
        <v>0</v>
      </c>
      <c r="BS13" s="225"/>
      <c r="BT13" s="239">
        <f t="shared" si="36"/>
        <v>128.75999999999999</v>
      </c>
      <c r="BU13" s="238">
        <f t="shared" si="34"/>
        <v>6631.1399999999994</v>
      </c>
    </row>
    <row r="14" spans="1:73" ht="14.25">
      <c r="A14" s="241">
        <v>1959</v>
      </c>
      <c r="B14" s="528">
        <f t="shared" si="0"/>
        <v>50.5</v>
      </c>
      <c r="C14" s="193">
        <v>0</v>
      </c>
      <c r="D14" s="238">
        <f t="shared" si="35"/>
        <v>0</v>
      </c>
      <c r="E14" s="193">
        <v>0</v>
      </c>
      <c r="F14" s="238">
        <f t="shared" si="1"/>
        <v>0</v>
      </c>
      <c r="G14" s="193">
        <v>0</v>
      </c>
      <c r="H14" s="238">
        <f t="shared" si="2"/>
        <v>0</v>
      </c>
      <c r="I14" s="193">
        <v>2371.3299999999999</v>
      </c>
      <c r="J14" s="238">
        <f t="shared" si="3"/>
        <v>119752.16499999999</v>
      </c>
      <c r="K14" s="193">
        <v>0</v>
      </c>
      <c r="L14" s="238">
        <f t="shared" si="4"/>
        <v>0</v>
      </c>
      <c r="M14" s="193">
        <v>0</v>
      </c>
      <c r="N14" s="238">
        <f t="shared" si="5"/>
        <v>0</v>
      </c>
      <c r="O14" s="193">
        <v>0</v>
      </c>
      <c r="P14" s="238">
        <f t="shared" si="6"/>
        <v>0</v>
      </c>
      <c r="Q14" s="193">
        <v>0</v>
      </c>
      <c r="R14" s="238">
        <f t="shared" si="7"/>
        <v>0</v>
      </c>
      <c r="S14" s="193">
        <v>1900.1500000000001</v>
      </c>
      <c r="T14" s="238">
        <f t="shared" si="8"/>
        <v>95957.575000000012</v>
      </c>
      <c r="U14" s="193">
        <v>0</v>
      </c>
      <c r="V14" s="238">
        <f t="shared" si="9"/>
        <v>0</v>
      </c>
      <c r="W14" s="193">
        <v>0</v>
      </c>
      <c r="X14" s="238">
        <f t="shared" si="10"/>
        <v>0</v>
      </c>
      <c r="Y14" s="193">
        <v>0</v>
      </c>
      <c r="Z14" s="238">
        <f t="shared" si="11"/>
        <v>0</v>
      </c>
      <c r="AA14" s="193">
        <v>0</v>
      </c>
      <c r="AB14" s="238">
        <f t="shared" si="12"/>
        <v>0</v>
      </c>
      <c r="AC14" s="193">
        <v>0</v>
      </c>
      <c r="AD14" s="238">
        <f t="shared" si="13"/>
        <v>0</v>
      </c>
      <c r="AE14" s="193">
        <v>0</v>
      </c>
      <c r="AF14" s="238">
        <f t="shared" si="14"/>
        <v>0</v>
      </c>
      <c r="AG14" s="193">
        <v>0</v>
      </c>
      <c r="AH14" s="238">
        <f t="shared" si="15"/>
        <v>0</v>
      </c>
      <c r="AI14" s="193">
        <v>0</v>
      </c>
      <c r="AJ14" s="238">
        <f t="shared" si="16"/>
        <v>0</v>
      </c>
      <c r="AK14" s="193">
        <v>0</v>
      </c>
      <c r="AL14" s="238">
        <f t="shared" si="17"/>
        <v>0</v>
      </c>
      <c r="AM14" s="193">
        <v>0</v>
      </c>
      <c r="AN14" s="238">
        <f t="shared" si="18"/>
        <v>0</v>
      </c>
      <c r="AO14" s="193">
        <v>0</v>
      </c>
      <c r="AP14" s="238">
        <f t="shared" si="19"/>
        <v>0</v>
      </c>
      <c r="AQ14" s="193">
        <v>0</v>
      </c>
      <c r="AR14" s="238">
        <f t="shared" si="20"/>
        <v>0</v>
      </c>
      <c r="AS14" s="193">
        <v>0</v>
      </c>
      <c r="AT14" s="238">
        <f t="shared" si="21"/>
        <v>0</v>
      </c>
      <c r="AU14" s="193">
        <v>0</v>
      </c>
      <c r="AV14" s="238">
        <f t="shared" si="22"/>
        <v>0</v>
      </c>
      <c r="AW14" s="193">
        <v>0</v>
      </c>
      <c r="AX14" s="238">
        <f t="shared" si="23"/>
        <v>0</v>
      </c>
      <c r="AY14" s="193">
        <v>0</v>
      </c>
      <c r="AZ14" s="238">
        <f t="shared" si="24"/>
        <v>0</v>
      </c>
      <c r="BA14" s="193">
        <v>0</v>
      </c>
      <c r="BB14" s="238">
        <f t="shared" si="25"/>
        <v>0</v>
      </c>
      <c r="BC14" s="193">
        <v>0</v>
      </c>
      <c r="BD14" s="238">
        <f t="shared" si="26"/>
        <v>0</v>
      </c>
      <c r="BE14" s="193">
        <v>0</v>
      </c>
      <c r="BF14" s="238">
        <f t="shared" si="27"/>
        <v>0</v>
      </c>
      <c r="BG14" s="193">
        <v>0</v>
      </c>
      <c r="BH14" s="238">
        <f t="shared" si="28"/>
        <v>0</v>
      </c>
      <c r="BI14" s="193">
        <v>0</v>
      </c>
      <c r="BJ14" s="238">
        <f t="shared" si="29"/>
        <v>0</v>
      </c>
      <c r="BK14" s="193">
        <v>0</v>
      </c>
      <c r="BL14" s="238">
        <f t="shared" si="30"/>
        <v>0</v>
      </c>
      <c r="BM14" s="193">
        <v>0</v>
      </c>
      <c r="BN14" s="238">
        <f t="shared" si="31"/>
        <v>0</v>
      </c>
      <c r="BO14" s="193">
        <v>0</v>
      </c>
      <c r="BP14" s="238">
        <f t="shared" si="32"/>
        <v>0</v>
      </c>
      <c r="BQ14" s="193">
        <v>0</v>
      </c>
      <c r="BR14" s="238">
        <f t="shared" si="33"/>
        <v>0</v>
      </c>
      <c r="BS14" s="225"/>
      <c r="BT14" s="239">
        <f t="shared" si="36"/>
        <v>4271.4799999999996</v>
      </c>
      <c r="BU14" s="238">
        <f t="shared" si="34"/>
        <v>215709.73999999999</v>
      </c>
    </row>
    <row r="15" spans="1:73" ht="14.25">
      <c r="A15" s="241">
        <v>1960</v>
      </c>
      <c r="B15" s="528">
        <f>B25+1</f>
        <v>49.5</v>
      </c>
      <c r="C15" s="193">
        <v>0</v>
      </c>
      <c r="D15" s="238">
        <f t="shared" si="35"/>
        <v>0</v>
      </c>
      <c r="E15" s="193">
        <v>0</v>
      </c>
      <c r="F15" s="238">
        <f t="shared" si="1"/>
        <v>0</v>
      </c>
      <c r="G15" s="193">
        <v>0</v>
      </c>
      <c r="H15" s="238">
        <f t="shared" si="2"/>
        <v>0</v>
      </c>
      <c r="I15" s="193">
        <v>10974.370000000001</v>
      </c>
      <c r="J15" s="238">
        <f t="shared" si="3"/>
        <v>543231.31500000006</v>
      </c>
      <c r="K15" s="193">
        <v>0</v>
      </c>
      <c r="L15" s="238">
        <f t="shared" si="4"/>
        <v>0</v>
      </c>
      <c r="M15" s="193">
        <v>0</v>
      </c>
      <c r="N15" s="238">
        <f t="shared" si="5"/>
        <v>0</v>
      </c>
      <c r="O15" s="193">
        <v>0</v>
      </c>
      <c r="P15" s="238">
        <f t="shared" si="6"/>
        <v>0</v>
      </c>
      <c r="Q15" s="193">
        <v>0</v>
      </c>
      <c r="R15" s="238">
        <f t="shared" si="7"/>
        <v>0</v>
      </c>
      <c r="S15" s="193">
        <v>0</v>
      </c>
      <c r="T15" s="238">
        <f t="shared" si="8"/>
        <v>0</v>
      </c>
      <c r="U15" s="193">
        <v>0</v>
      </c>
      <c r="V15" s="238">
        <f t="shared" si="9"/>
        <v>0</v>
      </c>
      <c r="W15" s="193">
        <v>0</v>
      </c>
      <c r="X15" s="238">
        <f t="shared" si="10"/>
        <v>0</v>
      </c>
      <c r="Y15" s="193">
        <v>0</v>
      </c>
      <c r="Z15" s="238">
        <f t="shared" si="11"/>
        <v>0</v>
      </c>
      <c r="AA15" s="193">
        <v>0</v>
      </c>
      <c r="AB15" s="238">
        <f t="shared" si="12"/>
        <v>0</v>
      </c>
      <c r="AC15" s="193">
        <v>0</v>
      </c>
      <c r="AD15" s="238">
        <f t="shared" si="13"/>
        <v>0</v>
      </c>
      <c r="AE15" s="193">
        <v>0</v>
      </c>
      <c r="AF15" s="238">
        <f t="shared" si="14"/>
        <v>0</v>
      </c>
      <c r="AG15" s="193">
        <v>0</v>
      </c>
      <c r="AH15" s="238">
        <f t="shared" si="15"/>
        <v>0</v>
      </c>
      <c r="AI15" s="193">
        <v>0</v>
      </c>
      <c r="AJ15" s="238">
        <f t="shared" si="16"/>
        <v>0</v>
      </c>
      <c r="AK15" s="193">
        <v>0</v>
      </c>
      <c r="AL15" s="238">
        <f t="shared" si="17"/>
        <v>0</v>
      </c>
      <c r="AM15" s="193">
        <v>0</v>
      </c>
      <c r="AN15" s="238">
        <f t="shared" si="18"/>
        <v>0</v>
      </c>
      <c r="AO15" s="193">
        <v>0</v>
      </c>
      <c r="AP15" s="238">
        <f t="shared" si="19"/>
        <v>0</v>
      </c>
      <c r="AQ15" s="193">
        <v>0</v>
      </c>
      <c r="AR15" s="238">
        <f t="shared" si="20"/>
        <v>0</v>
      </c>
      <c r="AS15" s="193">
        <v>0</v>
      </c>
      <c r="AT15" s="238">
        <f t="shared" si="21"/>
        <v>0</v>
      </c>
      <c r="AU15" s="193">
        <v>0</v>
      </c>
      <c r="AV15" s="238">
        <f t="shared" si="22"/>
        <v>0</v>
      </c>
      <c r="AW15" s="193">
        <v>0</v>
      </c>
      <c r="AX15" s="238">
        <f t="shared" si="23"/>
        <v>0</v>
      </c>
      <c r="AY15" s="193">
        <v>0</v>
      </c>
      <c r="AZ15" s="238">
        <f t="shared" si="24"/>
        <v>0</v>
      </c>
      <c r="BA15" s="193">
        <v>0</v>
      </c>
      <c r="BB15" s="238">
        <f t="shared" si="25"/>
        <v>0</v>
      </c>
      <c r="BC15" s="193">
        <v>0</v>
      </c>
      <c r="BD15" s="238">
        <f t="shared" si="26"/>
        <v>0</v>
      </c>
      <c r="BE15" s="193">
        <v>0</v>
      </c>
      <c r="BF15" s="238">
        <f t="shared" si="27"/>
        <v>0</v>
      </c>
      <c r="BG15" s="193">
        <v>0</v>
      </c>
      <c r="BH15" s="238">
        <f t="shared" si="28"/>
        <v>0</v>
      </c>
      <c r="BI15" s="193">
        <v>0</v>
      </c>
      <c r="BJ15" s="238">
        <f t="shared" si="29"/>
        <v>0</v>
      </c>
      <c r="BK15" s="193">
        <v>0</v>
      </c>
      <c r="BL15" s="238">
        <f t="shared" si="30"/>
        <v>0</v>
      </c>
      <c r="BM15" s="193">
        <v>0</v>
      </c>
      <c r="BN15" s="238">
        <f t="shared" si="31"/>
        <v>0</v>
      </c>
      <c r="BO15" s="193">
        <v>0</v>
      </c>
      <c r="BP15" s="238">
        <f t="shared" si="32"/>
        <v>0</v>
      </c>
      <c r="BQ15" s="193">
        <v>0</v>
      </c>
      <c r="BR15" s="238">
        <f t="shared" si="33"/>
        <v>0</v>
      </c>
      <c r="BS15" s="225"/>
      <c r="BT15" s="239">
        <f t="shared" si="36"/>
        <v>10974.370000000001</v>
      </c>
      <c r="BU15" s="238">
        <f>+BT15*$B15</f>
        <v>543231.31500000006</v>
      </c>
    </row>
    <row r="16" spans="1:73" ht="14.25">
      <c r="A16" s="241">
        <v>1961</v>
      </c>
      <c r="B16" s="528">
        <f t="shared" si="37" ref="B16:B46">B17+1</f>
        <v>57.5</v>
      </c>
      <c r="C16" s="193">
        <v>0</v>
      </c>
      <c r="D16" s="238">
        <f t="shared" si="35"/>
        <v>0</v>
      </c>
      <c r="E16" s="193">
        <v>0</v>
      </c>
      <c r="F16" s="238">
        <f t="shared" si="1"/>
        <v>0</v>
      </c>
      <c r="G16" s="193">
        <v>0</v>
      </c>
      <c r="H16" s="238">
        <f t="shared" si="2"/>
        <v>0</v>
      </c>
      <c r="I16" s="193">
        <v>258.39999999999998</v>
      </c>
      <c r="J16" s="238">
        <f t="shared" si="3"/>
        <v>14857.999999999998</v>
      </c>
      <c r="K16" s="193">
        <v>0</v>
      </c>
      <c r="L16" s="238">
        <f t="shared" si="4"/>
        <v>0</v>
      </c>
      <c r="M16" s="193">
        <v>0</v>
      </c>
      <c r="N16" s="238">
        <f t="shared" si="5"/>
        <v>0</v>
      </c>
      <c r="O16" s="193">
        <v>0</v>
      </c>
      <c r="P16" s="238">
        <f t="shared" si="6"/>
        <v>0</v>
      </c>
      <c r="Q16" s="193">
        <v>0</v>
      </c>
      <c r="R16" s="238">
        <f t="shared" si="7"/>
        <v>0</v>
      </c>
      <c r="S16" s="193">
        <v>41.219999999999999</v>
      </c>
      <c r="T16" s="238">
        <f t="shared" si="8"/>
        <v>2370.1500000000001</v>
      </c>
      <c r="U16" s="193">
        <v>0</v>
      </c>
      <c r="V16" s="238">
        <f t="shared" si="9"/>
        <v>0</v>
      </c>
      <c r="W16" s="193">
        <v>0</v>
      </c>
      <c r="X16" s="238">
        <f t="shared" si="10"/>
        <v>0</v>
      </c>
      <c r="Y16" s="193">
        <v>0</v>
      </c>
      <c r="Z16" s="238">
        <f t="shared" si="11"/>
        <v>0</v>
      </c>
      <c r="AA16" s="193">
        <v>0</v>
      </c>
      <c r="AB16" s="238">
        <f t="shared" si="12"/>
        <v>0</v>
      </c>
      <c r="AC16" s="193">
        <v>0</v>
      </c>
      <c r="AD16" s="238">
        <f t="shared" si="13"/>
        <v>0</v>
      </c>
      <c r="AE16" s="193">
        <v>0</v>
      </c>
      <c r="AF16" s="238">
        <f t="shared" si="14"/>
        <v>0</v>
      </c>
      <c r="AG16" s="193">
        <v>0</v>
      </c>
      <c r="AH16" s="238">
        <f t="shared" si="15"/>
        <v>0</v>
      </c>
      <c r="AI16" s="193">
        <v>0</v>
      </c>
      <c r="AJ16" s="238">
        <f t="shared" si="16"/>
        <v>0</v>
      </c>
      <c r="AK16" s="193">
        <v>0</v>
      </c>
      <c r="AL16" s="238">
        <f t="shared" si="17"/>
        <v>0</v>
      </c>
      <c r="AM16" s="193">
        <v>0</v>
      </c>
      <c r="AN16" s="238">
        <f t="shared" si="18"/>
        <v>0</v>
      </c>
      <c r="AO16" s="193">
        <v>0</v>
      </c>
      <c r="AP16" s="238">
        <f t="shared" si="19"/>
        <v>0</v>
      </c>
      <c r="AQ16" s="193">
        <v>0</v>
      </c>
      <c r="AR16" s="238">
        <f t="shared" si="20"/>
        <v>0</v>
      </c>
      <c r="AS16" s="193">
        <v>0</v>
      </c>
      <c r="AT16" s="238">
        <f t="shared" si="21"/>
        <v>0</v>
      </c>
      <c r="AU16" s="193">
        <v>0</v>
      </c>
      <c r="AV16" s="238">
        <f t="shared" si="22"/>
        <v>0</v>
      </c>
      <c r="AW16" s="193">
        <v>0</v>
      </c>
      <c r="AX16" s="238">
        <f t="shared" si="23"/>
        <v>0</v>
      </c>
      <c r="AY16" s="193">
        <v>0</v>
      </c>
      <c r="AZ16" s="238">
        <f t="shared" si="24"/>
        <v>0</v>
      </c>
      <c r="BA16" s="193">
        <v>0</v>
      </c>
      <c r="BB16" s="238">
        <f t="shared" si="25"/>
        <v>0</v>
      </c>
      <c r="BC16" s="193">
        <v>0</v>
      </c>
      <c r="BD16" s="238">
        <f t="shared" si="26"/>
        <v>0</v>
      </c>
      <c r="BE16" s="193">
        <v>0</v>
      </c>
      <c r="BF16" s="238">
        <f t="shared" si="27"/>
        <v>0</v>
      </c>
      <c r="BG16" s="193">
        <v>0</v>
      </c>
      <c r="BH16" s="238">
        <f t="shared" si="28"/>
        <v>0</v>
      </c>
      <c r="BI16" s="193">
        <v>0</v>
      </c>
      <c r="BJ16" s="238">
        <f t="shared" si="29"/>
        <v>0</v>
      </c>
      <c r="BK16" s="193">
        <v>0</v>
      </c>
      <c r="BL16" s="238">
        <f t="shared" si="30"/>
        <v>0</v>
      </c>
      <c r="BM16" s="193">
        <v>0</v>
      </c>
      <c r="BN16" s="238">
        <f t="shared" si="31"/>
        <v>0</v>
      </c>
      <c r="BO16" s="193">
        <v>0</v>
      </c>
      <c r="BP16" s="238">
        <f t="shared" si="32"/>
        <v>0</v>
      </c>
      <c r="BQ16" s="193">
        <v>0</v>
      </c>
      <c r="BR16" s="238">
        <f t="shared" si="33"/>
        <v>0</v>
      </c>
      <c r="BS16" s="225"/>
      <c r="BT16" s="239">
        <f t="shared" si="36"/>
        <v>299.62</v>
      </c>
      <c r="BU16" s="238">
        <f t="shared" si="38" ref="BU16:BU46">+BT16*$B16</f>
        <v>17228.150000000001</v>
      </c>
    </row>
    <row r="17" spans="1:73" ht="14.25" hidden="1">
      <c r="A17" s="241">
        <v>1962</v>
      </c>
      <c r="B17" s="528">
        <f t="shared" si="37"/>
        <v>56.5</v>
      </c>
      <c r="C17" s="193">
        <v>0</v>
      </c>
      <c r="D17" s="238">
        <f t="shared" si="35"/>
        <v>0</v>
      </c>
      <c r="E17" s="193">
        <v>0</v>
      </c>
      <c r="F17" s="238">
        <f t="shared" si="1"/>
        <v>0</v>
      </c>
      <c r="G17" s="193">
        <v>0</v>
      </c>
      <c r="H17" s="238">
        <f t="shared" si="2"/>
        <v>0</v>
      </c>
      <c r="I17" s="193">
        <v>0</v>
      </c>
      <c r="J17" s="238">
        <f t="shared" si="3"/>
        <v>0</v>
      </c>
      <c r="K17" s="193">
        <v>0</v>
      </c>
      <c r="L17" s="238">
        <f t="shared" si="4"/>
        <v>0</v>
      </c>
      <c r="M17" s="193">
        <v>0</v>
      </c>
      <c r="N17" s="238">
        <f t="shared" si="5"/>
        <v>0</v>
      </c>
      <c r="O17" s="193">
        <v>0</v>
      </c>
      <c r="P17" s="238">
        <f t="shared" si="6"/>
        <v>0</v>
      </c>
      <c r="Q17" s="193">
        <v>0</v>
      </c>
      <c r="R17" s="238">
        <f t="shared" si="7"/>
        <v>0</v>
      </c>
      <c r="S17" s="193">
        <v>0</v>
      </c>
      <c r="T17" s="238">
        <f t="shared" si="8"/>
        <v>0</v>
      </c>
      <c r="U17" s="193">
        <v>0</v>
      </c>
      <c r="V17" s="238">
        <f t="shared" si="9"/>
        <v>0</v>
      </c>
      <c r="W17" s="193">
        <v>0</v>
      </c>
      <c r="X17" s="238">
        <f t="shared" si="10"/>
        <v>0</v>
      </c>
      <c r="Y17" s="193">
        <v>0</v>
      </c>
      <c r="Z17" s="238">
        <f t="shared" si="11"/>
        <v>0</v>
      </c>
      <c r="AA17" s="193">
        <v>0</v>
      </c>
      <c r="AB17" s="238">
        <f t="shared" si="12"/>
        <v>0</v>
      </c>
      <c r="AC17" s="193">
        <v>0</v>
      </c>
      <c r="AD17" s="238">
        <f t="shared" si="13"/>
        <v>0</v>
      </c>
      <c r="AE17" s="193">
        <v>0</v>
      </c>
      <c r="AF17" s="238">
        <f t="shared" si="14"/>
        <v>0</v>
      </c>
      <c r="AG17" s="193">
        <v>0</v>
      </c>
      <c r="AH17" s="238">
        <f t="shared" si="15"/>
        <v>0</v>
      </c>
      <c r="AI17" s="193">
        <v>0</v>
      </c>
      <c r="AJ17" s="238">
        <f t="shared" si="16"/>
        <v>0</v>
      </c>
      <c r="AK17" s="193">
        <v>0</v>
      </c>
      <c r="AL17" s="238">
        <f t="shared" si="17"/>
        <v>0</v>
      </c>
      <c r="AM17" s="193">
        <v>0</v>
      </c>
      <c r="AN17" s="238">
        <f t="shared" si="18"/>
        <v>0</v>
      </c>
      <c r="AO17" s="193">
        <v>0</v>
      </c>
      <c r="AP17" s="238">
        <f t="shared" si="19"/>
        <v>0</v>
      </c>
      <c r="AQ17" s="193">
        <v>0</v>
      </c>
      <c r="AR17" s="238">
        <f t="shared" si="20"/>
        <v>0</v>
      </c>
      <c r="AS17" s="193">
        <v>0</v>
      </c>
      <c r="AT17" s="238">
        <f t="shared" si="21"/>
        <v>0</v>
      </c>
      <c r="AU17" s="193">
        <v>0</v>
      </c>
      <c r="AV17" s="238">
        <f t="shared" si="22"/>
        <v>0</v>
      </c>
      <c r="AW17" s="193">
        <v>0</v>
      </c>
      <c r="AX17" s="238">
        <f t="shared" si="23"/>
        <v>0</v>
      </c>
      <c r="AY17" s="193">
        <v>0</v>
      </c>
      <c r="AZ17" s="238">
        <f t="shared" si="24"/>
        <v>0</v>
      </c>
      <c r="BA17" s="193">
        <v>0</v>
      </c>
      <c r="BB17" s="238">
        <f t="shared" si="25"/>
        <v>0</v>
      </c>
      <c r="BC17" s="193">
        <v>0</v>
      </c>
      <c r="BD17" s="238">
        <f t="shared" si="26"/>
        <v>0</v>
      </c>
      <c r="BE17" s="193">
        <v>0</v>
      </c>
      <c r="BF17" s="238">
        <f t="shared" si="27"/>
        <v>0</v>
      </c>
      <c r="BG17" s="193">
        <v>0</v>
      </c>
      <c r="BH17" s="238">
        <f t="shared" si="28"/>
        <v>0</v>
      </c>
      <c r="BI17" s="193">
        <v>0</v>
      </c>
      <c r="BJ17" s="238">
        <f t="shared" si="29"/>
        <v>0</v>
      </c>
      <c r="BK17" s="193">
        <v>0</v>
      </c>
      <c r="BL17" s="238">
        <f t="shared" si="30"/>
        <v>0</v>
      </c>
      <c r="BM17" s="193">
        <v>0</v>
      </c>
      <c r="BN17" s="238">
        <f t="shared" si="31"/>
        <v>0</v>
      </c>
      <c r="BO17" s="193">
        <v>0</v>
      </c>
      <c r="BP17" s="238">
        <f t="shared" si="32"/>
        <v>0</v>
      </c>
      <c r="BQ17" s="193">
        <v>0</v>
      </c>
      <c r="BR17" s="238">
        <f t="shared" si="33"/>
        <v>0</v>
      </c>
      <c r="BS17" s="225"/>
      <c r="BT17" s="239">
        <f t="shared" si="36"/>
        <v>0</v>
      </c>
      <c r="BU17" s="238">
        <f t="shared" si="38"/>
        <v>0</v>
      </c>
    </row>
    <row r="18" spans="1:73" ht="14.25" hidden="1">
      <c r="A18" s="241">
        <v>1963</v>
      </c>
      <c r="B18" s="528">
        <f t="shared" si="37"/>
        <v>55.5</v>
      </c>
      <c r="C18" s="193">
        <v>0</v>
      </c>
      <c r="D18" s="238">
        <f t="shared" si="35"/>
        <v>0</v>
      </c>
      <c r="E18" s="193">
        <v>0</v>
      </c>
      <c r="F18" s="238">
        <f t="shared" si="1"/>
        <v>0</v>
      </c>
      <c r="G18" s="193">
        <v>0</v>
      </c>
      <c r="H18" s="238">
        <f t="shared" si="2"/>
        <v>0</v>
      </c>
      <c r="I18" s="193">
        <v>0</v>
      </c>
      <c r="J18" s="238">
        <f t="shared" si="3"/>
        <v>0</v>
      </c>
      <c r="K18" s="193">
        <v>0</v>
      </c>
      <c r="L18" s="238">
        <f t="shared" si="4"/>
        <v>0</v>
      </c>
      <c r="M18" s="193">
        <v>0</v>
      </c>
      <c r="N18" s="238">
        <f t="shared" si="5"/>
        <v>0</v>
      </c>
      <c r="O18" s="193">
        <v>0</v>
      </c>
      <c r="P18" s="238">
        <f t="shared" si="6"/>
        <v>0</v>
      </c>
      <c r="Q18" s="193">
        <v>0</v>
      </c>
      <c r="R18" s="238">
        <f t="shared" si="7"/>
        <v>0</v>
      </c>
      <c r="S18" s="193">
        <v>0</v>
      </c>
      <c r="T18" s="238">
        <f t="shared" si="8"/>
        <v>0</v>
      </c>
      <c r="U18" s="193">
        <v>0</v>
      </c>
      <c r="V18" s="238">
        <f t="shared" si="9"/>
        <v>0</v>
      </c>
      <c r="W18" s="193">
        <v>0</v>
      </c>
      <c r="X18" s="238">
        <f t="shared" si="10"/>
        <v>0</v>
      </c>
      <c r="Y18" s="193">
        <v>0</v>
      </c>
      <c r="Z18" s="238">
        <f t="shared" si="11"/>
        <v>0</v>
      </c>
      <c r="AA18" s="193">
        <v>0</v>
      </c>
      <c r="AB18" s="238">
        <f t="shared" si="12"/>
        <v>0</v>
      </c>
      <c r="AC18" s="193">
        <v>0</v>
      </c>
      <c r="AD18" s="238">
        <f t="shared" si="13"/>
        <v>0</v>
      </c>
      <c r="AE18" s="193">
        <v>0</v>
      </c>
      <c r="AF18" s="238">
        <f t="shared" si="14"/>
        <v>0</v>
      </c>
      <c r="AG18" s="193">
        <v>0</v>
      </c>
      <c r="AH18" s="238">
        <f t="shared" si="15"/>
        <v>0</v>
      </c>
      <c r="AI18" s="193">
        <v>0</v>
      </c>
      <c r="AJ18" s="238">
        <f t="shared" si="16"/>
        <v>0</v>
      </c>
      <c r="AK18" s="193">
        <v>0</v>
      </c>
      <c r="AL18" s="238">
        <f t="shared" si="17"/>
        <v>0</v>
      </c>
      <c r="AM18" s="193">
        <v>0</v>
      </c>
      <c r="AN18" s="238">
        <f t="shared" si="18"/>
        <v>0</v>
      </c>
      <c r="AO18" s="193">
        <v>0</v>
      </c>
      <c r="AP18" s="238">
        <f t="shared" si="19"/>
        <v>0</v>
      </c>
      <c r="AQ18" s="193">
        <v>0</v>
      </c>
      <c r="AR18" s="238">
        <f t="shared" si="20"/>
        <v>0</v>
      </c>
      <c r="AS18" s="193">
        <v>0</v>
      </c>
      <c r="AT18" s="238">
        <f t="shared" si="21"/>
        <v>0</v>
      </c>
      <c r="AU18" s="193">
        <v>0</v>
      </c>
      <c r="AV18" s="238">
        <f t="shared" si="22"/>
        <v>0</v>
      </c>
      <c r="AW18" s="193">
        <v>0</v>
      </c>
      <c r="AX18" s="238">
        <f t="shared" si="23"/>
        <v>0</v>
      </c>
      <c r="AY18" s="193">
        <v>0</v>
      </c>
      <c r="AZ18" s="238">
        <f t="shared" si="24"/>
        <v>0</v>
      </c>
      <c r="BA18" s="193">
        <v>0</v>
      </c>
      <c r="BB18" s="238">
        <f t="shared" si="25"/>
        <v>0</v>
      </c>
      <c r="BC18" s="193">
        <v>0</v>
      </c>
      <c r="BD18" s="238">
        <f t="shared" si="26"/>
        <v>0</v>
      </c>
      <c r="BE18" s="193">
        <v>0</v>
      </c>
      <c r="BF18" s="238">
        <f t="shared" si="27"/>
        <v>0</v>
      </c>
      <c r="BG18" s="193">
        <v>0</v>
      </c>
      <c r="BH18" s="238">
        <f t="shared" si="28"/>
        <v>0</v>
      </c>
      <c r="BI18" s="193">
        <v>0</v>
      </c>
      <c r="BJ18" s="238">
        <f t="shared" si="29"/>
        <v>0</v>
      </c>
      <c r="BK18" s="193">
        <v>0</v>
      </c>
      <c r="BL18" s="238">
        <f t="shared" si="30"/>
        <v>0</v>
      </c>
      <c r="BM18" s="193">
        <v>0</v>
      </c>
      <c r="BN18" s="238">
        <f t="shared" si="31"/>
        <v>0</v>
      </c>
      <c r="BO18" s="193">
        <v>0</v>
      </c>
      <c r="BP18" s="238">
        <f t="shared" si="32"/>
        <v>0</v>
      </c>
      <c r="BQ18" s="193">
        <v>0</v>
      </c>
      <c r="BR18" s="238">
        <f t="shared" si="33"/>
        <v>0</v>
      </c>
      <c r="BS18" s="225"/>
      <c r="BT18" s="239">
        <f t="shared" si="36"/>
        <v>0</v>
      </c>
      <c r="BU18" s="238">
        <f t="shared" si="38"/>
        <v>0</v>
      </c>
    </row>
    <row r="19" spans="1:73" ht="14.25">
      <c r="A19" s="241">
        <v>1964</v>
      </c>
      <c r="B19" s="528">
        <f t="shared" si="37"/>
        <v>54.5</v>
      </c>
      <c r="C19" s="193">
        <v>0</v>
      </c>
      <c r="D19" s="238">
        <f t="shared" si="35"/>
        <v>0</v>
      </c>
      <c r="E19" s="193">
        <v>0</v>
      </c>
      <c r="F19" s="238">
        <f t="shared" si="1"/>
        <v>0</v>
      </c>
      <c r="G19" s="193">
        <v>150.56</v>
      </c>
      <c r="H19" s="238">
        <f t="shared" si="2"/>
        <v>8205.5200000000004</v>
      </c>
      <c r="I19" s="193">
        <v>3017.75</v>
      </c>
      <c r="J19" s="238">
        <f t="shared" si="3"/>
        <v>164467.375</v>
      </c>
      <c r="K19" s="193">
        <v>0</v>
      </c>
      <c r="L19" s="238">
        <f t="shared" si="4"/>
        <v>0</v>
      </c>
      <c r="M19" s="193">
        <v>0</v>
      </c>
      <c r="N19" s="238">
        <f t="shared" si="5"/>
        <v>0</v>
      </c>
      <c r="O19" s="193">
        <v>0</v>
      </c>
      <c r="P19" s="238">
        <f t="shared" si="6"/>
        <v>0</v>
      </c>
      <c r="Q19" s="193">
        <v>0</v>
      </c>
      <c r="R19" s="238">
        <f t="shared" si="7"/>
        <v>0</v>
      </c>
      <c r="S19" s="193">
        <v>0</v>
      </c>
      <c r="T19" s="238">
        <f t="shared" si="8"/>
        <v>0</v>
      </c>
      <c r="U19" s="193">
        <v>0</v>
      </c>
      <c r="V19" s="238">
        <f t="shared" si="9"/>
        <v>0</v>
      </c>
      <c r="W19" s="193">
        <v>0</v>
      </c>
      <c r="X19" s="238">
        <f t="shared" si="10"/>
        <v>0</v>
      </c>
      <c r="Y19" s="193">
        <v>0</v>
      </c>
      <c r="Z19" s="238">
        <f t="shared" si="11"/>
        <v>0</v>
      </c>
      <c r="AA19" s="193">
        <v>0</v>
      </c>
      <c r="AB19" s="238">
        <f t="shared" si="12"/>
        <v>0</v>
      </c>
      <c r="AC19" s="193">
        <v>0</v>
      </c>
      <c r="AD19" s="238">
        <f t="shared" si="13"/>
        <v>0</v>
      </c>
      <c r="AE19" s="193">
        <v>0</v>
      </c>
      <c r="AF19" s="238">
        <f t="shared" si="14"/>
        <v>0</v>
      </c>
      <c r="AG19" s="193">
        <v>0</v>
      </c>
      <c r="AH19" s="238">
        <f t="shared" si="15"/>
        <v>0</v>
      </c>
      <c r="AI19" s="193">
        <v>0</v>
      </c>
      <c r="AJ19" s="238">
        <f t="shared" si="16"/>
        <v>0</v>
      </c>
      <c r="AK19" s="193">
        <v>0</v>
      </c>
      <c r="AL19" s="238">
        <f t="shared" si="17"/>
        <v>0</v>
      </c>
      <c r="AM19" s="193">
        <v>0</v>
      </c>
      <c r="AN19" s="238">
        <f t="shared" si="18"/>
        <v>0</v>
      </c>
      <c r="AO19" s="193">
        <v>0</v>
      </c>
      <c r="AP19" s="238">
        <f t="shared" si="19"/>
        <v>0</v>
      </c>
      <c r="AQ19" s="193">
        <v>0</v>
      </c>
      <c r="AR19" s="238">
        <f t="shared" si="20"/>
        <v>0</v>
      </c>
      <c r="AS19" s="193">
        <v>0</v>
      </c>
      <c r="AT19" s="238">
        <f t="shared" si="21"/>
        <v>0</v>
      </c>
      <c r="AU19" s="193">
        <v>0</v>
      </c>
      <c r="AV19" s="238">
        <f t="shared" si="22"/>
        <v>0</v>
      </c>
      <c r="AW19" s="193">
        <v>0</v>
      </c>
      <c r="AX19" s="238">
        <f t="shared" si="23"/>
        <v>0</v>
      </c>
      <c r="AY19" s="193">
        <v>0</v>
      </c>
      <c r="AZ19" s="238">
        <f t="shared" si="24"/>
        <v>0</v>
      </c>
      <c r="BA19" s="193">
        <v>0</v>
      </c>
      <c r="BB19" s="238">
        <f t="shared" si="25"/>
        <v>0</v>
      </c>
      <c r="BC19" s="193">
        <v>0</v>
      </c>
      <c r="BD19" s="238">
        <f t="shared" si="26"/>
        <v>0</v>
      </c>
      <c r="BE19" s="193">
        <v>0</v>
      </c>
      <c r="BF19" s="238">
        <f t="shared" si="27"/>
        <v>0</v>
      </c>
      <c r="BG19" s="193">
        <v>0</v>
      </c>
      <c r="BH19" s="238">
        <f t="shared" si="28"/>
        <v>0</v>
      </c>
      <c r="BI19" s="193">
        <v>0</v>
      </c>
      <c r="BJ19" s="238">
        <f t="shared" si="29"/>
        <v>0</v>
      </c>
      <c r="BK19" s="193">
        <v>0</v>
      </c>
      <c r="BL19" s="238">
        <f t="shared" si="30"/>
        <v>0</v>
      </c>
      <c r="BM19" s="193">
        <v>0</v>
      </c>
      <c r="BN19" s="238">
        <f t="shared" si="31"/>
        <v>0</v>
      </c>
      <c r="BO19" s="193">
        <v>0</v>
      </c>
      <c r="BP19" s="238">
        <f t="shared" si="32"/>
        <v>0</v>
      </c>
      <c r="BQ19" s="193">
        <v>0</v>
      </c>
      <c r="BR19" s="238">
        <f t="shared" si="33"/>
        <v>0</v>
      </c>
      <c r="BS19" s="225"/>
      <c r="BT19" s="239">
        <f t="shared" si="36"/>
        <v>3168.3099999999999</v>
      </c>
      <c r="BU19" s="238">
        <f t="shared" si="38"/>
        <v>172672.89499999999</v>
      </c>
    </row>
    <row r="20" spans="1:73" ht="14.25">
      <c r="A20" s="241">
        <v>1965</v>
      </c>
      <c r="B20" s="528">
        <f t="shared" si="37"/>
        <v>53.5</v>
      </c>
      <c r="C20" s="193">
        <v>0</v>
      </c>
      <c r="D20" s="238">
        <f t="shared" si="35"/>
        <v>0</v>
      </c>
      <c r="E20" s="193">
        <v>0</v>
      </c>
      <c r="F20" s="238">
        <f t="shared" si="1"/>
        <v>0</v>
      </c>
      <c r="G20" s="193">
        <v>0</v>
      </c>
      <c r="H20" s="238">
        <f t="shared" si="2"/>
        <v>0</v>
      </c>
      <c r="I20" s="193">
        <v>0</v>
      </c>
      <c r="J20" s="238">
        <f t="shared" si="3"/>
        <v>0</v>
      </c>
      <c r="K20" s="193">
        <v>0</v>
      </c>
      <c r="L20" s="238">
        <f t="shared" si="4"/>
        <v>0</v>
      </c>
      <c r="M20" s="193">
        <v>0</v>
      </c>
      <c r="N20" s="238">
        <f t="shared" si="5"/>
        <v>0</v>
      </c>
      <c r="O20" s="193">
        <v>0</v>
      </c>
      <c r="P20" s="238">
        <f t="shared" si="6"/>
        <v>0</v>
      </c>
      <c r="Q20" s="193">
        <v>0</v>
      </c>
      <c r="R20" s="238">
        <f t="shared" si="7"/>
        <v>0</v>
      </c>
      <c r="S20" s="193">
        <v>511.31999999999999</v>
      </c>
      <c r="T20" s="238">
        <f t="shared" si="8"/>
        <v>27355.619999999999</v>
      </c>
      <c r="U20" s="193">
        <v>0</v>
      </c>
      <c r="V20" s="238">
        <f t="shared" si="9"/>
        <v>0</v>
      </c>
      <c r="W20" s="193">
        <v>0</v>
      </c>
      <c r="X20" s="238">
        <f t="shared" si="10"/>
        <v>0</v>
      </c>
      <c r="Y20" s="193">
        <v>0</v>
      </c>
      <c r="Z20" s="238">
        <f t="shared" si="11"/>
        <v>0</v>
      </c>
      <c r="AA20" s="193">
        <v>0</v>
      </c>
      <c r="AB20" s="238">
        <f t="shared" si="12"/>
        <v>0</v>
      </c>
      <c r="AC20" s="193">
        <v>0</v>
      </c>
      <c r="AD20" s="238">
        <f t="shared" si="13"/>
        <v>0</v>
      </c>
      <c r="AE20" s="193">
        <v>0</v>
      </c>
      <c r="AF20" s="238">
        <f t="shared" si="14"/>
        <v>0</v>
      </c>
      <c r="AG20" s="193">
        <v>0</v>
      </c>
      <c r="AH20" s="238">
        <f t="shared" si="15"/>
        <v>0</v>
      </c>
      <c r="AI20" s="193">
        <v>0</v>
      </c>
      <c r="AJ20" s="238">
        <f t="shared" si="16"/>
        <v>0</v>
      </c>
      <c r="AK20" s="193">
        <v>0</v>
      </c>
      <c r="AL20" s="238">
        <f t="shared" si="17"/>
        <v>0</v>
      </c>
      <c r="AM20" s="193">
        <v>0</v>
      </c>
      <c r="AN20" s="238">
        <f t="shared" si="18"/>
        <v>0</v>
      </c>
      <c r="AO20" s="193">
        <v>0</v>
      </c>
      <c r="AP20" s="238">
        <f t="shared" si="19"/>
        <v>0</v>
      </c>
      <c r="AQ20" s="193">
        <v>0</v>
      </c>
      <c r="AR20" s="238">
        <f t="shared" si="20"/>
        <v>0</v>
      </c>
      <c r="AS20" s="193">
        <v>0</v>
      </c>
      <c r="AT20" s="238">
        <f t="shared" si="21"/>
        <v>0</v>
      </c>
      <c r="AU20" s="193">
        <v>0</v>
      </c>
      <c r="AV20" s="238">
        <f t="shared" si="22"/>
        <v>0</v>
      </c>
      <c r="AW20" s="193">
        <v>0</v>
      </c>
      <c r="AX20" s="238">
        <f t="shared" si="23"/>
        <v>0</v>
      </c>
      <c r="AY20" s="193">
        <v>0</v>
      </c>
      <c r="AZ20" s="238">
        <f t="shared" si="24"/>
        <v>0</v>
      </c>
      <c r="BA20" s="193">
        <v>0</v>
      </c>
      <c r="BB20" s="238">
        <f t="shared" si="25"/>
        <v>0</v>
      </c>
      <c r="BC20" s="193">
        <v>0</v>
      </c>
      <c r="BD20" s="238">
        <f t="shared" si="26"/>
        <v>0</v>
      </c>
      <c r="BE20" s="193">
        <v>0</v>
      </c>
      <c r="BF20" s="238">
        <f t="shared" si="27"/>
        <v>0</v>
      </c>
      <c r="BG20" s="193">
        <v>0</v>
      </c>
      <c r="BH20" s="238">
        <f t="shared" si="28"/>
        <v>0</v>
      </c>
      <c r="BI20" s="193">
        <v>0</v>
      </c>
      <c r="BJ20" s="238">
        <f t="shared" si="29"/>
        <v>0</v>
      </c>
      <c r="BK20" s="193">
        <v>0</v>
      </c>
      <c r="BL20" s="238">
        <f t="shared" si="30"/>
        <v>0</v>
      </c>
      <c r="BM20" s="193">
        <v>0</v>
      </c>
      <c r="BN20" s="238">
        <f t="shared" si="31"/>
        <v>0</v>
      </c>
      <c r="BO20" s="193">
        <v>0</v>
      </c>
      <c r="BP20" s="238">
        <f t="shared" si="32"/>
        <v>0</v>
      </c>
      <c r="BQ20" s="193">
        <v>0</v>
      </c>
      <c r="BR20" s="238">
        <f t="shared" si="33"/>
        <v>0</v>
      </c>
      <c r="BS20" s="225"/>
      <c r="BT20" s="239">
        <f t="shared" si="36"/>
        <v>511.31999999999999</v>
      </c>
      <c r="BU20" s="238">
        <f t="shared" si="38"/>
        <v>27355.619999999999</v>
      </c>
    </row>
    <row r="21" spans="1:73" ht="14.25">
      <c r="A21" s="241">
        <v>1966</v>
      </c>
      <c r="B21" s="528">
        <f t="shared" si="37"/>
        <v>52.5</v>
      </c>
      <c r="C21" s="193">
        <v>0</v>
      </c>
      <c r="D21" s="238">
        <f t="shared" si="35"/>
        <v>0</v>
      </c>
      <c r="E21" s="193">
        <v>0</v>
      </c>
      <c r="F21" s="238">
        <f t="shared" si="1"/>
        <v>0</v>
      </c>
      <c r="G21" s="193">
        <v>0</v>
      </c>
      <c r="H21" s="238">
        <f t="shared" si="2"/>
        <v>0</v>
      </c>
      <c r="I21" s="193">
        <v>0</v>
      </c>
      <c r="J21" s="238">
        <f t="shared" si="3"/>
        <v>0</v>
      </c>
      <c r="K21" s="193">
        <v>0</v>
      </c>
      <c r="L21" s="238">
        <f t="shared" si="4"/>
        <v>0</v>
      </c>
      <c r="M21" s="193">
        <v>0</v>
      </c>
      <c r="N21" s="238">
        <f t="shared" si="5"/>
        <v>0</v>
      </c>
      <c r="O21" s="193">
        <v>0</v>
      </c>
      <c r="P21" s="238">
        <f t="shared" si="6"/>
        <v>0</v>
      </c>
      <c r="Q21" s="193">
        <v>0</v>
      </c>
      <c r="R21" s="238">
        <f t="shared" si="7"/>
        <v>0</v>
      </c>
      <c r="S21" s="193">
        <v>124.44</v>
      </c>
      <c r="T21" s="238">
        <f t="shared" si="8"/>
        <v>6533.0999999999995</v>
      </c>
      <c r="U21" s="193">
        <v>0</v>
      </c>
      <c r="V21" s="238">
        <f t="shared" si="9"/>
        <v>0</v>
      </c>
      <c r="W21" s="193">
        <v>0</v>
      </c>
      <c r="X21" s="238">
        <f t="shared" si="10"/>
        <v>0</v>
      </c>
      <c r="Y21" s="193">
        <v>0</v>
      </c>
      <c r="Z21" s="238">
        <f t="shared" si="11"/>
        <v>0</v>
      </c>
      <c r="AA21" s="193">
        <v>0</v>
      </c>
      <c r="AB21" s="238">
        <f t="shared" si="12"/>
        <v>0</v>
      </c>
      <c r="AC21" s="193">
        <v>0</v>
      </c>
      <c r="AD21" s="238">
        <f t="shared" si="13"/>
        <v>0</v>
      </c>
      <c r="AE21" s="193">
        <v>0</v>
      </c>
      <c r="AF21" s="238">
        <f t="shared" si="14"/>
        <v>0</v>
      </c>
      <c r="AG21" s="193">
        <v>0</v>
      </c>
      <c r="AH21" s="238">
        <f t="shared" si="15"/>
        <v>0</v>
      </c>
      <c r="AI21" s="193">
        <v>0</v>
      </c>
      <c r="AJ21" s="238">
        <f t="shared" si="16"/>
        <v>0</v>
      </c>
      <c r="AK21" s="193">
        <v>0</v>
      </c>
      <c r="AL21" s="238">
        <f t="shared" si="17"/>
        <v>0</v>
      </c>
      <c r="AM21" s="193">
        <v>0</v>
      </c>
      <c r="AN21" s="238">
        <f t="shared" si="18"/>
        <v>0</v>
      </c>
      <c r="AO21" s="193">
        <v>0</v>
      </c>
      <c r="AP21" s="238">
        <f t="shared" si="19"/>
        <v>0</v>
      </c>
      <c r="AQ21" s="193">
        <v>0</v>
      </c>
      <c r="AR21" s="238">
        <f t="shared" si="20"/>
        <v>0</v>
      </c>
      <c r="AS21" s="193">
        <v>0</v>
      </c>
      <c r="AT21" s="238">
        <f t="shared" si="21"/>
        <v>0</v>
      </c>
      <c r="AU21" s="193">
        <v>0</v>
      </c>
      <c r="AV21" s="238">
        <f t="shared" si="22"/>
        <v>0</v>
      </c>
      <c r="AW21" s="193">
        <v>0</v>
      </c>
      <c r="AX21" s="238">
        <f t="shared" si="23"/>
        <v>0</v>
      </c>
      <c r="AY21" s="193">
        <v>0</v>
      </c>
      <c r="AZ21" s="238">
        <f t="shared" si="24"/>
        <v>0</v>
      </c>
      <c r="BA21" s="193">
        <v>0</v>
      </c>
      <c r="BB21" s="238">
        <f t="shared" si="25"/>
        <v>0</v>
      </c>
      <c r="BC21" s="193">
        <v>0</v>
      </c>
      <c r="BD21" s="238">
        <f t="shared" si="26"/>
        <v>0</v>
      </c>
      <c r="BE21" s="193">
        <v>0</v>
      </c>
      <c r="BF21" s="238">
        <f t="shared" si="27"/>
        <v>0</v>
      </c>
      <c r="BG21" s="193">
        <v>0</v>
      </c>
      <c r="BH21" s="238">
        <f t="shared" si="28"/>
        <v>0</v>
      </c>
      <c r="BI21" s="193">
        <v>0</v>
      </c>
      <c r="BJ21" s="238">
        <f t="shared" si="29"/>
        <v>0</v>
      </c>
      <c r="BK21" s="193">
        <v>0</v>
      </c>
      <c r="BL21" s="238">
        <f t="shared" si="30"/>
        <v>0</v>
      </c>
      <c r="BM21" s="193">
        <v>0</v>
      </c>
      <c r="BN21" s="238">
        <f t="shared" si="31"/>
        <v>0</v>
      </c>
      <c r="BO21" s="193">
        <v>0</v>
      </c>
      <c r="BP21" s="238">
        <f t="shared" si="32"/>
        <v>0</v>
      </c>
      <c r="BQ21" s="193">
        <v>0</v>
      </c>
      <c r="BR21" s="238">
        <f t="shared" si="33"/>
        <v>0</v>
      </c>
      <c r="BS21" s="225"/>
      <c r="BT21" s="239">
        <f t="shared" si="36"/>
        <v>124.44</v>
      </c>
      <c r="BU21" s="238">
        <f t="shared" si="38"/>
        <v>6533.0999999999995</v>
      </c>
    </row>
    <row r="22" spans="1:73" ht="14.25">
      <c r="A22" s="241">
        <v>1967</v>
      </c>
      <c r="B22" s="528">
        <f t="shared" si="37"/>
        <v>51.5</v>
      </c>
      <c r="C22" s="193">
        <v>0</v>
      </c>
      <c r="D22" s="238">
        <f t="shared" si="35"/>
        <v>0</v>
      </c>
      <c r="E22" s="193">
        <v>0</v>
      </c>
      <c r="F22" s="238">
        <f t="shared" si="1"/>
        <v>0</v>
      </c>
      <c r="G22" s="193">
        <v>0</v>
      </c>
      <c r="H22" s="238">
        <f t="shared" si="2"/>
        <v>0</v>
      </c>
      <c r="I22" s="193">
        <v>0</v>
      </c>
      <c r="J22" s="238">
        <f t="shared" si="3"/>
        <v>0</v>
      </c>
      <c r="K22" s="193">
        <v>0</v>
      </c>
      <c r="L22" s="238">
        <f t="shared" si="4"/>
        <v>0</v>
      </c>
      <c r="M22" s="193">
        <v>0</v>
      </c>
      <c r="N22" s="238">
        <f t="shared" si="5"/>
        <v>0</v>
      </c>
      <c r="O22" s="193">
        <v>0</v>
      </c>
      <c r="P22" s="238">
        <f t="shared" si="6"/>
        <v>0</v>
      </c>
      <c r="Q22" s="193">
        <v>0</v>
      </c>
      <c r="R22" s="238">
        <f t="shared" si="7"/>
        <v>0</v>
      </c>
      <c r="S22" s="193">
        <v>231.78999999999999</v>
      </c>
      <c r="T22" s="238">
        <f t="shared" si="8"/>
        <v>11937.184999999999</v>
      </c>
      <c r="U22" s="193">
        <v>0</v>
      </c>
      <c r="V22" s="238">
        <f t="shared" si="9"/>
        <v>0</v>
      </c>
      <c r="W22" s="193">
        <v>0</v>
      </c>
      <c r="X22" s="238">
        <f t="shared" si="10"/>
        <v>0</v>
      </c>
      <c r="Y22" s="193">
        <v>0</v>
      </c>
      <c r="Z22" s="238">
        <f t="shared" si="11"/>
        <v>0</v>
      </c>
      <c r="AA22" s="193">
        <v>0</v>
      </c>
      <c r="AB22" s="238">
        <f t="shared" si="12"/>
        <v>0</v>
      </c>
      <c r="AC22" s="193">
        <v>0</v>
      </c>
      <c r="AD22" s="238">
        <f t="shared" si="13"/>
        <v>0</v>
      </c>
      <c r="AE22" s="193">
        <v>0</v>
      </c>
      <c r="AF22" s="238">
        <f t="shared" si="14"/>
        <v>0</v>
      </c>
      <c r="AG22" s="193">
        <v>0</v>
      </c>
      <c r="AH22" s="238">
        <f t="shared" si="15"/>
        <v>0</v>
      </c>
      <c r="AI22" s="193">
        <v>0</v>
      </c>
      <c r="AJ22" s="238">
        <f t="shared" si="16"/>
        <v>0</v>
      </c>
      <c r="AK22" s="193">
        <v>0</v>
      </c>
      <c r="AL22" s="238">
        <f t="shared" si="17"/>
        <v>0</v>
      </c>
      <c r="AM22" s="193">
        <v>0</v>
      </c>
      <c r="AN22" s="238">
        <f t="shared" si="18"/>
        <v>0</v>
      </c>
      <c r="AO22" s="193">
        <v>0</v>
      </c>
      <c r="AP22" s="238">
        <f t="shared" si="19"/>
        <v>0</v>
      </c>
      <c r="AQ22" s="193">
        <v>0</v>
      </c>
      <c r="AR22" s="238">
        <f t="shared" si="20"/>
        <v>0</v>
      </c>
      <c r="AS22" s="193">
        <v>0</v>
      </c>
      <c r="AT22" s="238">
        <f t="shared" si="21"/>
        <v>0</v>
      </c>
      <c r="AU22" s="193">
        <v>0</v>
      </c>
      <c r="AV22" s="238">
        <f t="shared" si="22"/>
        <v>0</v>
      </c>
      <c r="AW22" s="193">
        <v>0</v>
      </c>
      <c r="AX22" s="238">
        <f t="shared" si="23"/>
        <v>0</v>
      </c>
      <c r="AY22" s="193">
        <v>0</v>
      </c>
      <c r="AZ22" s="238">
        <f t="shared" si="24"/>
        <v>0</v>
      </c>
      <c r="BA22" s="193">
        <v>0</v>
      </c>
      <c r="BB22" s="238">
        <f t="shared" si="25"/>
        <v>0</v>
      </c>
      <c r="BC22" s="193">
        <v>0</v>
      </c>
      <c r="BD22" s="238">
        <f t="shared" si="26"/>
        <v>0</v>
      </c>
      <c r="BE22" s="193">
        <v>0</v>
      </c>
      <c r="BF22" s="238">
        <f t="shared" si="27"/>
        <v>0</v>
      </c>
      <c r="BG22" s="193">
        <v>0</v>
      </c>
      <c r="BH22" s="238">
        <f t="shared" si="28"/>
        <v>0</v>
      </c>
      <c r="BI22" s="193">
        <v>0</v>
      </c>
      <c r="BJ22" s="238">
        <f t="shared" si="29"/>
        <v>0</v>
      </c>
      <c r="BK22" s="193">
        <v>0</v>
      </c>
      <c r="BL22" s="238">
        <f t="shared" si="30"/>
        <v>0</v>
      </c>
      <c r="BM22" s="193">
        <v>0</v>
      </c>
      <c r="BN22" s="238">
        <f t="shared" si="31"/>
        <v>0</v>
      </c>
      <c r="BO22" s="193">
        <v>0</v>
      </c>
      <c r="BP22" s="238">
        <f t="shared" si="32"/>
        <v>0</v>
      </c>
      <c r="BQ22" s="193">
        <v>0</v>
      </c>
      <c r="BR22" s="238">
        <f t="shared" si="33"/>
        <v>0</v>
      </c>
      <c r="BS22" s="225"/>
      <c r="BT22" s="239">
        <f t="shared" si="36"/>
        <v>231.78999999999999</v>
      </c>
      <c r="BU22" s="238">
        <f t="shared" si="38"/>
        <v>11937.184999999999</v>
      </c>
    </row>
    <row r="23" spans="1:73" ht="14.25">
      <c r="A23" s="241">
        <v>1968</v>
      </c>
      <c r="B23" s="528">
        <f t="shared" si="37"/>
        <v>50.5</v>
      </c>
      <c r="C23" s="193">
        <v>0</v>
      </c>
      <c r="D23" s="238">
        <f t="shared" si="35"/>
        <v>0</v>
      </c>
      <c r="E23" s="193">
        <v>0</v>
      </c>
      <c r="F23" s="238">
        <f t="shared" si="1"/>
        <v>0</v>
      </c>
      <c r="G23" s="193">
        <v>0</v>
      </c>
      <c r="H23" s="238">
        <f t="shared" si="2"/>
        <v>0</v>
      </c>
      <c r="I23" s="193">
        <v>0</v>
      </c>
      <c r="J23" s="238">
        <f t="shared" si="3"/>
        <v>0</v>
      </c>
      <c r="K23" s="193">
        <v>0</v>
      </c>
      <c r="L23" s="238">
        <f t="shared" si="4"/>
        <v>0</v>
      </c>
      <c r="M23" s="193">
        <v>0</v>
      </c>
      <c r="N23" s="238">
        <f t="shared" si="5"/>
        <v>0</v>
      </c>
      <c r="O23" s="193">
        <v>0</v>
      </c>
      <c r="P23" s="238">
        <f t="shared" si="6"/>
        <v>0</v>
      </c>
      <c r="Q23" s="193">
        <v>5986</v>
      </c>
      <c r="R23" s="238">
        <f t="shared" si="7"/>
        <v>302293</v>
      </c>
      <c r="S23" s="193">
        <v>92696</v>
      </c>
      <c r="T23" s="238">
        <f t="shared" si="8"/>
        <v>4681148</v>
      </c>
      <c r="U23" s="193">
        <v>0</v>
      </c>
      <c r="V23" s="238">
        <f t="shared" si="9"/>
        <v>0</v>
      </c>
      <c r="W23" s="193">
        <v>0</v>
      </c>
      <c r="X23" s="238">
        <f t="shared" si="10"/>
        <v>0</v>
      </c>
      <c r="Y23" s="193">
        <v>0</v>
      </c>
      <c r="Z23" s="238">
        <f t="shared" si="11"/>
        <v>0</v>
      </c>
      <c r="AA23" s="193">
        <v>0</v>
      </c>
      <c r="AB23" s="238">
        <f t="shared" si="12"/>
        <v>0</v>
      </c>
      <c r="AC23" s="193">
        <v>0</v>
      </c>
      <c r="AD23" s="238">
        <f t="shared" si="13"/>
        <v>0</v>
      </c>
      <c r="AE23" s="193">
        <v>0</v>
      </c>
      <c r="AF23" s="238">
        <f t="shared" si="14"/>
        <v>0</v>
      </c>
      <c r="AG23" s="193">
        <v>0</v>
      </c>
      <c r="AH23" s="238">
        <f t="shared" si="15"/>
        <v>0</v>
      </c>
      <c r="AI23" s="193">
        <v>0</v>
      </c>
      <c r="AJ23" s="238">
        <f t="shared" si="16"/>
        <v>0</v>
      </c>
      <c r="AK23" s="193">
        <v>0</v>
      </c>
      <c r="AL23" s="238">
        <f t="shared" si="17"/>
        <v>0</v>
      </c>
      <c r="AM23" s="193">
        <v>0</v>
      </c>
      <c r="AN23" s="238">
        <f t="shared" si="18"/>
        <v>0</v>
      </c>
      <c r="AO23" s="193">
        <v>0</v>
      </c>
      <c r="AP23" s="238">
        <f t="shared" si="19"/>
        <v>0</v>
      </c>
      <c r="AQ23" s="193">
        <v>0</v>
      </c>
      <c r="AR23" s="238">
        <f t="shared" si="20"/>
        <v>0</v>
      </c>
      <c r="AS23" s="193">
        <v>0</v>
      </c>
      <c r="AT23" s="238">
        <f t="shared" si="21"/>
        <v>0</v>
      </c>
      <c r="AU23" s="193">
        <v>0</v>
      </c>
      <c r="AV23" s="238">
        <f t="shared" si="22"/>
        <v>0</v>
      </c>
      <c r="AW23" s="193">
        <v>0</v>
      </c>
      <c r="AX23" s="238">
        <f t="shared" si="23"/>
        <v>0</v>
      </c>
      <c r="AY23" s="193">
        <v>0</v>
      </c>
      <c r="AZ23" s="238">
        <f t="shared" si="24"/>
        <v>0</v>
      </c>
      <c r="BA23" s="193">
        <v>0</v>
      </c>
      <c r="BB23" s="238">
        <f t="shared" si="25"/>
        <v>0</v>
      </c>
      <c r="BC23" s="193">
        <v>0</v>
      </c>
      <c r="BD23" s="238">
        <f t="shared" si="26"/>
        <v>0</v>
      </c>
      <c r="BE23" s="193">
        <v>0</v>
      </c>
      <c r="BF23" s="238">
        <f t="shared" si="27"/>
        <v>0</v>
      </c>
      <c r="BG23" s="193">
        <v>0</v>
      </c>
      <c r="BH23" s="238">
        <f t="shared" si="28"/>
        <v>0</v>
      </c>
      <c r="BI23" s="193">
        <v>0</v>
      </c>
      <c r="BJ23" s="238">
        <f t="shared" si="29"/>
        <v>0</v>
      </c>
      <c r="BK23" s="193">
        <v>0</v>
      </c>
      <c r="BL23" s="238">
        <f t="shared" si="30"/>
        <v>0</v>
      </c>
      <c r="BM23" s="193">
        <v>0</v>
      </c>
      <c r="BN23" s="238">
        <f t="shared" si="31"/>
        <v>0</v>
      </c>
      <c r="BO23" s="193">
        <v>0</v>
      </c>
      <c r="BP23" s="238">
        <f t="shared" si="32"/>
        <v>0</v>
      </c>
      <c r="BQ23" s="193">
        <v>0</v>
      </c>
      <c r="BR23" s="238">
        <f t="shared" si="33"/>
        <v>0</v>
      </c>
      <c r="BS23" s="225"/>
      <c r="BT23" s="239">
        <f t="shared" si="36"/>
        <v>98682</v>
      </c>
      <c r="BU23" s="238">
        <f t="shared" si="38"/>
        <v>4983441</v>
      </c>
    </row>
    <row r="24" spans="1:73" ht="14.25" hidden="1">
      <c r="A24" s="241">
        <v>1969</v>
      </c>
      <c r="B24" s="528">
        <f t="shared" si="37"/>
        <v>49.5</v>
      </c>
      <c r="C24" s="193">
        <v>0</v>
      </c>
      <c r="D24" s="238">
        <f t="shared" si="35"/>
        <v>0</v>
      </c>
      <c r="E24" s="193">
        <v>0</v>
      </c>
      <c r="F24" s="238">
        <f t="shared" si="1"/>
        <v>0</v>
      </c>
      <c r="G24" s="193">
        <v>0</v>
      </c>
      <c r="H24" s="238">
        <f t="shared" si="2"/>
        <v>0</v>
      </c>
      <c r="I24" s="193">
        <v>0</v>
      </c>
      <c r="J24" s="238">
        <f t="shared" si="3"/>
        <v>0</v>
      </c>
      <c r="K24" s="193">
        <v>0</v>
      </c>
      <c r="L24" s="238">
        <f t="shared" si="4"/>
        <v>0</v>
      </c>
      <c r="M24" s="193">
        <v>0</v>
      </c>
      <c r="N24" s="238">
        <f t="shared" si="5"/>
        <v>0</v>
      </c>
      <c r="O24" s="193">
        <v>0</v>
      </c>
      <c r="P24" s="238">
        <f t="shared" si="6"/>
        <v>0</v>
      </c>
      <c r="Q24" s="193">
        <v>0</v>
      </c>
      <c r="R24" s="238">
        <f t="shared" si="7"/>
        <v>0</v>
      </c>
      <c r="S24" s="193">
        <v>0</v>
      </c>
      <c r="T24" s="238">
        <f t="shared" si="8"/>
        <v>0</v>
      </c>
      <c r="U24" s="193">
        <v>0</v>
      </c>
      <c r="V24" s="238">
        <f t="shared" si="9"/>
        <v>0</v>
      </c>
      <c r="W24" s="193">
        <v>0</v>
      </c>
      <c r="X24" s="238">
        <f t="shared" si="10"/>
        <v>0</v>
      </c>
      <c r="Y24" s="193">
        <v>0</v>
      </c>
      <c r="Z24" s="238">
        <f t="shared" si="11"/>
        <v>0</v>
      </c>
      <c r="AA24" s="193">
        <v>0</v>
      </c>
      <c r="AB24" s="238">
        <f t="shared" si="12"/>
        <v>0</v>
      </c>
      <c r="AC24" s="193">
        <v>0</v>
      </c>
      <c r="AD24" s="238">
        <f t="shared" si="13"/>
        <v>0</v>
      </c>
      <c r="AE24" s="193">
        <v>0</v>
      </c>
      <c r="AF24" s="238">
        <f t="shared" si="14"/>
        <v>0</v>
      </c>
      <c r="AG24" s="193">
        <v>0</v>
      </c>
      <c r="AH24" s="238">
        <f t="shared" si="15"/>
        <v>0</v>
      </c>
      <c r="AI24" s="193">
        <v>0</v>
      </c>
      <c r="AJ24" s="238">
        <f t="shared" si="16"/>
        <v>0</v>
      </c>
      <c r="AK24" s="193">
        <v>0</v>
      </c>
      <c r="AL24" s="238">
        <f t="shared" si="17"/>
        <v>0</v>
      </c>
      <c r="AM24" s="193">
        <v>0</v>
      </c>
      <c r="AN24" s="238">
        <f t="shared" si="18"/>
        <v>0</v>
      </c>
      <c r="AO24" s="193">
        <v>0</v>
      </c>
      <c r="AP24" s="238">
        <f t="shared" si="19"/>
        <v>0</v>
      </c>
      <c r="AQ24" s="193">
        <v>0</v>
      </c>
      <c r="AR24" s="238">
        <f t="shared" si="20"/>
        <v>0</v>
      </c>
      <c r="AS24" s="193">
        <v>0</v>
      </c>
      <c r="AT24" s="238">
        <f t="shared" si="21"/>
        <v>0</v>
      </c>
      <c r="AU24" s="193">
        <v>0</v>
      </c>
      <c r="AV24" s="238">
        <f t="shared" si="22"/>
        <v>0</v>
      </c>
      <c r="AW24" s="193">
        <v>0</v>
      </c>
      <c r="AX24" s="238">
        <f t="shared" si="23"/>
        <v>0</v>
      </c>
      <c r="AY24" s="193">
        <v>0</v>
      </c>
      <c r="AZ24" s="238">
        <f t="shared" si="24"/>
        <v>0</v>
      </c>
      <c r="BA24" s="193">
        <v>0</v>
      </c>
      <c r="BB24" s="238">
        <f t="shared" si="25"/>
        <v>0</v>
      </c>
      <c r="BC24" s="193">
        <v>0</v>
      </c>
      <c r="BD24" s="238">
        <f t="shared" si="26"/>
        <v>0</v>
      </c>
      <c r="BE24" s="193">
        <v>0</v>
      </c>
      <c r="BF24" s="238">
        <f t="shared" si="27"/>
        <v>0</v>
      </c>
      <c r="BG24" s="193">
        <v>0</v>
      </c>
      <c r="BH24" s="238">
        <f t="shared" si="28"/>
        <v>0</v>
      </c>
      <c r="BI24" s="193">
        <v>0</v>
      </c>
      <c r="BJ24" s="238">
        <f t="shared" si="29"/>
        <v>0</v>
      </c>
      <c r="BK24" s="193">
        <v>0</v>
      </c>
      <c r="BL24" s="238">
        <f t="shared" si="30"/>
        <v>0</v>
      </c>
      <c r="BM24" s="193">
        <v>0</v>
      </c>
      <c r="BN24" s="238">
        <f t="shared" si="31"/>
        <v>0</v>
      </c>
      <c r="BO24" s="193">
        <v>0</v>
      </c>
      <c r="BP24" s="238">
        <f t="shared" si="32"/>
        <v>0</v>
      </c>
      <c r="BQ24" s="193">
        <v>0</v>
      </c>
      <c r="BR24" s="238">
        <f t="shared" si="33"/>
        <v>0</v>
      </c>
      <c r="BS24" s="225"/>
      <c r="BT24" s="239">
        <f t="shared" si="36"/>
        <v>0</v>
      </c>
      <c r="BU24" s="238">
        <f t="shared" si="38"/>
        <v>0</v>
      </c>
    </row>
    <row r="25" spans="1:73" ht="14.25">
      <c r="A25" s="241">
        <v>1970</v>
      </c>
      <c r="B25" s="528">
        <f t="shared" si="37"/>
        <v>48.5</v>
      </c>
      <c r="C25" s="193">
        <v>0</v>
      </c>
      <c r="D25" s="238">
        <f t="shared" si="35"/>
        <v>0</v>
      </c>
      <c r="E25" s="193">
        <v>0</v>
      </c>
      <c r="F25" s="238">
        <f t="shared" si="1"/>
        <v>0</v>
      </c>
      <c r="G25" s="193">
        <v>11355.82</v>
      </c>
      <c r="H25" s="238">
        <f t="shared" si="2"/>
        <v>550757.27000000002</v>
      </c>
      <c r="I25" s="193">
        <v>0</v>
      </c>
      <c r="J25" s="238">
        <f t="shared" si="3"/>
        <v>0</v>
      </c>
      <c r="K25" s="193">
        <v>0</v>
      </c>
      <c r="L25" s="238">
        <f t="shared" si="4"/>
        <v>0</v>
      </c>
      <c r="M25" s="193">
        <v>0</v>
      </c>
      <c r="N25" s="238">
        <f t="shared" si="5"/>
        <v>0</v>
      </c>
      <c r="O25" s="193">
        <v>0</v>
      </c>
      <c r="P25" s="238">
        <f t="shared" si="6"/>
        <v>0</v>
      </c>
      <c r="Q25" s="193">
        <v>2867.7600000000002</v>
      </c>
      <c r="R25" s="238">
        <f t="shared" si="7"/>
        <v>139086.36000000002</v>
      </c>
      <c r="S25" s="193">
        <v>0</v>
      </c>
      <c r="T25" s="238">
        <f t="shared" si="8"/>
        <v>0</v>
      </c>
      <c r="U25" s="193">
        <v>0</v>
      </c>
      <c r="V25" s="238">
        <f t="shared" si="9"/>
        <v>0</v>
      </c>
      <c r="W25" s="193">
        <v>0</v>
      </c>
      <c r="X25" s="238">
        <f t="shared" si="10"/>
        <v>0</v>
      </c>
      <c r="Y25" s="193">
        <v>0</v>
      </c>
      <c r="Z25" s="238">
        <f t="shared" si="11"/>
        <v>0</v>
      </c>
      <c r="AA25" s="193">
        <v>0</v>
      </c>
      <c r="AB25" s="238">
        <f t="shared" si="12"/>
        <v>0</v>
      </c>
      <c r="AC25" s="193">
        <v>0</v>
      </c>
      <c r="AD25" s="238">
        <f t="shared" si="13"/>
        <v>0</v>
      </c>
      <c r="AE25" s="193">
        <v>0</v>
      </c>
      <c r="AF25" s="238">
        <f t="shared" si="14"/>
        <v>0</v>
      </c>
      <c r="AG25" s="193">
        <v>0</v>
      </c>
      <c r="AH25" s="238">
        <f t="shared" si="15"/>
        <v>0</v>
      </c>
      <c r="AI25" s="193">
        <v>0</v>
      </c>
      <c r="AJ25" s="238">
        <f t="shared" si="16"/>
        <v>0</v>
      </c>
      <c r="AK25" s="193">
        <v>0</v>
      </c>
      <c r="AL25" s="238">
        <f t="shared" si="17"/>
        <v>0</v>
      </c>
      <c r="AM25" s="193">
        <v>0</v>
      </c>
      <c r="AN25" s="238">
        <f t="shared" si="18"/>
        <v>0</v>
      </c>
      <c r="AO25" s="193">
        <v>0</v>
      </c>
      <c r="AP25" s="238">
        <f t="shared" si="19"/>
        <v>0</v>
      </c>
      <c r="AQ25" s="193">
        <v>0</v>
      </c>
      <c r="AR25" s="238">
        <f t="shared" si="20"/>
        <v>0</v>
      </c>
      <c r="AS25" s="193">
        <v>0</v>
      </c>
      <c r="AT25" s="238">
        <f t="shared" si="21"/>
        <v>0</v>
      </c>
      <c r="AU25" s="193">
        <v>0</v>
      </c>
      <c r="AV25" s="238">
        <f t="shared" si="22"/>
        <v>0</v>
      </c>
      <c r="AW25" s="193">
        <v>0</v>
      </c>
      <c r="AX25" s="238">
        <f t="shared" si="23"/>
        <v>0</v>
      </c>
      <c r="AY25" s="193">
        <v>0</v>
      </c>
      <c r="AZ25" s="238">
        <f t="shared" si="24"/>
        <v>0</v>
      </c>
      <c r="BA25" s="193">
        <v>0</v>
      </c>
      <c r="BB25" s="238">
        <f t="shared" si="25"/>
        <v>0</v>
      </c>
      <c r="BC25" s="193">
        <v>0</v>
      </c>
      <c r="BD25" s="238">
        <f t="shared" si="26"/>
        <v>0</v>
      </c>
      <c r="BE25" s="193">
        <v>0</v>
      </c>
      <c r="BF25" s="238">
        <f t="shared" si="27"/>
        <v>0</v>
      </c>
      <c r="BG25" s="193">
        <v>0</v>
      </c>
      <c r="BH25" s="238">
        <f t="shared" si="28"/>
        <v>0</v>
      </c>
      <c r="BI25" s="193">
        <v>0</v>
      </c>
      <c r="BJ25" s="238">
        <f t="shared" si="29"/>
        <v>0</v>
      </c>
      <c r="BK25" s="193">
        <v>0</v>
      </c>
      <c r="BL25" s="238">
        <f t="shared" si="30"/>
        <v>0</v>
      </c>
      <c r="BM25" s="193">
        <v>0</v>
      </c>
      <c r="BN25" s="238">
        <f t="shared" si="31"/>
        <v>0</v>
      </c>
      <c r="BO25" s="193">
        <v>0</v>
      </c>
      <c r="BP25" s="238">
        <f t="shared" si="32"/>
        <v>0</v>
      </c>
      <c r="BQ25" s="193">
        <v>0</v>
      </c>
      <c r="BR25" s="238">
        <f t="shared" si="33"/>
        <v>0</v>
      </c>
      <c r="BS25" s="225"/>
      <c r="BT25" s="239">
        <f t="shared" si="36"/>
        <v>14223.58</v>
      </c>
      <c r="BU25" s="238">
        <f t="shared" si="38"/>
        <v>689843.63</v>
      </c>
    </row>
    <row r="26" spans="1:73" ht="14.25">
      <c r="A26" s="241">
        <v>1971</v>
      </c>
      <c r="B26" s="528">
        <f t="shared" si="37"/>
        <v>47.5</v>
      </c>
      <c r="C26" s="193">
        <v>0</v>
      </c>
      <c r="D26" s="238">
        <f t="shared" si="35"/>
        <v>0</v>
      </c>
      <c r="E26" s="193">
        <v>0</v>
      </c>
      <c r="F26" s="238">
        <f t="shared" si="1"/>
        <v>0</v>
      </c>
      <c r="G26" s="193">
        <v>0</v>
      </c>
      <c r="H26" s="238">
        <f t="shared" si="2"/>
        <v>0</v>
      </c>
      <c r="I26" s="193">
        <v>0</v>
      </c>
      <c r="J26" s="238">
        <f t="shared" si="3"/>
        <v>0</v>
      </c>
      <c r="K26" s="193">
        <v>0</v>
      </c>
      <c r="L26" s="238">
        <f t="shared" si="4"/>
        <v>0</v>
      </c>
      <c r="M26" s="193">
        <v>0</v>
      </c>
      <c r="N26" s="238">
        <f t="shared" si="5"/>
        <v>0</v>
      </c>
      <c r="O26" s="193">
        <v>0</v>
      </c>
      <c r="P26" s="238">
        <f t="shared" si="6"/>
        <v>0</v>
      </c>
      <c r="Q26" s="193">
        <v>0</v>
      </c>
      <c r="R26" s="238">
        <f t="shared" si="7"/>
        <v>0</v>
      </c>
      <c r="S26" s="193">
        <v>631.66999999999996</v>
      </c>
      <c r="T26" s="238">
        <f t="shared" si="8"/>
        <v>30004.324999999997</v>
      </c>
      <c r="U26" s="193">
        <v>0</v>
      </c>
      <c r="V26" s="238">
        <f t="shared" si="9"/>
        <v>0</v>
      </c>
      <c r="W26" s="193">
        <v>0</v>
      </c>
      <c r="X26" s="238">
        <f t="shared" si="10"/>
        <v>0</v>
      </c>
      <c r="Y26" s="193">
        <v>0</v>
      </c>
      <c r="Z26" s="238">
        <f t="shared" si="11"/>
        <v>0</v>
      </c>
      <c r="AA26" s="193">
        <v>0</v>
      </c>
      <c r="AB26" s="238">
        <f t="shared" si="12"/>
        <v>0</v>
      </c>
      <c r="AC26" s="193">
        <v>0</v>
      </c>
      <c r="AD26" s="238">
        <f t="shared" si="13"/>
        <v>0</v>
      </c>
      <c r="AE26" s="193">
        <v>0</v>
      </c>
      <c r="AF26" s="238">
        <f t="shared" si="14"/>
        <v>0</v>
      </c>
      <c r="AG26" s="193">
        <v>0</v>
      </c>
      <c r="AH26" s="238">
        <f t="shared" si="15"/>
        <v>0</v>
      </c>
      <c r="AI26" s="193">
        <v>0</v>
      </c>
      <c r="AJ26" s="238">
        <f t="shared" si="16"/>
        <v>0</v>
      </c>
      <c r="AK26" s="193">
        <v>0</v>
      </c>
      <c r="AL26" s="238">
        <f t="shared" si="17"/>
        <v>0</v>
      </c>
      <c r="AM26" s="193">
        <v>0</v>
      </c>
      <c r="AN26" s="238">
        <f t="shared" si="18"/>
        <v>0</v>
      </c>
      <c r="AO26" s="193">
        <v>0</v>
      </c>
      <c r="AP26" s="238">
        <f t="shared" si="19"/>
        <v>0</v>
      </c>
      <c r="AQ26" s="193">
        <v>0</v>
      </c>
      <c r="AR26" s="238">
        <f t="shared" si="20"/>
        <v>0</v>
      </c>
      <c r="AS26" s="193">
        <v>0</v>
      </c>
      <c r="AT26" s="238">
        <f t="shared" si="21"/>
        <v>0</v>
      </c>
      <c r="AU26" s="193">
        <v>0</v>
      </c>
      <c r="AV26" s="238">
        <f t="shared" si="22"/>
        <v>0</v>
      </c>
      <c r="AW26" s="193">
        <v>0</v>
      </c>
      <c r="AX26" s="238">
        <f t="shared" si="23"/>
        <v>0</v>
      </c>
      <c r="AY26" s="193">
        <v>0</v>
      </c>
      <c r="AZ26" s="238">
        <f t="shared" si="24"/>
        <v>0</v>
      </c>
      <c r="BA26" s="193">
        <v>0</v>
      </c>
      <c r="BB26" s="238">
        <f t="shared" si="25"/>
        <v>0</v>
      </c>
      <c r="BC26" s="193">
        <v>0</v>
      </c>
      <c r="BD26" s="238">
        <f t="shared" si="26"/>
        <v>0</v>
      </c>
      <c r="BE26" s="193">
        <v>0</v>
      </c>
      <c r="BF26" s="238">
        <f t="shared" si="27"/>
        <v>0</v>
      </c>
      <c r="BG26" s="193">
        <v>0</v>
      </c>
      <c r="BH26" s="238">
        <f t="shared" si="28"/>
        <v>0</v>
      </c>
      <c r="BI26" s="193">
        <v>0</v>
      </c>
      <c r="BJ26" s="238">
        <f t="shared" si="29"/>
        <v>0</v>
      </c>
      <c r="BK26" s="193">
        <v>0</v>
      </c>
      <c r="BL26" s="238">
        <f t="shared" si="30"/>
        <v>0</v>
      </c>
      <c r="BM26" s="193">
        <v>0</v>
      </c>
      <c r="BN26" s="238">
        <f t="shared" si="31"/>
        <v>0</v>
      </c>
      <c r="BO26" s="193">
        <v>0</v>
      </c>
      <c r="BP26" s="238">
        <f t="shared" si="32"/>
        <v>0</v>
      </c>
      <c r="BQ26" s="193">
        <v>0</v>
      </c>
      <c r="BR26" s="238">
        <f t="shared" si="33"/>
        <v>0</v>
      </c>
      <c r="BS26" s="225"/>
      <c r="BT26" s="239">
        <f t="shared" si="36"/>
        <v>631.66999999999996</v>
      </c>
      <c r="BU26" s="238">
        <f t="shared" si="38"/>
        <v>30004.324999999997</v>
      </c>
    </row>
    <row r="27" spans="1:73" ht="14.25">
      <c r="A27" s="241">
        <v>1972</v>
      </c>
      <c r="B27" s="528">
        <f t="shared" si="37"/>
        <v>46.5</v>
      </c>
      <c r="C27" s="193">
        <v>0</v>
      </c>
      <c r="D27" s="238">
        <f t="shared" si="35"/>
        <v>0</v>
      </c>
      <c r="E27" s="193">
        <v>0</v>
      </c>
      <c r="F27" s="238">
        <f t="shared" si="1"/>
        <v>0</v>
      </c>
      <c r="G27" s="193">
        <v>0</v>
      </c>
      <c r="H27" s="238">
        <f t="shared" si="2"/>
        <v>0</v>
      </c>
      <c r="I27" s="193">
        <v>0</v>
      </c>
      <c r="J27" s="238">
        <f t="shared" si="3"/>
        <v>0</v>
      </c>
      <c r="K27" s="193">
        <v>0</v>
      </c>
      <c r="L27" s="238">
        <f t="shared" si="4"/>
        <v>0</v>
      </c>
      <c r="M27" s="193">
        <v>0</v>
      </c>
      <c r="N27" s="238">
        <f t="shared" si="5"/>
        <v>0</v>
      </c>
      <c r="O27" s="193">
        <v>0</v>
      </c>
      <c r="P27" s="238">
        <f t="shared" si="6"/>
        <v>0</v>
      </c>
      <c r="Q27" s="193">
        <v>0</v>
      </c>
      <c r="R27" s="238">
        <f t="shared" si="7"/>
        <v>0</v>
      </c>
      <c r="S27" s="193">
        <v>20.359999999999999</v>
      </c>
      <c r="T27" s="238">
        <f t="shared" si="8"/>
        <v>946.74000000000001</v>
      </c>
      <c r="U27" s="193">
        <v>0</v>
      </c>
      <c r="V27" s="238">
        <f t="shared" si="9"/>
        <v>0</v>
      </c>
      <c r="W27" s="193">
        <v>0</v>
      </c>
      <c r="X27" s="238">
        <f t="shared" si="10"/>
        <v>0</v>
      </c>
      <c r="Y27" s="193">
        <v>0</v>
      </c>
      <c r="Z27" s="238">
        <f t="shared" si="11"/>
        <v>0</v>
      </c>
      <c r="AA27" s="193">
        <v>0</v>
      </c>
      <c r="AB27" s="238">
        <f t="shared" si="12"/>
        <v>0</v>
      </c>
      <c r="AC27" s="193">
        <v>0</v>
      </c>
      <c r="AD27" s="238">
        <f t="shared" si="13"/>
        <v>0</v>
      </c>
      <c r="AE27" s="193">
        <v>0</v>
      </c>
      <c r="AF27" s="238">
        <f t="shared" si="14"/>
        <v>0</v>
      </c>
      <c r="AG27" s="193">
        <v>0</v>
      </c>
      <c r="AH27" s="238">
        <f t="shared" si="15"/>
        <v>0</v>
      </c>
      <c r="AI27" s="193">
        <v>0</v>
      </c>
      <c r="AJ27" s="238">
        <f t="shared" si="16"/>
        <v>0</v>
      </c>
      <c r="AK27" s="193">
        <v>0</v>
      </c>
      <c r="AL27" s="238">
        <f t="shared" si="17"/>
        <v>0</v>
      </c>
      <c r="AM27" s="193">
        <v>0</v>
      </c>
      <c r="AN27" s="238">
        <f t="shared" si="18"/>
        <v>0</v>
      </c>
      <c r="AO27" s="193">
        <v>0</v>
      </c>
      <c r="AP27" s="238">
        <f t="shared" si="19"/>
        <v>0</v>
      </c>
      <c r="AQ27" s="193">
        <v>0</v>
      </c>
      <c r="AR27" s="238">
        <f t="shared" si="20"/>
        <v>0</v>
      </c>
      <c r="AS27" s="193">
        <v>0</v>
      </c>
      <c r="AT27" s="238">
        <f t="shared" si="21"/>
        <v>0</v>
      </c>
      <c r="AU27" s="193">
        <v>0</v>
      </c>
      <c r="AV27" s="238">
        <f t="shared" si="22"/>
        <v>0</v>
      </c>
      <c r="AW27" s="193">
        <v>0</v>
      </c>
      <c r="AX27" s="238">
        <f t="shared" si="23"/>
        <v>0</v>
      </c>
      <c r="AY27" s="193">
        <v>0</v>
      </c>
      <c r="AZ27" s="238">
        <f t="shared" si="24"/>
        <v>0</v>
      </c>
      <c r="BA27" s="193">
        <v>0</v>
      </c>
      <c r="BB27" s="238">
        <f t="shared" si="25"/>
        <v>0</v>
      </c>
      <c r="BC27" s="193">
        <v>0</v>
      </c>
      <c r="BD27" s="238">
        <f t="shared" si="26"/>
        <v>0</v>
      </c>
      <c r="BE27" s="193">
        <v>0</v>
      </c>
      <c r="BF27" s="238">
        <f t="shared" si="27"/>
        <v>0</v>
      </c>
      <c r="BG27" s="193">
        <v>0</v>
      </c>
      <c r="BH27" s="238">
        <f t="shared" si="28"/>
        <v>0</v>
      </c>
      <c r="BI27" s="193">
        <v>0</v>
      </c>
      <c r="BJ27" s="238">
        <f t="shared" si="29"/>
        <v>0</v>
      </c>
      <c r="BK27" s="193">
        <v>0</v>
      </c>
      <c r="BL27" s="238">
        <f t="shared" si="30"/>
        <v>0</v>
      </c>
      <c r="BM27" s="193">
        <v>0</v>
      </c>
      <c r="BN27" s="238">
        <f t="shared" si="31"/>
        <v>0</v>
      </c>
      <c r="BO27" s="193">
        <v>0</v>
      </c>
      <c r="BP27" s="238">
        <f t="shared" si="32"/>
        <v>0</v>
      </c>
      <c r="BQ27" s="193">
        <v>0</v>
      </c>
      <c r="BR27" s="238">
        <f t="shared" si="33"/>
        <v>0</v>
      </c>
      <c r="BS27" s="225"/>
      <c r="BT27" s="239">
        <f t="shared" si="36"/>
        <v>20.359999999999999</v>
      </c>
      <c r="BU27" s="238">
        <f t="shared" si="38"/>
        <v>946.74000000000001</v>
      </c>
    </row>
    <row r="28" spans="1:73" ht="14.25">
      <c r="A28" s="241">
        <v>1973</v>
      </c>
      <c r="B28" s="528">
        <f t="shared" si="37"/>
        <v>45.5</v>
      </c>
      <c r="C28" s="193">
        <v>0</v>
      </c>
      <c r="D28" s="238">
        <f t="shared" si="35"/>
        <v>0</v>
      </c>
      <c r="E28" s="193">
        <v>0</v>
      </c>
      <c r="F28" s="238">
        <f t="shared" si="1"/>
        <v>0</v>
      </c>
      <c r="G28" s="193">
        <v>0</v>
      </c>
      <c r="H28" s="238">
        <f t="shared" si="2"/>
        <v>0</v>
      </c>
      <c r="I28" s="193">
        <v>0</v>
      </c>
      <c r="J28" s="238">
        <f t="shared" si="3"/>
        <v>0</v>
      </c>
      <c r="K28" s="193">
        <v>0</v>
      </c>
      <c r="L28" s="238">
        <f t="shared" si="4"/>
        <v>0</v>
      </c>
      <c r="M28" s="193">
        <v>0</v>
      </c>
      <c r="N28" s="238">
        <f t="shared" si="5"/>
        <v>0</v>
      </c>
      <c r="O28" s="193">
        <v>0</v>
      </c>
      <c r="P28" s="238">
        <f t="shared" si="6"/>
        <v>0</v>
      </c>
      <c r="Q28" s="193">
        <v>0</v>
      </c>
      <c r="R28" s="238">
        <f t="shared" si="7"/>
        <v>0</v>
      </c>
      <c r="S28" s="193">
        <v>1123.97</v>
      </c>
      <c r="T28" s="238">
        <f t="shared" si="8"/>
        <v>51140.635000000002</v>
      </c>
      <c r="U28" s="193">
        <v>0</v>
      </c>
      <c r="V28" s="238">
        <f t="shared" si="9"/>
        <v>0</v>
      </c>
      <c r="W28" s="193">
        <v>0</v>
      </c>
      <c r="X28" s="238">
        <f t="shared" si="10"/>
        <v>0</v>
      </c>
      <c r="Y28" s="193">
        <v>0</v>
      </c>
      <c r="Z28" s="238">
        <f t="shared" si="11"/>
        <v>0</v>
      </c>
      <c r="AA28" s="193">
        <v>0</v>
      </c>
      <c r="AB28" s="238">
        <f t="shared" si="12"/>
        <v>0</v>
      </c>
      <c r="AC28" s="193">
        <v>0</v>
      </c>
      <c r="AD28" s="238">
        <f t="shared" si="13"/>
        <v>0</v>
      </c>
      <c r="AE28" s="193">
        <v>0</v>
      </c>
      <c r="AF28" s="238">
        <f t="shared" si="14"/>
        <v>0</v>
      </c>
      <c r="AG28" s="193">
        <v>0</v>
      </c>
      <c r="AH28" s="238">
        <f t="shared" si="15"/>
        <v>0</v>
      </c>
      <c r="AI28" s="193">
        <v>0</v>
      </c>
      <c r="AJ28" s="238">
        <f t="shared" si="16"/>
        <v>0</v>
      </c>
      <c r="AK28" s="193">
        <v>0</v>
      </c>
      <c r="AL28" s="238">
        <f t="shared" si="17"/>
        <v>0</v>
      </c>
      <c r="AM28" s="193">
        <v>0</v>
      </c>
      <c r="AN28" s="238">
        <f t="shared" si="18"/>
        <v>0</v>
      </c>
      <c r="AO28" s="193">
        <v>0</v>
      </c>
      <c r="AP28" s="238">
        <f t="shared" si="19"/>
        <v>0</v>
      </c>
      <c r="AQ28" s="193">
        <v>0</v>
      </c>
      <c r="AR28" s="238">
        <f t="shared" si="20"/>
        <v>0</v>
      </c>
      <c r="AS28" s="193">
        <v>0</v>
      </c>
      <c r="AT28" s="238">
        <f t="shared" si="21"/>
        <v>0</v>
      </c>
      <c r="AU28" s="193">
        <v>0</v>
      </c>
      <c r="AV28" s="238">
        <f t="shared" si="22"/>
        <v>0</v>
      </c>
      <c r="AW28" s="193">
        <v>0</v>
      </c>
      <c r="AX28" s="238">
        <f t="shared" si="23"/>
        <v>0</v>
      </c>
      <c r="AY28" s="193">
        <v>0</v>
      </c>
      <c r="AZ28" s="238">
        <f t="shared" si="24"/>
        <v>0</v>
      </c>
      <c r="BA28" s="193">
        <v>0</v>
      </c>
      <c r="BB28" s="238">
        <f t="shared" si="25"/>
        <v>0</v>
      </c>
      <c r="BC28" s="193">
        <v>0</v>
      </c>
      <c r="BD28" s="238">
        <f t="shared" si="26"/>
        <v>0</v>
      </c>
      <c r="BE28" s="193">
        <v>0</v>
      </c>
      <c r="BF28" s="238">
        <f t="shared" si="27"/>
        <v>0</v>
      </c>
      <c r="BG28" s="193">
        <v>0</v>
      </c>
      <c r="BH28" s="238">
        <f t="shared" si="28"/>
        <v>0</v>
      </c>
      <c r="BI28" s="193">
        <v>0</v>
      </c>
      <c r="BJ28" s="238">
        <f t="shared" si="29"/>
        <v>0</v>
      </c>
      <c r="BK28" s="193">
        <v>0</v>
      </c>
      <c r="BL28" s="238">
        <f t="shared" si="30"/>
        <v>0</v>
      </c>
      <c r="BM28" s="193">
        <v>0</v>
      </c>
      <c r="BN28" s="238">
        <f t="shared" si="31"/>
        <v>0</v>
      </c>
      <c r="BO28" s="193">
        <v>0</v>
      </c>
      <c r="BP28" s="238">
        <f t="shared" si="32"/>
        <v>0</v>
      </c>
      <c r="BQ28" s="193">
        <v>0</v>
      </c>
      <c r="BR28" s="238">
        <f t="shared" si="33"/>
        <v>0</v>
      </c>
      <c r="BS28" s="225"/>
      <c r="BT28" s="239">
        <f t="shared" si="36"/>
        <v>1123.97</v>
      </c>
      <c r="BU28" s="238">
        <f t="shared" si="38"/>
        <v>51140.635000000002</v>
      </c>
    </row>
    <row r="29" spans="1:73" ht="14.25">
      <c r="A29" s="241">
        <v>1974</v>
      </c>
      <c r="B29" s="528">
        <f t="shared" si="37"/>
        <v>44.5</v>
      </c>
      <c r="C29" s="193">
        <v>0</v>
      </c>
      <c r="D29" s="238">
        <f t="shared" si="35"/>
        <v>0</v>
      </c>
      <c r="E29" s="193">
        <v>0</v>
      </c>
      <c r="F29" s="238">
        <f t="shared" si="1"/>
        <v>0</v>
      </c>
      <c r="G29" s="193">
        <v>0</v>
      </c>
      <c r="H29" s="238">
        <f t="shared" si="2"/>
        <v>0</v>
      </c>
      <c r="I29" s="193">
        <v>3756.9699999999998</v>
      </c>
      <c r="J29" s="238">
        <f t="shared" si="3"/>
        <v>167185.16499999998</v>
      </c>
      <c r="K29" s="193">
        <v>0</v>
      </c>
      <c r="L29" s="238">
        <f t="shared" si="4"/>
        <v>0</v>
      </c>
      <c r="M29" s="193">
        <v>0</v>
      </c>
      <c r="N29" s="238">
        <f t="shared" si="5"/>
        <v>0</v>
      </c>
      <c r="O29" s="193">
        <v>0</v>
      </c>
      <c r="P29" s="238">
        <f t="shared" si="6"/>
        <v>0</v>
      </c>
      <c r="Q29" s="193">
        <v>0</v>
      </c>
      <c r="R29" s="238">
        <f t="shared" si="7"/>
        <v>0</v>
      </c>
      <c r="S29" s="193">
        <v>1630.9100000000001</v>
      </c>
      <c r="T29" s="238">
        <f t="shared" si="8"/>
        <v>72575.49500000001</v>
      </c>
      <c r="U29" s="193">
        <v>0</v>
      </c>
      <c r="V29" s="238">
        <f t="shared" si="9"/>
        <v>0</v>
      </c>
      <c r="W29" s="193">
        <v>0</v>
      </c>
      <c r="X29" s="238">
        <f t="shared" si="10"/>
        <v>0</v>
      </c>
      <c r="Y29" s="193">
        <v>0</v>
      </c>
      <c r="Z29" s="238">
        <f t="shared" si="11"/>
        <v>0</v>
      </c>
      <c r="AA29" s="193">
        <v>0</v>
      </c>
      <c r="AB29" s="238">
        <f t="shared" si="12"/>
        <v>0</v>
      </c>
      <c r="AC29" s="193">
        <v>0</v>
      </c>
      <c r="AD29" s="238">
        <f t="shared" si="13"/>
        <v>0</v>
      </c>
      <c r="AE29" s="193">
        <v>0</v>
      </c>
      <c r="AF29" s="238">
        <f t="shared" si="14"/>
        <v>0</v>
      </c>
      <c r="AG29" s="193">
        <v>0</v>
      </c>
      <c r="AH29" s="238">
        <f t="shared" si="15"/>
        <v>0</v>
      </c>
      <c r="AI29" s="193">
        <v>0</v>
      </c>
      <c r="AJ29" s="238">
        <f t="shared" si="16"/>
        <v>0</v>
      </c>
      <c r="AK29" s="193">
        <v>0</v>
      </c>
      <c r="AL29" s="238">
        <f t="shared" si="17"/>
        <v>0</v>
      </c>
      <c r="AM29" s="193">
        <v>0</v>
      </c>
      <c r="AN29" s="238">
        <f t="shared" si="18"/>
        <v>0</v>
      </c>
      <c r="AO29" s="193">
        <v>0</v>
      </c>
      <c r="AP29" s="238">
        <f t="shared" si="19"/>
        <v>0</v>
      </c>
      <c r="AQ29" s="193">
        <v>0</v>
      </c>
      <c r="AR29" s="238">
        <f t="shared" si="20"/>
        <v>0</v>
      </c>
      <c r="AS29" s="193">
        <v>0</v>
      </c>
      <c r="AT29" s="238">
        <f t="shared" si="21"/>
        <v>0</v>
      </c>
      <c r="AU29" s="193">
        <v>0</v>
      </c>
      <c r="AV29" s="238">
        <f t="shared" si="22"/>
        <v>0</v>
      </c>
      <c r="AW29" s="193">
        <v>0</v>
      </c>
      <c r="AX29" s="238">
        <f t="shared" si="23"/>
        <v>0</v>
      </c>
      <c r="AY29" s="193">
        <v>0</v>
      </c>
      <c r="AZ29" s="238">
        <f t="shared" si="24"/>
        <v>0</v>
      </c>
      <c r="BA29" s="193">
        <v>0</v>
      </c>
      <c r="BB29" s="238">
        <f t="shared" si="25"/>
        <v>0</v>
      </c>
      <c r="BC29" s="193">
        <v>0</v>
      </c>
      <c r="BD29" s="238">
        <f t="shared" si="26"/>
        <v>0</v>
      </c>
      <c r="BE29" s="193">
        <v>0</v>
      </c>
      <c r="BF29" s="238">
        <f t="shared" si="27"/>
        <v>0</v>
      </c>
      <c r="BG29" s="193">
        <v>0</v>
      </c>
      <c r="BH29" s="238">
        <f t="shared" si="28"/>
        <v>0</v>
      </c>
      <c r="BI29" s="193">
        <v>0</v>
      </c>
      <c r="BJ29" s="238">
        <f t="shared" si="29"/>
        <v>0</v>
      </c>
      <c r="BK29" s="193">
        <v>0</v>
      </c>
      <c r="BL29" s="238">
        <f t="shared" si="30"/>
        <v>0</v>
      </c>
      <c r="BM29" s="193">
        <v>0</v>
      </c>
      <c r="BN29" s="238">
        <f t="shared" si="31"/>
        <v>0</v>
      </c>
      <c r="BO29" s="193">
        <v>0</v>
      </c>
      <c r="BP29" s="238">
        <f t="shared" si="32"/>
        <v>0</v>
      </c>
      <c r="BQ29" s="193">
        <v>0</v>
      </c>
      <c r="BR29" s="238">
        <f t="shared" si="33"/>
        <v>0</v>
      </c>
      <c r="BS29" s="225"/>
      <c r="BT29" s="239">
        <f t="shared" si="36"/>
        <v>5387.8800000000001</v>
      </c>
      <c r="BU29" s="238">
        <f t="shared" si="38"/>
        <v>239760.66</v>
      </c>
    </row>
    <row r="30" spans="1:73" ht="14.25">
      <c r="A30" s="241">
        <v>1975</v>
      </c>
      <c r="B30" s="528">
        <f t="shared" si="37"/>
        <v>43.5</v>
      </c>
      <c r="C30" s="193">
        <v>0</v>
      </c>
      <c r="D30" s="238">
        <f t="shared" si="35"/>
        <v>0</v>
      </c>
      <c r="E30" s="193">
        <v>0</v>
      </c>
      <c r="F30" s="238">
        <f t="shared" si="1"/>
        <v>0</v>
      </c>
      <c r="G30" s="193">
        <v>0</v>
      </c>
      <c r="H30" s="238">
        <f t="shared" si="2"/>
        <v>0</v>
      </c>
      <c r="I30" s="193">
        <v>1238.76</v>
      </c>
      <c r="J30" s="238">
        <f t="shared" si="3"/>
        <v>53886.059999999998</v>
      </c>
      <c r="K30" s="193">
        <v>0</v>
      </c>
      <c r="L30" s="238">
        <f t="shared" si="4"/>
        <v>0</v>
      </c>
      <c r="M30" s="193">
        <v>0</v>
      </c>
      <c r="N30" s="238">
        <f t="shared" si="5"/>
        <v>0</v>
      </c>
      <c r="O30" s="193">
        <v>0</v>
      </c>
      <c r="P30" s="238">
        <f t="shared" si="6"/>
        <v>0</v>
      </c>
      <c r="Q30" s="193">
        <v>0</v>
      </c>
      <c r="R30" s="238">
        <f t="shared" si="7"/>
        <v>0</v>
      </c>
      <c r="S30" s="193">
        <v>301.02999999999997</v>
      </c>
      <c r="T30" s="238">
        <f t="shared" si="8"/>
        <v>13094.804999999998</v>
      </c>
      <c r="U30" s="193">
        <v>0</v>
      </c>
      <c r="V30" s="238">
        <f t="shared" si="9"/>
        <v>0</v>
      </c>
      <c r="W30" s="193">
        <v>0</v>
      </c>
      <c r="X30" s="238">
        <f t="shared" si="10"/>
        <v>0</v>
      </c>
      <c r="Y30" s="193">
        <v>0</v>
      </c>
      <c r="Z30" s="238">
        <f t="shared" si="11"/>
        <v>0</v>
      </c>
      <c r="AA30" s="193">
        <v>0</v>
      </c>
      <c r="AB30" s="238">
        <f t="shared" si="12"/>
        <v>0</v>
      </c>
      <c r="AC30" s="193">
        <v>0</v>
      </c>
      <c r="AD30" s="238">
        <f t="shared" si="13"/>
        <v>0</v>
      </c>
      <c r="AE30" s="193">
        <v>0</v>
      </c>
      <c r="AF30" s="238">
        <f t="shared" si="14"/>
        <v>0</v>
      </c>
      <c r="AG30" s="193">
        <v>120.41</v>
      </c>
      <c r="AH30" s="238">
        <f t="shared" si="15"/>
        <v>5237.835</v>
      </c>
      <c r="AI30" s="193">
        <v>0</v>
      </c>
      <c r="AJ30" s="238">
        <f t="shared" si="16"/>
        <v>0</v>
      </c>
      <c r="AK30" s="193">
        <v>0</v>
      </c>
      <c r="AL30" s="238">
        <f t="shared" si="17"/>
        <v>0</v>
      </c>
      <c r="AM30" s="193">
        <v>0</v>
      </c>
      <c r="AN30" s="238">
        <f t="shared" si="18"/>
        <v>0</v>
      </c>
      <c r="AO30" s="193">
        <v>0</v>
      </c>
      <c r="AP30" s="238">
        <f t="shared" si="19"/>
        <v>0</v>
      </c>
      <c r="AQ30" s="193">
        <v>0</v>
      </c>
      <c r="AR30" s="238">
        <f t="shared" si="20"/>
        <v>0</v>
      </c>
      <c r="AS30" s="193">
        <v>0</v>
      </c>
      <c r="AT30" s="238">
        <f t="shared" si="21"/>
        <v>0</v>
      </c>
      <c r="AU30" s="193">
        <v>0</v>
      </c>
      <c r="AV30" s="238">
        <f t="shared" si="22"/>
        <v>0</v>
      </c>
      <c r="AW30" s="193">
        <v>0</v>
      </c>
      <c r="AX30" s="238">
        <f t="shared" si="23"/>
        <v>0</v>
      </c>
      <c r="AY30" s="193">
        <v>0</v>
      </c>
      <c r="AZ30" s="238">
        <f t="shared" si="24"/>
        <v>0</v>
      </c>
      <c r="BA30" s="193">
        <v>0</v>
      </c>
      <c r="BB30" s="238">
        <f t="shared" si="25"/>
        <v>0</v>
      </c>
      <c r="BC30" s="193">
        <v>0</v>
      </c>
      <c r="BD30" s="238">
        <f t="shared" si="26"/>
        <v>0</v>
      </c>
      <c r="BE30" s="193">
        <v>0</v>
      </c>
      <c r="BF30" s="238">
        <f t="shared" si="27"/>
        <v>0</v>
      </c>
      <c r="BG30" s="193">
        <v>0</v>
      </c>
      <c r="BH30" s="238">
        <f t="shared" si="28"/>
        <v>0</v>
      </c>
      <c r="BI30" s="193">
        <v>0</v>
      </c>
      <c r="BJ30" s="238">
        <f t="shared" si="29"/>
        <v>0</v>
      </c>
      <c r="BK30" s="193">
        <v>0</v>
      </c>
      <c r="BL30" s="238">
        <f t="shared" si="30"/>
        <v>0</v>
      </c>
      <c r="BM30" s="193">
        <v>0</v>
      </c>
      <c r="BN30" s="238">
        <f t="shared" si="31"/>
        <v>0</v>
      </c>
      <c r="BO30" s="193">
        <v>0</v>
      </c>
      <c r="BP30" s="238">
        <f t="shared" si="32"/>
        <v>0</v>
      </c>
      <c r="BQ30" s="193">
        <v>0</v>
      </c>
      <c r="BR30" s="238">
        <f t="shared" si="33"/>
        <v>0</v>
      </c>
      <c r="BS30" s="225"/>
      <c r="BT30" s="239">
        <f t="shared" si="36"/>
        <v>1660.2</v>
      </c>
      <c r="BU30" s="238">
        <f t="shared" si="38"/>
        <v>72218.699999999997</v>
      </c>
    </row>
    <row r="31" spans="1:73" ht="14.25">
      <c r="A31" s="241">
        <v>1976</v>
      </c>
      <c r="B31" s="528">
        <f t="shared" si="37"/>
        <v>42.5</v>
      </c>
      <c r="C31" s="193">
        <v>0</v>
      </c>
      <c r="D31" s="238">
        <f t="shared" si="35"/>
        <v>0</v>
      </c>
      <c r="E31" s="193">
        <v>0</v>
      </c>
      <c r="F31" s="238">
        <f t="shared" si="1"/>
        <v>0</v>
      </c>
      <c r="G31" s="193">
        <v>0</v>
      </c>
      <c r="H31" s="238">
        <f t="shared" si="2"/>
        <v>0</v>
      </c>
      <c r="I31" s="193">
        <v>0</v>
      </c>
      <c r="J31" s="238">
        <f t="shared" si="3"/>
        <v>0</v>
      </c>
      <c r="K31" s="193">
        <v>0</v>
      </c>
      <c r="L31" s="238">
        <f t="shared" si="4"/>
        <v>0</v>
      </c>
      <c r="M31" s="193">
        <v>0</v>
      </c>
      <c r="N31" s="238">
        <f t="shared" si="5"/>
        <v>0</v>
      </c>
      <c r="O31" s="193">
        <v>0</v>
      </c>
      <c r="P31" s="238">
        <f t="shared" si="6"/>
        <v>0</v>
      </c>
      <c r="Q31" s="193">
        <v>1374</v>
      </c>
      <c r="R31" s="238">
        <f t="shared" si="7"/>
        <v>58395</v>
      </c>
      <c r="S31" s="193">
        <v>1776.9200000000001</v>
      </c>
      <c r="T31" s="238">
        <f t="shared" si="8"/>
        <v>75519.100000000006</v>
      </c>
      <c r="U31" s="193">
        <v>0</v>
      </c>
      <c r="V31" s="238">
        <f t="shared" si="9"/>
        <v>0</v>
      </c>
      <c r="W31" s="193">
        <v>0</v>
      </c>
      <c r="X31" s="238">
        <f t="shared" si="10"/>
        <v>0</v>
      </c>
      <c r="Y31" s="193">
        <v>0</v>
      </c>
      <c r="Z31" s="238">
        <f t="shared" si="11"/>
        <v>0</v>
      </c>
      <c r="AA31" s="193">
        <v>0</v>
      </c>
      <c r="AB31" s="238">
        <f t="shared" si="12"/>
        <v>0</v>
      </c>
      <c r="AC31" s="193">
        <v>0</v>
      </c>
      <c r="AD31" s="238">
        <f t="shared" si="13"/>
        <v>0</v>
      </c>
      <c r="AE31" s="193">
        <v>328.49000000000001</v>
      </c>
      <c r="AF31" s="238">
        <f t="shared" si="14"/>
        <v>13960.825000000001</v>
      </c>
      <c r="AG31" s="193">
        <v>249.40000000000001</v>
      </c>
      <c r="AH31" s="238">
        <f t="shared" si="15"/>
        <v>10599.5</v>
      </c>
      <c r="AI31" s="193">
        <v>0</v>
      </c>
      <c r="AJ31" s="238">
        <f t="shared" si="16"/>
        <v>0</v>
      </c>
      <c r="AK31" s="193">
        <v>0</v>
      </c>
      <c r="AL31" s="238">
        <f t="shared" si="17"/>
        <v>0</v>
      </c>
      <c r="AM31" s="193">
        <v>0</v>
      </c>
      <c r="AN31" s="238">
        <f t="shared" si="18"/>
        <v>0</v>
      </c>
      <c r="AO31" s="193">
        <v>0</v>
      </c>
      <c r="AP31" s="238">
        <f t="shared" si="19"/>
        <v>0</v>
      </c>
      <c r="AQ31" s="193">
        <v>0</v>
      </c>
      <c r="AR31" s="238">
        <f t="shared" si="20"/>
        <v>0</v>
      </c>
      <c r="AS31" s="193">
        <v>0</v>
      </c>
      <c r="AT31" s="238">
        <f t="shared" si="21"/>
        <v>0</v>
      </c>
      <c r="AU31" s="193">
        <v>0</v>
      </c>
      <c r="AV31" s="238">
        <f t="shared" si="22"/>
        <v>0</v>
      </c>
      <c r="AW31" s="193">
        <v>0</v>
      </c>
      <c r="AX31" s="238">
        <f t="shared" si="23"/>
        <v>0</v>
      </c>
      <c r="AY31" s="193">
        <v>0</v>
      </c>
      <c r="AZ31" s="238">
        <f t="shared" si="24"/>
        <v>0</v>
      </c>
      <c r="BA31" s="193">
        <v>0</v>
      </c>
      <c r="BB31" s="238">
        <f t="shared" si="25"/>
        <v>0</v>
      </c>
      <c r="BC31" s="193">
        <v>0</v>
      </c>
      <c r="BD31" s="238">
        <f t="shared" si="26"/>
        <v>0</v>
      </c>
      <c r="BE31" s="193">
        <v>0</v>
      </c>
      <c r="BF31" s="238">
        <f t="shared" si="27"/>
        <v>0</v>
      </c>
      <c r="BG31" s="193">
        <v>0</v>
      </c>
      <c r="BH31" s="238">
        <f t="shared" si="28"/>
        <v>0</v>
      </c>
      <c r="BI31" s="193">
        <v>0</v>
      </c>
      <c r="BJ31" s="238">
        <f t="shared" si="29"/>
        <v>0</v>
      </c>
      <c r="BK31" s="193">
        <v>0</v>
      </c>
      <c r="BL31" s="238">
        <f t="shared" si="30"/>
        <v>0</v>
      </c>
      <c r="BM31" s="193">
        <v>0</v>
      </c>
      <c r="BN31" s="238">
        <f t="shared" si="31"/>
        <v>0</v>
      </c>
      <c r="BO31" s="193">
        <v>0</v>
      </c>
      <c r="BP31" s="238">
        <f t="shared" si="32"/>
        <v>0</v>
      </c>
      <c r="BQ31" s="193">
        <v>0</v>
      </c>
      <c r="BR31" s="238">
        <f t="shared" si="33"/>
        <v>0</v>
      </c>
      <c r="BS31" s="225"/>
      <c r="BT31" s="239">
        <f t="shared" si="36"/>
        <v>3728.8099999999999</v>
      </c>
      <c r="BU31" s="238">
        <f t="shared" si="38"/>
        <v>158474.42499999999</v>
      </c>
    </row>
    <row r="32" spans="1:73" ht="14.25">
      <c r="A32" s="241">
        <v>1977</v>
      </c>
      <c r="B32" s="528">
        <f t="shared" si="37"/>
        <v>41.5</v>
      </c>
      <c r="C32" s="193">
        <v>0</v>
      </c>
      <c r="D32" s="238">
        <f t="shared" si="35"/>
        <v>0</v>
      </c>
      <c r="E32" s="193">
        <v>0</v>
      </c>
      <c r="F32" s="238">
        <f t="shared" si="1"/>
        <v>0</v>
      </c>
      <c r="G32" s="193">
        <v>0</v>
      </c>
      <c r="H32" s="238">
        <f t="shared" si="2"/>
        <v>0</v>
      </c>
      <c r="I32" s="193">
        <v>7193.2399999999998</v>
      </c>
      <c r="J32" s="238">
        <f t="shared" si="3"/>
        <v>298519.45999999996</v>
      </c>
      <c r="K32" s="193">
        <v>0</v>
      </c>
      <c r="L32" s="238">
        <f t="shared" si="4"/>
        <v>0</v>
      </c>
      <c r="M32" s="193">
        <v>0</v>
      </c>
      <c r="N32" s="238">
        <f t="shared" si="5"/>
        <v>0</v>
      </c>
      <c r="O32" s="193">
        <v>0</v>
      </c>
      <c r="P32" s="238">
        <f t="shared" si="6"/>
        <v>0</v>
      </c>
      <c r="Q32" s="193">
        <v>0</v>
      </c>
      <c r="R32" s="238">
        <f t="shared" si="7"/>
        <v>0</v>
      </c>
      <c r="S32" s="193">
        <v>3068.9299999999998</v>
      </c>
      <c r="T32" s="238">
        <f t="shared" si="8"/>
        <v>127360.59499999999</v>
      </c>
      <c r="U32" s="193">
        <v>0</v>
      </c>
      <c r="V32" s="238">
        <f t="shared" si="9"/>
        <v>0</v>
      </c>
      <c r="W32" s="193">
        <v>0</v>
      </c>
      <c r="X32" s="238">
        <f t="shared" si="10"/>
        <v>0</v>
      </c>
      <c r="Y32" s="193">
        <v>0</v>
      </c>
      <c r="Z32" s="238">
        <f t="shared" si="11"/>
        <v>0</v>
      </c>
      <c r="AA32" s="193">
        <v>0</v>
      </c>
      <c r="AB32" s="238">
        <f t="shared" si="12"/>
        <v>0</v>
      </c>
      <c r="AC32" s="193">
        <v>0</v>
      </c>
      <c r="AD32" s="238">
        <f t="shared" si="13"/>
        <v>0</v>
      </c>
      <c r="AE32" s="193">
        <v>9.1300000000000008</v>
      </c>
      <c r="AF32" s="238">
        <f t="shared" si="14"/>
        <v>378.89500000000004</v>
      </c>
      <c r="AG32" s="193">
        <v>0</v>
      </c>
      <c r="AH32" s="238">
        <f t="shared" si="15"/>
        <v>0</v>
      </c>
      <c r="AI32" s="193">
        <v>0</v>
      </c>
      <c r="AJ32" s="238">
        <f t="shared" si="16"/>
        <v>0</v>
      </c>
      <c r="AK32" s="193">
        <v>0</v>
      </c>
      <c r="AL32" s="238">
        <f t="shared" si="17"/>
        <v>0</v>
      </c>
      <c r="AM32" s="193">
        <v>0</v>
      </c>
      <c r="AN32" s="238">
        <f t="shared" si="18"/>
        <v>0</v>
      </c>
      <c r="AO32" s="193">
        <v>0</v>
      </c>
      <c r="AP32" s="238">
        <f t="shared" si="19"/>
        <v>0</v>
      </c>
      <c r="AQ32" s="193">
        <v>0</v>
      </c>
      <c r="AR32" s="238">
        <f t="shared" si="20"/>
        <v>0</v>
      </c>
      <c r="AS32" s="193">
        <v>0</v>
      </c>
      <c r="AT32" s="238">
        <f t="shared" si="21"/>
        <v>0</v>
      </c>
      <c r="AU32" s="193">
        <v>0</v>
      </c>
      <c r="AV32" s="238">
        <f t="shared" si="22"/>
        <v>0</v>
      </c>
      <c r="AW32" s="193">
        <v>0</v>
      </c>
      <c r="AX32" s="238">
        <f t="shared" si="23"/>
        <v>0</v>
      </c>
      <c r="AY32" s="193">
        <v>0</v>
      </c>
      <c r="AZ32" s="238">
        <f t="shared" si="24"/>
        <v>0</v>
      </c>
      <c r="BA32" s="193">
        <v>0</v>
      </c>
      <c r="BB32" s="238">
        <f t="shared" si="25"/>
        <v>0</v>
      </c>
      <c r="BC32" s="193">
        <v>0</v>
      </c>
      <c r="BD32" s="238">
        <f t="shared" si="26"/>
        <v>0</v>
      </c>
      <c r="BE32" s="193">
        <v>0</v>
      </c>
      <c r="BF32" s="238">
        <f t="shared" si="27"/>
        <v>0</v>
      </c>
      <c r="BG32" s="193">
        <v>0</v>
      </c>
      <c r="BH32" s="238">
        <f t="shared" si="28"/>
        <v>0</v>
      </c>
      <c r="BI32" s="193">
        <v>0</v>
      </c>
      <c r="BJ32" s="238">
        <f t="shared" si="29"/>
        <v>0</v>
      </c>
      <c r="BK32" s="193">
        <v>0</v>
      </c>
      <c r="BL32" s="238">
        <f t="shared" si="30"/>
        <v>0</v>
      </c>
      <c r="BM32" s="193">
        <v>0</v>
      </c>
      <c r="BN32" s="238">
        <f t="shared" si="31"/>
        <v>0</v>
      </c>
      <c r="BO32" s="193">
        <v>0</v>
      </c>
      <c r="BP32" s="238">
        <f t="shared" si="32"/>
        <v>0</v>
      </c>
      <c r="BQ32" s="193">
        <v>0</v>
      </c>
      <c r="BR32" s="238">
        <f t="shared" si="33"/>
        <v>0</v>
      </c>
      <c r="BS32" s="225"/>
      <c r="BT32" s="239">
        <f t="shared" si="36"/>
        <v>10271.299999999999</v>
      </c>
      <c r="BU32" s="238">
        <f t="shared" si="38"/>
        <v>426258.94999999995</v>
      </c>
    </row>
    <row r="33" spans="1:73" ht="14.25">
      <c r="A33" s="241">
        <v>1978</v>
      </c>
      <c r="B33" s="528">
        <f t="shared" si="37"/>
        <v>40.5</v>
      </c>
      <c r="C33" s="193">
        <v>0</v>
      </c>
      <c r="D33" s="238">
        <f t="shared" si="35"/>
        <v>0</v>
      </c>
      <c r="E33" s="193">
        <v>0</v>
      </c>
      <c r="F33" s="238">
        <f t="shared" si="1"/>
        <v>0</v>
      </c>
      <c r="G33" s="193">
        <v>748.79999999999995</v>
      </c>
      <c r="H33" s="238">
        <f t="shared" si="2"/>
        <v>30326.399999999998</v>
      </c>
      <c r="I33" s="193">
        <v>0</v>
      </c>
      <c r="J33" s="238">
        <f t="shared" si="3"/>
        <v>0</v>
      </c>
      <c r="K33" s="193">
        <v>0</v>
      </c>
      <c r="L33" s="238">
        <f t="shared" si="4"/>
        <v>0</v>
      </c>
      <c r="M33" s="193">
        <v>0</v>
      </c>
      <c r="N33" s="238">
        <f t="shared" si="5"/>
        <v>0</v>
      </c>
      <c r="O33" s="193">
        <v>0</v>
      </c>
      <c r="P33" s="238">
        <f t="shared" si="6"/>
        <v>0</v>
      </c>
      <c r="Q33" s="193">
        <v>477.55000000000001</v>
      </c>
      <c r="R33" s="238">
        <f t="shared" si="7"/>
        <v>19340.775000000001</v>
      </c>
      <c r="S33" s="193">
        <v>0</v>
      </c>
      <c r="T33" s="238">
        <f t="shared" si="8"/>
        <v>0</v>
      </c>
      <c r="U33" s="193">
        <v>0</v>
      </c>
      <c r="V33" s="238">
        <f t="shared" si="9"/>
        <v>0</v>
      </c>
      <c r="W33" s="193">
        <v>0</v>
      </c>
      <c r="X33" s="238">
        <f t="shared" si="10"/>
        <v>0</v>
      </c>
      <c r="Y33" s="193">
        <v>0</v>
      </c>
      <c r="Z33" s="238">
        <f t="shared" si="11"/>
        <v>0</v>
      </c>
      <c r="AA33" s="193">
        <v>0</v>
      </c>
      <c r="AB33" s="238">
        <f t="shared" si="12"/>
        <v>0</v>
      </c>
      <c r="AC33" s="193">
        <v>0</v>
      </c>
      <c r="AD33" s="238">
        <f t="shared" si="13"/>
        <v>0</v>
      </c>
      <c r="AE33" s="193">
        <v>172.83000000000001</v>
      </c>
      <c r="AF33" s="238">
        <f t="shared" si="14"/>
        <v>6999.6150000000007</v>
      </c>
      <c r="AG33" s="193">
        <v>276.55000000000001</v>
      </c>
      <c r="AH33" s="238">
        <f t="shared" si="15"/>
        <v>11200.275</v>
      </c>
      <c r="AI33" s="193">
        <v>0</v>
      </c>
      <c r="AJ33" s="238">
        <f t="shared" si="16"/>
        <v>0</v>
      </c>
      <c r="AK33" s="193">
        <v>0</v>
      </c>
      <c r="AL33" s="238">
        <f t="shared" si="17"/>
        <v>0</v>
      </c>
      <c r="AM33" s="193">
        <v>0</v>
      </c>
      <c r="AN33" s="238">
        <f t="shared" si="18"/>
        <v>0</v>
      </c>
      <c r="AO33" s="193">
        <v>0</v>
      </c>
      <c r="AP33" s="238">
        <f t="shared" si="19"/>
        <v>0</v>
      </c>
      <c r="AQ33" s="193">
        <v>0</v>
      </c>
      <c r="AR33" s="238">
        <f t="shared" si="20"/>
        <v>0</v>
      </c>
      <c r="AS33" s="193">
        <v>0</v>
      </c>
      <c r="AT33" s="238">
        <f t="shared" si="21"/>
        <v>0</v>
      </c>
      <c r="AU33" s="193">
        <v>0</v>
      </c>
      <c r="AV33" s="238">
        <f t="shared" si="22"/>
        <v>0</v>
      </c>
      <c r="AW33" s="193">
        <v>0</v>
      </c>
      <c r="AX33" s="238">
        <f t="shared" si="23"/>
        <v>0</v>
      </c>
      <c r="AY33" s="193">
        <v>0</v>
      </c>
      <c r="AZ33" s="238">
        <f t="shared" si="24"/>
        <v>0</v>
      </c>
      <c r="BA33" s="193">
        <v>0</v>
      </c>
      <c r="BB33" s="238">
        <f t="shared" si="25"/>
        <v>0</v>
      </c>
      <c r="BC33" s="193">
        <v>0</v>
      </c>
      <c r="BD33" s="238">
        <f t="shared" si="26"/>
        <v>0</v>
      </c>
      <c r="BE33" s="193">
        <v>0</v>
      </c>
      <c r="BF33" s="238">
        <f t="shared" si="27"/>
        <v>0</v>
      </c>
      <c r="BG33" s="193">
        <v>0</v>
      </c>
      <c r="BH33" s="238">
        <f t="shared" si="28"/>
        <v>0</v>
      </c>
      <c r="BI33" s="193">
        <v>0</v>
      </c>
      <c r="BJ33" s="238">
        <f t="shared" si="29"/>
        <v>0</v>
      </c>
      <c r="BK33" s="193">
        <v>0</v>
      </c>
      <c r="BL33" s="238">
        <f t="shared" si="30"/>
        <v>0</v>
      </c>
      <c r="BM33" s="193">
        <v>0</v>
      </c>
      <c r="BN33" s="238">
        <f t="shared" si="31"/>
        <v>0</v>
      </c>
      <c r="BO33" s="193">
        <v>0</v>
      </c>
      <c r="BP33" s="238">
        <f t="shared" si="32"/>
        <v>0</v>
      </c>
      <c r="BQ33" s="193">
        <v>0</v>
      </c>
      <c r="BR33" s="238">
        <f t="shared" si="33"/>
        <v>0</v>
      </c>
      <c r="BS33" s="225"/>
      <c r="BT33" s="239">
        <f t="shared" si="36"/>
        <v>1675.7299999999998</v>
      </c>
      <c r="BU33" s="238">
        <f t="shared" si="38"/>
        <v>67867.064999999988</v>
      </c>
    </row>
    <row r="34" spans="1:73" ht="14.25">
      <c r="A34" s="241">
        <v>1979</v>
      </c>
      <c r="B34" s="528">
        <f t="shared" si="37"/>
        <v>39.5</v>
      </c>
      <c r="C34" s="193">
        <v>0</v>
      </c>
      <c r="D34" s="238">
        <f t="shared" si="35"/>
        <v>0</v>
      </c>
      <c r="E34" s="193">
        <v>0</v>
      </c>
      <c r="F34" s="238">
        <f t="shared" si="1"/>
        <v>0</v>
      </c>
      <c r="G34" s="193">
        <v>0</v>
      </c>
      <c r="H34" s="238">
        <f t="shared" si="2"/>
        <v>0</v>
      </c>
      <c r="I34" s="193">
        <v>0</v>
      </c>
      <c r="J34" s="238">
        <f t="shared" si="3"/>
        <v>0</v>
      </c>
      <c r="K34" s="193">
        <v>0</v>
      </c>
      <c r="L34" s="238">
        <f t="shared" si="4"/>
        <v>0</v>
      </c>
      <c r="M34" s="193">
        <v>0</v>
      </c>
      <c r="N34" s="238">
        <f t="shared" si="5"/>
        <v>0</v>
      </c>
      <c r="O34" s="193">
        <v>0</v>
      </c>
      <c r="P34" s="238">
        <f t="shared" si="6"/>
        <v>0</v>
      </c>
      <c r="Q34" s="193">
        <v>1961.6099999999999</v>
      </c>
      <c r="R34" s="238">
        <f t="shared" si="7"/>
        <v>77483.595000000001</v>
      </c>
      <c r="S34" s="193">
        <v>0</v>
      </c>
      <c r="T34" s="238">
        <f t="shared" si="8"/>
        <v>0</v>
      </c>
      <c r="U34" s="193">
        <v>0</v>
      </c>
      <c r="V34" s="238">
        <f t="shared" si="9"/>
        <v>0</v>
      </c>
      <c r="W34" s="193">
        <v>0</v>
      </c>
      <c r="X34" s="238">
        <f t="shared" si="10"/>
        <v>0</v>
      </c>
      <c r="Y34" s="193">
        <v>0</v>
      </c>
      <c r="Z34" s="238">
        <f t="shared" si="11"/>
        <v>0</v>
      </c>
      <c r="AA34" s="193">
        <v>0</v>
      </c>
      <c r="AB34" s="238">
        <f t="shared" si="12"/>
        <v>0</v>
      </c>
      <c r="AC34" s="193">
        <v>0</v>
      </c>
      <c r="AD34" s="238">
        <f t="shared" si="13"/>
        <v>0</v>
      </c>
      <c r="AE34" s="193">
        <v>0</v>
      </c>
      <c r="AF34" s="238">
        <f t="shared" si="14"/>
        <v>0</v>
      </c>
      <c r="AG34" s="193">
        <v>854.24000000000001</v>
      </c>
      <c r="AH34" s="238">
        <f t="shared" si="15"/>
        <v>33742.480000000003</v>
      </c>
      <c r="AI34" s="193">
        <v>0</v>
      </c>
      <c r="AJ34" s="238">
        <f t="shared" si="16"/>
        <v>0</v>
      </c>
      <c r="AK34" s="193">
        <v>0</v>
      </c>
      <c r="AL34" s="238">
        <f t="shared" si="17"/>
        <v>0</v>
      </c>
      <c r="AM34" s="193">
        <v>0</v>
      </c>
      <c r="AN34" s="238">
        <f t="shared" si="18"/>
        <v>0</v>
      </c>
      <c r="AO34" s="193">
        <v>0</v>
      </c>
      <c r="AP34" s="238">
        <f t="shared" si="19"/>
        <v>0</v>
      </c>
      <c r="AQ34" s="193">
        <v>0</v>
      </c>
      <c r="AR34" s="238">
        <f t="shared" si="20"/>
        <v>0</v>
      </c>
      <c r="AS34" s="193">
        <v>0</v>
      </c>
      <c r="AT34" s="238">
        <f t="shared" si="21"/>
        <v>0</v>
      </c>
      <c r="AU34" s="193">
        <v>0</v>
      </c>
      <c r="AV34" s="238">
        <f t="shared" si="22"/>
        <v>0</v>
      </c>
      <c r="AW34" s="193">
        <v>0</v>
      </c>
      <c r="AX34" s="238">
        <f t="shared" si="23"/>
        <v>0</v>
      </c>
      <c r="AY34" s="193">
        <v>0</v>
      </c>
      <c r="AZ34" s="238">
        <f t="shared" si="24"/>
        <v>0</v>
      </c>
      <c r="BA34" s="193">
        <v>0</v>
      </c>
      <c r="BB34" s="238">
        <f t="shared" si="25"/>
        <v>0</v>
      </c>
      <c r="BC34" s="193">
        <v>0</v>
      </c>
      <c r="BD34" s="238">
        <f t="shared" si="26"/>
        <v>0</v>
      </c>
      <c r="BE34" s="193">
        <v>0</v>
      </c>
      <c r="BF34" s="238">
        <f t="shared" si="27"/>
        <v>0</v>
      </c>
      <c r="BG34" s="193">
        <v>0</v>
      </c>
      <c r="BH34" s="238">
        <f t="shared" si="28"/>
        <v>0</v>
      </c>
      <c r="BI34" s="193">
        <v>0</v>
      </c>
      <c r="BJ34" s="238">
        <f t="shared" si="29"/>
        <v>0</v>
      </c>
      <c r="BK34" s="193">
        <v>0</v>
      </c>
      <c r="BL34" s="238">
        <f t="shared" si="30"/>
        <v>0</v>
      </c>
      <c r="BM34" s="193">
        <v>0</v>
      </c>
      <c r="BN34" s="238">
        <f t="shared" si="31"/>
        <v>0</v>
      </c>
      <c r="BO34" s="193">
        <v>0</v>
      </c>
      <c r="BP34" s="238">
        <f t="shared" si="32"/>
        <v>0</v>
      </c>
      <c r="BQ34" s="193">
        <v>0</v>
      </c>
      <c r="BR34" s="238">
        <f t="shared" si="33"/>
        <v>0</v>
      </c>
      <c r="BS34" s="225"/>
      <c r="BT34" s="239">
        <f t="shared" si="36"/>
        <v>2815.8499999999999</v>
      </c>
      <c r="BU34" s="238">
        <f t="shared" si="38"/>
        <v>111226.075</v>
      </c>
    </row>
    <row r="35" spans="1:73" ht="14.25">
      <c r="A35" s="241">
        <v>1980</v>
      </c>
      <c r="B35" s="528">
        <f t="shared" si="37"/>
        <v>38.5</v>
      </c>
      <c r="C35" s="193">
        <v>0</v>
      </c>
      <c r="D35" s="238">
        <f t="shared" si="35"/>
        <v>0</v>
      </c>
      <c r="E35" s="193">
        <v>0</v>
      </c>
      <c r="F35" s="238">
        <f t="shared" si="1"/>
        <v>0</v>
      </c>
      <c r="G35" s="193">
        <v>533.47000000000003</v>
      </c>
      <c r="H35" s="238">
        <f t="shared" si="2"/>
        <v>20538.595000000001</v>
      </c>
      <c r="I35" s="193">
        <v>0</v>
      </c>
      <c r="J35" s="238">
        <f t="shared" si="3"/>
        <v>0</v>
      </c>
      <c r="K35" s="193">
        <v>0</v>
      </c>
      <c r="L35" s="238">
        <f t="shared" si="4"/>
        <v>0</v>
      </c>
      <c r="M35" s="193">
        <v>0</v>
      </c>
      <c r="N35" s="238">
        <f t="shared" si="5"/>
        <v>0</v>
      </c>
      <c r="O35" s="193">
        <v>0</v>
      </c>
      <c r="P35" s="238">
        <f t="shared" si="6"/>
        <v>0</v>
      </c>
      <c r="Q35" s="193">
        <v>0</v>
      </c>
      <c r="R35" s="238">
        <f t="shared" si="7"/>
        <v>0</v>
      </c>
      <c r="S35" s="193">
        <v>0</v>
      </c>
      <c r="T35" s="238">
        <f t="shared" si="8"/>
        <v>0</v>
      </c>
      <c r="U35" s="193">
        <v>0</v>
      </c>
      <c r="V35" s="238">
        <f t="shared" si="9"/>
        <v>0</v>
      </c>
      <c r="W35" s="193">
        <v>0</v>
      </c>
      <c r="X35" s="238">
        <f t="shared" si="10"/>
        <v>0</v>
      </c>
      <c r="Y35" s="193">
        <v>0</v>
      </c>
      <c r="Z35" s="238">
        <f t="shared" si="11"/>
        <v>0</v>
      </c>
      <c r="AA35" s="193">
        <v>0</v>
      </c>
      <c r="AB35" s="238">
        <f t="shared" si="12"/>
        <v>0</v>
      </c>
      <c r="AC35" s="193">
        <v>0</v>
      </c>
      <c r="AD35" s="238">
        <f t="shared" si="13"/>
        <v>0</v>
      </c>
      <c r="AE35" s="193">
        <v>0</v>
      </c>
      <c r="AF35" s="238">
        <f t="shared" si="14"/>
        <v>0</v>
      </c>
      <c r="AG35" s="193">
        <v>0</v>
      </c>
      <c r="AH35" s="238">
        <f t="shared" si="15"/>
        <v>0</v>
      </c>
      <c r="AI35" s="193">
        <v>0</v>
      </c>
      <c r="AJ35" s="238">
        <f t="shared" si="16"/>
        <v>0</v>
      </c>
      <c r="AK35" s="193">
        <v>0</v>
      </c>
      <c r="AL35" s="238">
        <f t="shared" si="17"/>
        <v>0</v>
      </c>
      <c r="AM35" s="193">
        <v>0</v>
      </c>
      <c r="AN35" s="238">
        <f t="shared" si="18"/>
        <v>0</v>
      </c>
      <c r="AO35" s="193">
        <v>0</v>
      </c>
      <c r="AP35" s="238">
        <f t="shared" si="19"/>
        <v>0</v>
      </c>
      <c r="AQ35" s="193">
        <v>0</v>
      </c>
      <c r="AR35" s="238">
        <f t="shared" si="20"/>
        <v>0</v>
      </c>
      <c r="AS35" s="193">
        <v>0</v>
      </c>
      <c r="AT35" s="238">
        <f t="shared" si="21"/>
        <v>0</v>
      </c>
      <c r="AU35" s="193">
        <v>0</v>
      </c>
      <c r="AV35" s="238">
        <f t="shared" si="22"/>
        <v>0</v>
      </c>
      <c r="AW35" s="193">
        <v>0</v>
      </c>
      <c r="AX35" s="238">
        <f t="shared" si="23"/>
        <v>0</v>
      </c>
      <c r="AY35" s="193">
        <v>0</v>
      </c>
      <c r="AZ35" s="238">
        <f t="shared" si="24"/>
        <v>0</v>
      </c>
      <c r="BA35" s="193">
        <v>0</v>
      </c>
      <c r="BB35" s="238">
        <f t="shared" si="25"/>
        <v>0</v>
      </c>
      <c r="BC35" s="193">
        <v>0</v>
      </c>
      <c r="BD35" s="238">
        <f t="shared" si="26"/>
        <v>0</v>
      </c>
      <c r="BE35" s="193">
        <v>0</v>
      </c>
      <c r="BF35" s="238">
        <f t="shared" si="27"/>
        <v>0</v>
      </c>
      <c r="BG35" s="193">
        <v>0</v>
      </c>
      <c r="BH35" s="238">
        <f t="shared" si="28"/>
        <v>0</v>
      </c>
      <c r="BI35" s="193">
        <v>0</v>
      </c>
      <c r="BJ35" s="238">
        <f t="shared" si="29"/>
        <v>0</v>
      </c>
      <c r="BK35" s="193">
        <v>0</v>
      </c>
      <c r="BL35" s="238">
        <f t="shared" si="30"/>
        <v>0</v>
      </c>
      <c r="BM35" s="193">
        <v>0</v>
      </c>
      <c r="BN35" s="238">
        <f t="shared" si="31"/>
        <v>0</v>
      </c>
      <c r="BO35" s="193">
        <v>0</v>
      </c>
      <c r="BP35" s="238">
        <f t="shared" si="32"/>
        <v>0</v>
      </c>
      <c r="BQ35" s="193">
        <v>0</v>
      </c>
      <c r="BR35" s="238">
        <f t="shared" si="33"/>
        <v>0</v>
      </c>
      <c r="BS35" s="225"/>
      <c r="BT35" s="239">
        <f t="shared" si="36"/>
        <v>533.47000000000003</v>
      </c>
      <c r="BU35" s="238">
        <f t="shared" si="38"/>
        <v>20538.595000000001</v>
      </c>
    </row>
    <row r="36" spans="1:73" ht="14.25">
      <c r="A36" s="241">
        <v>1981</v>
      </c>
      <c r="B36" s="528">
        <f t="shared" si="37"/>
        <v>37.5</v>
      </c>
      <c r="C36" s="193">
        <v>0</v>
      </c>
      <c r="D36" s="238">
        <f t="shared" si="35"/>
        <v>0</v>
      </c>
      <c r="E36" s="193">
        <v>0</v>
      </c>
      <c r="F36" s="238">
        <f t="shared" si="1"/>
        <v>0</v>
      </c>
      <c r="G36" s="193">
        <v>838.02999999999997</v>
      </c>
      <c r="H36" s="238">
        <f t="shared" si="2"/>
        <v>31426.125</v>
      </c>
      <c r="I36" s="193">
        <v>0</v>
      </c>
      <c r="J36" s="238">
        <f t="shared" si="3"/>
        <v>0</v>
      </c>
      <c r="K36" s="193">
        <v>0</v>
      </c>
      <c r="L36" s="238">
        <f t="shared" si="4"/>
        <v>0</v>
      </c>
      <c r="M36" s="193">
        <v>0</v>
      </c>
      <c r="N36" s="238">
        <f t="shared" si="5"/>
        <v>0</v>
      </c>
      <c r="O36" s="193">
        <v>0</v>
      </c>
      <c r="P36" s="238">
        <f t="shared" si="6"/>
        <v>0</v>
      </c>
      <c r="Q36" s="193">
        <v>10675.530000000001</v>
      </c>
      <c r="R36" s="238">
        <f t="shared" si="7"/>
        <v>400332.375</v>
      </c>
      <c r="S36" s="193">
        <v>0</v>
      </c>
      <c r="T36" s="238">
        <f t="shared" si="8"/>
        <v>0</v>
      </c>
      <c r="U36" s="193">
        <v>0</v>
      </c>
      <c r="V36" s="238">
        <f t="shared" si="9"/>
        <v>0</v>
      </c>
      <c r="W36" s="193">
        <v>0</v>
      </c>
      <c r="X36" s="238">
        <f t="shared" si="10"/>
        <v>0</v>
      </c>
      <c r="Y36" s="193">
        <v>0</v>
      </c>
      <c r="Z36" s="238">
        <f t="shared" si="11"/>
        <v>0</v>
      </c>
      <c r="AA36" s="193">
        <v>0</v>
      </c>
      <c r="AB36" s="238">
        <f t="shared" si="12"/>
        <v>0</v>
      </c>
      <c r="AC36" s="193">
        <v>0</v>
      </c>
      <c r="AD36" s="238">
        <f t="shared" si="13"/>
        <v>0</v>
      </c>
      <c r="AE36" s="193">
        <v>0</v>
      </c>
      <c r="AF36" s="238">
        <f t="shared" si="14"/>
        <v>0</v>
      </c>
      <c r="AG36" s="193">
        <v>0</v>
      </c>
      <c r="AH36" s="238">
        <f t="shared" si="15"/>
        <v>0</v>
      </c>
      <c r="AI36" s="193">
        <v>0</v>
      </c>
      <c r="AJ36" s="238">
        <f t="shared" si="16"/>
        <v>0</v>
      </c>
      <c r="AK36" s="193">
        <v>0</v>
      </c>
      <c r="AL36" s="238">
        <f t="shared" si="17"/>
        <v>0</v>
      </c>
      <c r="AM36" s="193">
        <v>0</v>
      </c>
      <c r="AN36" s="238">
        <f t="shared" si="18"/>
        <v>0</v>
      </c>
      <c r="AO36" s="193">
        <v>0</v>
      </c>
      <c r="AP36" s="238">
        <f t="shared" si="19"/>
        <v>0</v>
      </c>
      <c r="AQ36" s="193">
        <v>0</v>
      </c>
      <c r="AR36" s="238">
        <f t="shared" si="20"/>
        <v>0</v>
      </c>
      <c r="AS36" s="193">
        <v>0</v>
      </c>
      <c r="AT36" s="238">
        <f t="shared" si="21"/>
        <v>0</v>
      </c>
      <c r="AU36" s="193">
        <v>0</v>
      </c>
      <c r="AV36" s="238">
        <f t="shared" si="22"/>
        <v>0</v>
      </c>
      <c r="AW36" s="193">
        <v>0</v>
      </c>
      <c r="AX36" s="238">
        <f t="shared" si="23"/>
        <v>0</v>
      </c>
      <c r="AY36" s="193">
        <v>0</v>
      </c>
      <c r="AZ36" s="238">
        <f t="shared" si="24"/>
        <v>0</v>
      </c>
      <c r="BA36" s="193">
        <v>0</v>
      </c>
      <c r="BB36" s="238">
        <f t="shared" si="25"/>
        <v>0</v>
      </c>
      <c r="BC36" s="193">
        <v>0</v>
      </c>
      <c r="BD36" s="238">
        <f t="shared" si="26"/>
        <v>0</v>
      </c>
      <c r="BE36" s="193">
        <v>0</v>
      </c>
      <c r="BF36" s="238">
        <f t="shared" si="27"/>
        <v>0</v>
      </c>
      <c r="BG36" s="193">
        <v>0</v>
      </c>
      <c r="BH36" s="238">
        <f t="shared" si="28"/>
        <v>0</v>
      </c>
      <c r="BI36" s="193">
        <v>0</v>
      </c>
      <c r="BJ36" s="238">
        <f t="shared" si="29"/>
        <v>0</v>
      </c>
      <c r="BK36" s="193">
        <v>0</v>
      </c>
      <c r="BL36" s="238">
        <f t="shared" si="30"/>
        <v>0</v>
      </c>
      <c r="BM36" s="193">
        <v>0</v>
      </c>
      <c r="BN36" s="238">
        <f t="shared" si="31"/>
        <v>0</v>
      </c>
      <c r="BO36" s="193">
        <v>0</v>
      </c>
      <c r="BP36" s="238">
        <f t="shared" si="32"/>
        <v>0</v>
      </c>
      <c r="BQ36" s="193">
        <v>0</v>
      </c>
      <c r="BR36" s="238">
        <f t="shared" si="33"/>
        <v>0</v>
      </c>
      <c r="BS36" s="225"/>
      <c r="BT36" s="239">
        <f t="shared" si="36"/>
        <v>11513.560000000001</v>
      </c>
      <c r="BU36" s="238">
        <f t="shared" si="38"/>
        <v>431758.50000000006</v>
      </c>
    </row>
    <row r="37" spans="1:73" ht="14.25">
      <c r="A37" s="241">
        <v>1982</v>
      </c>
      <c r="B37" s="528">
        <f t="shared" si="37"/>
        <v>36.5</v>
      </c>
      <c r="C37" s="193">
        <v>0</v>
      </c>
      <c r="D37" s="238">
        <f t="shared" si="35"/>
        <v>0</v>
      </c>
      <c r="E37" s="193">
        <v>0</v>
      </c>
      <c r="F37" s="238">
        <f t="shared" si="1"/>
        <v>0</v>
      </c>
      <c r="G37" s="193">
        <v>0</v>
      </c>
      <c r="H37" s="238">
        <f t="shared" si="2"/>
        <v>0</v>
      </c>
      <c r="I37" s="193">
        <v>0</v>
      </c>
      <c r="J37" s="238">
        <f t="shared" si="3"/>
        <v>0</v>
      </c>
      <c r="K37" s="193">
        <v>0</v>
      </c>
      <c r="L37" s="238">
        <f t="shared" si="4"/>
        <v>0</v>
      </c>
      <c r="M37" s="193">
        <v>0</v>
      </c>
      <c r="N37" s="238">
        <f t="shared" si="5"/>
        <v>0</v>
      </c>
      <c r="O37" s="193">
        <v>0</v>
      </c>
      <c r="P37" s="238">
        <f t="shared" si="6"/>
        <v>0</v>
      </c>
      <c r="Q37" s="193">
        <v>391.74000000000001</v>
      </c>
      <c r="R37" s="238">
        <f t="shared" si="7"/>
        <v>14298.51</v>
      </c>
      <c r="S37" s="193">
        <v>0</v>
      </c>
      <c r="T37" s="238">
        <f t="shared" si="8"/>
        <v>0</v>
      </c>
      <c r="U37" s="193">
        <v>0</v>
      </c>
      <c r="V37" s="238">
        <f t="shared" si="9"/>
        <v>0</v>
      </c>
      <c r="W37" s="193">
        <v>0</v>
      </c>
      <c r="X37" s="238">
        <f t="shared" si="10"/>
        <v>0</v>
      </c>
      <c r="Y37" s="193">
        <v>0</v>
      </c>
      <c r="Z37" s="238">
        <f t="shared" si="11"/>
        <v>0</v>
      </c>
      <c r="AA37" s="193">
        <v>0</v>
      </c>
      <c r="AB37" s="238">
        <f t="shared" si="12"/>
        <v>0</v>
      </c>
      <c r="AC37" s="193">
        <v>0</v>
      </c>
      <c r="AD37" s="238">
        <f t="shared" si="13"/>
        <v>0</v>
      </c>
      <c r="AE37" s="193">
        <v>0</v>
      </c>
      <c r="AF37" s="238">
        <f t="shared" si="14"/>
        <v>0</v>
      </c>
      <c r="AG37" s="193">
        <v>0</v>
      </c>
      <c r="AH37" s="238">
        <f t="shared" si="15"/>
        <v>0</v>
      </c>
      <c r="AI37" s="193">
        <v>0</v>
      </c>
      <c r="AJ37" s="238">
        <f t="shared" si="16"/>
        <v>0</v>
      </c>
      <c r="AK37" s="193">
        <v>0</v>
      </c>
      <c r="AL37" s="238">
        <f t="shared" si="17"/>
        <v>0</v>
      </c>
      <c r="AM37" s="193">
        <v>0</v>
      </c>
      <c r="AN37" s="238">
        <f t="shared" si="18"/>
        <v>0</v>
      </c>
      <c r="AO37" s="193">
        <v>0</v>
      </c>
      <c r="AP37" s="238">
        <f t="shared" si="19"/>
        <v>0</v>
      </c>
      <c r="AQ37" s="193">
        <v>0</v>
      </c>
      <c r="AR37" s="238">
        <f t="shared" si="20"/>
        <v>0</v>
      </c>
      <c r="AS37" s="193">
        <v>0</v>
      </c>
      <c r="AT37" s="238">
        <f t="shared" si="21"/>
        <v>0</v>
      </c>
      <c r="AU37" s="193">
        <v>0</v>
      </c>
      <c r="AV37" s="238">
        <f t="shared" si="22"/>
        <v>0</v>
      </c>
      <c r="AW37" s="193">
        <v>0</v>
      </c>
      <c r="AX37" s="238">
        <f t="shared" si="23"/>
        <v>0</v>
      </c>
      <c r="AY37" s="193">
        <v>0</v>
      </c>
      <c r="AZ37" s="238">
        <f t="shared" si="24"/>
        <v>0</v>
      </c>
      <c r="BA37" s="193">
        <v>0</v>
      </c>
      <c r="BB37" s="238">
        <f t="shared" si="25"/>
        <v>0</v>
      </c>
      <c r="BC37" s="193">
        <v>0</v>
      </c>
      <c r="BD37" s="238">
        <f t="shared" si="26"/>
        <v>0</v>
      </c>
      <c r="BE37" s="193">
        <v>0</v>
      </c>
      <c r="BF37" s="238">
        <f t="shared" si="27"/>
        <v>0</v>
      </c>
      <c r="BG37" s="193">
        <v>0</v>
      </c>
      <c r="BH37" s="238">
        <f t="shared" si="28"/>
        <v>0</v>
      </c>
      <c r="BI37" s="193">
        <v>0</v>
      </c>
      <c r="BJ37" s="238">
        <f t="shared" si="29"/>
        <v>0</v>
      </c>
      <c r="BK37" s="193">
        <v>0</v>
      </c>
      <c r="BL37" s="238">
        <f t="shared" si="30"/>
        <v>0</v>
      </c>
      <c r="BM37" s="193">
        <v>0</v>
      </c>
      <c r="BN37" s="238">
        <f t="shared" si="31"/>
        <v>0</v>
      </c>
      <c r="BO37" s="193">
        <v>0</v>
      </c>
      <c r="BP37" s="238">
        <f t="shared" si="32"/>
        <v>0</v>
      </c>
      <c r="BQ37" s="193">
        <v>0</v>
      </c>
      <c r="BR37" s="238">
        <f t="shared" si="33"/>
        <v>0</v>
      </c>
      <c r="BS37" s="225"/>
      <c r="BT37" s="239">
        <f t="shared" si="36"/>
        <v>391.74000000000001</v>
      </c>
      <c r="BU37" s="238">
        <f t="shared" si="38"/>
        <v>14298.51</v>
      </c>
    </row>
    <row r="38" spans="1:73" ht="14.25" hidden="1">
      <c r="A38" s="241">
        <v>1983</v>
      </c>
      <c r="B38" s="528">
        <f t="shared" si="37"/>
        <v>35.5</v>
      </c>
      <c r="C38" s="193">
        <v>0</v>
      </c>
      <c r="D38" s="238">
        <f t="shared" si="35"/>
        <v>0</v>
      </c>
      <c r="E38" s="193">
        <v>0</v>
      </c>
      <c r="F38" s="238">
        <f t="shared" si="1"/>
        <v>0</v>
      </c>
      <c r="G38" s="193">
        <v>0</v>
      </c>
      <c r="H38" s="238">
        <f t="shared" si="2"/>
        <v>0</v>
      </c>
      <c r="I38" s="193">
        <v>0</v>
      </c>
      <c r="J38" s="238">
        <f t="shared" si="3"/>
        <v>0</v>
      </c>
      <c r="K38" s="193">
        <v>0</v>
      </c>
      <c r="L38" s="238">
        <f t="shared" si="4"/>
        <v>0</v>
      </c>
      <c r="M38" s="193">
        <v>0</v>
      </c>
      <c r="N38" s="238">
        <f t="shared" si="5"/>
        <v>0</v>
      </c>
      <c r="O38" s="193">
        <v>0</v>
      </c>
      <c r="P38" s="238">
        <f t="shared" si="6"/>
        <v>0</v>
      </c>
      <c r="Q38" s="193">
        <v>0</v>
      </c>
      <c r="R38" s="238">
        <f t="shared" si="7"/>
        <v>0</v>
      </c>
      <c r="S38" s="193">
        <v>0</v>
      </c>
      <c r="T38" s="238">
        <f t="shared" si="8"/>
        <v>0</v>
      </c>
      <c r="U38" s="193">
        <v>0</v>
      </c>
      <c r="V38" s="238">
        <f t="shared" si="9"/>
        <v>0</v>
      </c>
      <c r="W38" s="193">
        <v>0</v>
      </c>
      <c r="X38" s="238">
        <f t="shared" si="10"/>
        <v>0</v>
      </c>
      <c r="Y38" s="193">
        <v>0</v>
      </c>
      <c r="Z38" s="238">
        <f t="shared" si="11"/>
        <v>0</v>
      </c>
      <c r="AA38" s="193">
        <v>0</v>
      </c>
      <c r="AB38" s="238">
        <f t="shared" si="12"/>
        <v>0</v>
      </c>
      <c r="AC38" s="193">
        <v>0</v>
      </c>
      <c r="AD38" s="238">
        <f t="shared" si="13"/>
        <v>0</v>
      </c>
      <c r="AE38" s="193">
        <v>0</v>
      </c>
      <c r="AF38" s="238">
        <f t="shared" si="14"/>
        <v>0</v>
      </c>
      <c r="AG38" s="193">
        <v>0</v>
      </c>
      <c r="AH38" s="238">
        <f t="shared" si="15"/>
        <v>0</v>
      </c>
      <c r="AI38" s="193">
        <v>0</v>
      </c>
      <c r="AJ38" s="238">
        <f t="shared" si="16"/>
        <v>0</v>
      </c>
      <c r="AK38" s="193">
        <v>0</v>
      </c>
      <c r="AL38" s="238">
        <f t="shared" si="17"/>
        <v>0</v>
      </c>
      <c r="AM38" s="193">
        <v>0</v>
      </c>
      <c r="AN38" s="238">
        <f t="shared" si="18"/>
        <v>0</v>
      </c>
      <c r="AO38" s="193">
        <v>0</v>
      </c>
      <c r="AP38" s="238">
        <f t="shared" si="19"/>
        <v>0</v>
      </c>
      <c r="AQ38" s="193">
        <v>0</v>
      </c>
      <c r="AR38" s="238">
        <f t="shared" si="20"/>
        <v>0</v>
      </c>
      <c r="AS38" s="193">
        <v>0</v>
      </c>
      <c r="AT38" s="238">
        <f t="shared" si="21"/>
        <v>0</v>
      </c>
      <c r="AU38" s="193">
        <v>0</v>
      </c>
      <c r="AV38" s="238">
        <f t="shared" si="22"/>
        <v>0</v>
      </c>
      <c r="AW38" s="193">
        <v>0</v>
      </c>
      <c r="AX38" s="238">
        <f t="shared" si="23"/>
        <v>0</v>
      </c>
      <c r="AY38" s="193">
        <v>0</v>
      </c>
      <c r="AZ38" s="238">
        <f t="shared" si="24"/>
        <v>0</v>
      </c>
      <c r="BA38" s="193">
        <v>0</v>
      </c>
      <c r="BB38" s="238">
        <f t="shared" si="25"/>
        <v>0</v>
      </c>
      <c r="BC38" s="193">
        <v>0</v>
      </c>
      <c r="BD38" s="238">
        <f t="shared" si="26"/>
        <v>0</v>
      </c>
      <c r="BE38" s="193">
        <v>0</v>
      </c>
      <c r="BF38" s="238">
        <f t="shared" si="27"/>
        <v>0</v>
      </c>
      <c r="BG38" s="193">
        <v>0</v>
      </c>
      <c r="BH38" s="238">
        <f t="shared" si="28"/>
        <v>0</v>
      </c>
      <c r="BI38" s="193">
        <v>0</v>
      </c>
      <c r="BJ38" s="238">
        <f t="shared" si="29"/>
        <v>0</v>
      </c>
      <c r="BK38" s="193">
        <v>0</v>
      </c>
      <c r="BL38" s="238">
        <f t="shared" si="30"/>
        <v>0</v>
      </c>
      <c r="BM38" s="193">
        <v>0</v>
      </c>
      <c r="BN38" s="238">
        <f t="shared" si="31"/>
        <v>0</v>
      </c>
      <c r="BO38" s="193">
        <v>0</v>
      </c>
      <c r="BP38" s="238">
        <f t="shared" si="32"/>
        <v>0</v>
      </c>
      <c r="BQ38" s="193">
        <v>0</v>
      </c>
      <c r="BR38" s="238">
        <f t="shared" si="33"/>
        <v>0</v>
      </c>
      <c r="BS38" s="225"/>
      <c r="BT38" s="239">
        <f t="shared" si="36"/>
        <v>0</v>
      </c>
      <c r="BU38" s="238">
        <f t="shared" si="38"/>
        <v>0</v>
      </c>
    </row>
    <row r="39" spans="1:73" ht="14.25">
      <c r="A39" s="241">
        <v>1984</v>
      </c>
      <c r="B39" s="528">
        <f t="shared" si="37"/>
        <v>34.5</v>
      </c>
      <c r="C39" s="193">
        <v>0</v>
      </c>
      <c r="D39" s="238">
        <f t="shared" si="35"/>
        <v>0</v>
      </c>
      <c r="E39" s="193">
        <v>0</v>
      </c>
      <c r="F39" s="238">
        <f t="shared" si="1"/>
        <v>0</v>
      </c>
      <c r="G39" s="193">
        <v>0</v>
      </c>
      <c r="H39" s="238">
        <f t="shared" si="2"/>
        <v>0</v>
      </c>
      <c r="I39" s="193">
        <v>0</v>
      </c>
      <c r="J39" s="238">
        <f t="shared" si="3"/>
        <v>0</v>
      </c>
      <c r="K39" s="193">
        <v>0</v>
      </c>
      <c r="L39" s="238">
        <f t="shared" si="4"/>
        <v>0</v>
      </c>
      <c r="M39" s="193">
        <v>0</v>
      </c>
      <c r="N39" s="238">
        <f t="shared" si="5"/>
        <v>0</v>
      </c>
      <c r="O39" s="193">
        <v>0</v>
      </c>
      <c r="P39" s="238">
        <f t="shared" si="6"/>
        <v>0</v>
      </c>
      <c r="Q39" s="193">
        <v>506.94999999999999</v>
      </c>
      <c r="R39" s="238">
        <f t="shared" si="7"/>
        <v>17489.774999999998</v>
      </c>
      <c r="S39" s="193">
        <v>0</v>
      </c>
      <c r="T39" s="238">
        <f t="shared" si="8"/>
        <v>0</v>
      </c>
      <c r="U39" s="193">
        <v>0</v>
      </c>
      <c r="V39" s="238">
        <f t="shared" si="9"/>
        <v>0</v>
      </c>
      <c r="W39" s="193">
        <v>0</v>
      </c>
      <c r="X39" s="238">
        <f t="shared" si="10"/>
        <v>0</v>
      </c>
      <c r="Y39" s="193">
        <v>0</v>
      </c>
      <c r="Z39" s="238">
        <f t="shared" si="11"/>
        <v>0</v>
      </c>
      <c r="AA39" s="193">
        <v>0</v>
      </c>
      <c r="AB39" s="238">
        <f t="shared" si="12"/>
        <v>0</v>
      </c>
      <c r="AC39" s="193">
        <v>0</v>
      </c>
      <c r="AD39" s="238">
        <f t="shared" si="13"/>
        <v>0</v>
      </c>
      <c r="AE39" s="193">
        <v>4215.9799999999996</v>
      </c>
      <c r="AF39" s="238">
        <f t="shared" si="14"/>
        <v>145451.31</v>
      </c>
      <c r="AG39" s="193">
        <v>0</v>
      </c>
      <c r="AH39" s="238">
        <f t="shared" si="15"/>
        <v>0</v>
      </c>
      <c r="AI39" s="193">
        <v>0</v>
      </c>
      <c r="AJ39" s="238">
        <f t="shared" si="16"/>
        <v>0</v>
      </c>
      <c r="AK39" s="193">
        <v>0</v>
      </c>
      <c r="AL39" s="238">
        <f t="shared" si="17"/>
        <v>0</v>
      </c>
      <c r="AM39" s="193">
        <v>0</v>
      </c>
      <c r="AN39" s="238">
        <f t="shared" si="18"/>
        <v>0</v>
      </c>
      <c r="AO39" s="193">
        <v>0</v>
      </c>
      <c r="AP39" s="238">
        <f t="shared" si="19"/>
        <v>0</v>
      </c>
      <c r="AQ39" s="193">
        <v>0</v>
      </c>
      <c r="AR39" s="238">
        <f t="shared" si="20"/>
        <v>0</v>
      </c>
      <c r="AS39" s="193">
        <v>0</v>
      </c>
      <c r="AT39" s="238">
        <f t="shared" si="21"/>
        <v>0</v>
      </c>
      <c r="AU39" s="193">
        <v>0</v>
      </c>
      <c r="AV39" s="238">
        <f t="shared" si="22"/>
        <v>0</v>
      </c>
      <c r="AW39" s="193">
        <v>0</v>
      </c>
      <c r="AX39" s="238">
        <f t="shared" si="23"/>
        <v>0</v>
      </c>
      <c r="AY39" s="193">
        <v>0</v>
      </c>
      <c r="AZ39" s="238">
        <f t="shared" si="24"/>
        <v>0</v>
      </c>
      <c r="BA39" s="193">
        <v>0</v>
      </c>
      <c r="BB39" s="238">
        <f t="shared" si="25"/>
        <v>0</v>
      </c>
      <c r="BC39" s="193">
        <v>0</v>
      </c>
      <c r="BD39" s="238">
        <f t="shared" si="26"/>
        <v>0</v>
      </c>
      <c r="BE39" s="193">
        <v>0</v>
      </c>
      <c r="BF39" s="238">
        <f t="shared" si="27"/>
        <v>0</v>
      </c>
      <c r="BG39" s="193">
        <v>0</v>
      </c>
      <c r="BH39" s="238">
        <f t="shared" si="28"/>
        <v>0</v>
      </c>
      <c r="BI39" s="193">
        <v>0</v>
      </c>
      <c r="BJ39" s="238">
        <f t="shared" si="29"/>
        <v>0</v>
      </c>
      <c r="BK39" s="193">
        <v>0</v>
      </c>
      <c r="BL39" s="238">
        <f t="shared" si="30"/>
        <v>0</v>
      </c>
      <c r="BM39" s="193">
        <v>0</v>
      </c>
      <c r="BN39" s="238">
        <f t="shared" si="31"/>
        <v>0</v>
      </c>
      <c r="BO39" s="193">
        <v>0</v>
      </c>
      <c r="BP39" s="238">
        <f t="shared" si="32"/>
        <v>0</v>
      </c>
      <c r="BQ39" s="193">
        <v>0</v>
      </c>
      <c r="BR39" s="238">
        <f t="shared" si="33"/>
        <v>0</v>
      </c>
      <c r="BS39" s="225"/>
      <c r="BT39" s="239">
        <f t="shared" si="36"/>
        <v>4722.9299999999994</v>
      </c>
      <c r="BU39" s="238">
        <f t="shared" si="38"/>
        <v>162941.08499999999</v>
      </c>
    </row>
    <row r="40" spans="1:73" ht="14.25">
      <c r="A40" s="241">
        <v>1985</v>
      </c>
      <c r="B40" s="528">
        <f t="shared" si="37"/>
        <v>33.5</v>
      </c>
      <c r="C40" s="193">
        <v>0</v>
      </c>
      <c r="D40" s="238">
        <f t="shared" si="35"/>
        <v>0</v>
      </c>
      <c r="E40" s="193">
        <v>0</v>
      </c>
      <c r="F40" s="238">
        <f t="shared" si="1"/>
        <v>0</v>
      </c>
      <c r="G40" s="193">
        <v>0</v>
      </c>
      <c r="H40" s="238">
        <f t="shared" si="2"/>
        <v>0</v>
      </c>
      <c r="I40" s="193">
        <v>0</v>
      </c>
      <c r="J40" s="238">
        <f t="shared" si="3"/>
        <v>0</v>
      </c>
      <c r="K40" s="193">
        <v>0</v>
      </c>
      <c r="L40" s="238">
        <f t="shared" si="4"/>
        <v>0</v>
      </c>
      <c r="M40" s="193">
        <v>0</v>
      </c>
      <c r="N40" s="238">
        <f t="shared" si="5"/>
        <v>0</v>
      </c>
      <c r="O40" s="193">
        <v>0</v>
      </c>
      <c r="P40" s="238">
        <f t="shared" si="6"/>
        <v>0</v>
      </c>
      <c r="Q40" s="193">
        <v>0</v>
      </c>
      <c r="R40" s="238">
        <f t="shared" si="7"/>
        <v>0</v>
      </c>
      <c r="S40" s="193">
        <v>0</v>
      </c>
      <c r="T40" s="238">
        <f t="shared" si="8"/>
        <v>0</v>
      </c>
      <c r="U40" s="193">
        <v>0</v>
      </c>
      <c r="V40" s="238">
        <f t="shared" si="9"/>
        <v>0</v>
      </c>
      <c r="W40" s="193">
        <v>0</v>
      </c>
      <c r="X40" s="238">
        <f t="shared" si="10"/>
        <v>0</v>
      </c>
      <c r="Y40" s="193">
        <v>0</v>
      </c>
      <c r="Z40" s="238">
        <f t="shared" si="11"/>
        <v>0</v>
      </c>
      <c r="AA40" s="193">
        <v>0</v>
      </c>
      <c r="AB40" s="238">
        <f t="shared" si="12"/>
        <v>0</v>
      </c>
      <c r="AC40" s="193">
        <v>0</v>
      </c>
      <c r="AD40" s="238">
        <f t="shared" si="13"/>
        <v>0</v>
      </c>
      <c r="AE40" s="193">
        <v>372.97000000000003</v>
      </c>
      <c r="AF40" s="238">
        <f t="shared" si="14"/>
        <v>12494.495000000001</v>
      </c>
      <c r="AG40" s="193">
        <v>0</v>
      </c>
      <c r="AH40" s="238">
        <f t="shared" si="15"/>
        <v>0</v>
      </c>
      <c r="AI40" s="193">
        <v>0</v>
      </c>
      <c r="AJ40" s="238">
        <f t="shared" si="16"/>
        <v>0</v>
      </c>
      <c r="AK40" s="193">
        <v>0</v>
      </c>
      <c r="AL40" s="238">
        <f t="shared" si="17"/>
        <v>0</v>
      </c>
      <c r="AM40" s="193">
        <v>0</v>
      </c>
      <c r="AN40" s="238">
        <f t="shared" si="18"/>
        <v>0</v>
      </c>
      <c r="AO40" s="193">
        <v>0</v>
      </c>
      <c r="AP40" s="238">
        <f t="shared" si="19"/>
        <v>0</v>
      </c>
      <c r="AQ40" s="193">
        <v>0</v>
      </c>
      <c r="AR40" s="238">
        <f t="shared" si="20"/>
        <v>0</v>
      </c>
      <c r="AS40" s="193">
        <v>0</v>
      </c>
      <c r="AT40" s="238">
        <f t="shared" si="21"/>
        <v>0</v>
      </c>
      <c r="AU40" s="193">
        <v>0</v>
      </c>
      <c r="AV40" s="238">
        <f t="shared" si="22"/>
        <v>0</v>
      </c>
      <c r="AW40" s="193">
        <v>0</v>
      </c>
      <c r="AX40" s="238">
        <f t="shared" si="23"/>
        <v>0</v>
      </c>
      <c r="AY40" s="193">
        <v>0</v>
      </c>
      <c r="AZ40" s="238">
        <f t="shared" si="24"/>
        <v>0</v>
      </c>
      <c r="BA40" s="193">
        <v>0</v>
      </c>
      <c r="BB40" s="238">
        <f t="shared" si="25"/>
        <v>0</v>
      </c>
      <c r="BC40" s="193">
        <v>0</v>
      </c>
      <c r="BD40" s="238">
        <f t="shared" si="26"/>
        <v>0</v>
      </c>
      <c r="BE40" s="193">
        <v>0</v>
      </c>
      <c r="BF40" s="238">
        <f t="shared" si="27"/>
        <v>0</v>
      </c>
      <c r="BG40" s="193">
        <v>0</v>
      </c>
      <c r="BH40" s="238">
        <f t="shared" si="28"/>
        <v>0</v>
      </c>
      <c r="BI40" s="193">
        <v>0</v>
      </c>
      <c r="BJ40" s="238">
        <f t="shared" si="29"/>
        <v>0</v>
      </c>
      <c r="BK40" s="193">
        <v>0</v>
      </c>
      <c r="BL40" s="238">
        <f t="shared" si="30"/>
        <v>0</v>
      </c>
      <c r="BM40" s="193">
        <v>0</v>
      </c>
      <c r="BN40" s="238">
        <f t="shared" si="31"/>
        <v>0</v>
      </c>
      <c r="BO40" s="193">
        <v>0</v>
      </c>
      <c r="BP40" s="238">
        <f t="shared" si="32"/>
        <v>0</v>
      </c>
      <c r="BQ40" s="193">
        <v>0</v>
      </c>
      <c r="BR40" s="238">
        <f t="shared" si="33"/>
        <v>0</v>
      </c>
      <c r="BS40" s="225"/>
      <c r="BT40" s="239">
        <f t="shared" si="36"/>
        <v>372.97000000000003</v>
      </c>
      <c r="BU40" s="238">
        <f t="shared" si="38"/>
        <v>12494.495000000001</v>
      </c>
    </row>
    <row r="41" spans="1:73" ht="14.25">
      <c r="A41" s="241">
        <v>1986</v>
      </c>
      <c r="B41" s="528">
        <f t="shared" si="37"/>
        <v>32.5</v>
      </c>
      <c r="C41" s="193">
        <v>0</v>
      </c>
      <c r="D41" s="238">
        <f t="shared" si="35"/>
        <v>0</v>
      </c>
      <c r="E41" s="193">
        <v>0</v>
      </c>
      <c r="F41" s="238">
        <f t="shared" si="1"/>
        <v>0</v>
      </c>
      <c r="G41" s="193">
        <v>0</v>
      </c>
      <c r="H41" s="238">
        <f t="shared" si="2"/>
        <v>0</v>
      </c>
      <c r="I41" s="193">
        <v>0</v>
      </c>
      <c r="J41" s="238">
        <f t="shared" si="3"/>
        <v>0</v>
      </c>
      <c r="K41" s="193">
        <v>0</v>
      </c>
      <c r="L41" s="238">
        <f t="shared" si="4"/>
        <v>0</v>
      </c>
      <c r="M41" s="193">
        <v>0</v>
      </c>
      <c r="N41" s="238">
        <f t="shared" si="5"/>
        <v>0</v>
      </c>
      <c r="O41" s="193">
        <v>0</v>
      </c>
      <c r="P41" s="238">
        <f t="shared" si="6"/>
        <v>0</v>
      </c>
      <c r="Q41" s="193">
        <v>0</v>
      </c>
      <c r="R41" s="238">
        <f t="shared" si="7"/>
        <v>0</v>
      </c>
      <c r="S41" s="193">
        <v>0</v>
      </c>
      <c r="T41" s="238">
        <f t="shared" si="8"/>
        <v>0</v>
      </c>
      <c r="U41" s="193">
        <v>0</v>
      </c>
      <c r="V41" s="238">
        <f t="shared" si="9"/>
        <v>0</v>
      </c>
      <c r="W41" s="193">
        <v>0</v>
      </c>
      <c r="X41" s="238">
        <f t="shared" si="10"/>
        <v>0</v>
      </c>
      <c r="Y41" s="193">
        <v>0</v>
      </c>
      <c r="Z41" s="238">
        <f t="shared" si="11"/>
        <v>0</v>
      </c>
      <c r="AA41" s="193">
        <v>0</v>
      </c>
      <c r="AB41" s="238">
        <f t="shared" si="12"/>
        <v>0</v>
      </c>
      <c r="AC41" s="193">
        <v>0</v>
      </c>
      <c r="AD41" s="238">
        <f t="shared" si="13"/>
        <v>0</v>
      </c>
      <c r="AE41" s="193">
        <v>43.539999999999999</v>
      </c>
      <c r="AF41" s="238">
        <f t="shared" si="14"/>
        <v>1415.05</v>
      </c>
      <c r="AG41" s="193">
        <v>0</v>
      </c>
      <c r="AH41" s="238">
        <f t="shared" si="15"/>
        <v>0</v>
      </c>
      <c r="AI41" s="193">
        <v>0</v>
      </c>
      <c r="AJ41" s="238">
        <f t="shared" si="16"/>
        <v>0</v>
      </c>
      <c r="AK41" s="193">
        <v>0</v>
      </c>
      <c r="AL41" s="238">
        <f t="shared" si="17"/>
        <v>0</v>
      </c>
      <c r="AM41" s="193">
        <v>0</v>
      </c>
      <c r="AN41" s="238">
        <f t="shared" si="18"/>
        <v>0</v>
      </c>
      <c r="AO41" s="193">
        <v>0</v>
      </c>
      <c r="AP41" s="238">
        <f t="shared" si="19"/>
        <v>0</v>
      </c>
      <c r="AQ41" s="193">
        <v>0</v>
      </c>
      <c r="AR41" s="238">
        <f t="shared" si="20"/>
        <v>0</v>
      </c>
      <c r="AS41" s="193">
        <v>0</v>
      </c>
      <c r="AT41" s="238">
        <f t="shared" si="21"/>
        <v>0</v>
      </c>
      <c r="AU41" s="193">
        <v>0</v>
      </c>
      <c r="AV41" s="238">
        <f t="shared" si="22"/>
        <v>0</v>
      </c>
      <c r="AW41" s="193">
        <v>0</v>
      </c>
      <c r="AX41" s="238">
        <f t="shared" si="23"/>
        <v>0</v>
      </c>
      <c r="AY41" s="193">
        <v>0</v>
      </c>
      <c r="AZ41" s="238">
        <f t="shared" si="24"/>
        <v>0</v>
      </c>
      <c r="BA41" s="193">
        <v>0</v>
      </c>
      <c r="BB41" s="238">
        <f t="shared" si="25"/>
        <v>0</v>
      </c>
      <c r="BC41" s="193">
        <v>0</v>
      </c>
      <c r="BD41" s="238">
        <f t="shared" si="26"/>
        <v>0</v>
      </c>
      <c r="BE41" s="193">
        <v>0</v>
      </c>
      <c r="BF41" s="238">
        <f t="shared" si="27"/>
        <v>0</v>
      </c>
      <c r="BG41" s="193">
        <v>0</v>
      </c>
      <c r="BH41" s="238">
        <f t="shared" si="28"/>
        <v>0</v>
      </c>
      <c r="BI41" s="193">
        <v>0</v>
      </c>
      <c r="BJ41" s="238">
        <f t="shared" si="29"/>
        <v>0</v>
      </c>
      <c r="BK41" s="193">
        <v>0</v>
      </c>
      <c r="BL41" s="238">
        <f t="shared" si="30"/>
        <v>0</v>
      </c>
      <c r="BM41" s="193">
        <v>0</v>
      </c>
      <c r="BN41" s="238">
        <f t="shared" si="31"/>
        <v>0</v>
      </c>
      <c r="BO41" s="193">
        <v>0</v>
      </c>
      <c r="BP41" s="238">
        <f t="shared" si="32"/>
        <v>0</v>
      </c>
      <c r="BQ41" s="193">
        <v>0</v>
      </c>
      <c r="BR41" s="238">
        <f t="shared" si="33"/>
        <v>0</v>
      </c>
      <c r="BS41" s="225"/>
      <c r="BT41" s="239">
        <f t="shared" si="36"/>
        <v>43.539999999999999</v>
      </c>
      <c r="BU41" s="238">
        <f t="shared" si="38"/>
        <v>1415.05</v>
      </c>
    </row>
    <row r="42" spans="1:73" ht="14.25">
      <c r="A42" s="241">
        <v>1987</v>
      </c>
      <c r="B42" s="528">
        <f t="shared" si="37"/>
        <v>31.5</v>
      </c>
      <c r="C42" s="193">
        <v>0</v>
      </c>
      <c r="D42" s="238">
        <f t="shared" si="35"/>
        <v>0</v>
      </c>
      <c r="E42" s="193">
        <v>0</v>
      </c>
      <c r="F42" s="238">
        <f t="shared" si="1"/>
        <v>0</v>
      </c>
      <c r="G42" s="193">
        <v>0</v>
      </c>
      <c r="H42" s="238">
        <f t="shared" si="2"/>
        <v>0</v>
      </c>
      <c r="I42" s="193">
        <v>0</v>
      </c>
      <c r="J42" s="238">
        <f t="shared" si="3"/>
        <v>0</v>
      </c>
      <c r="K42" s="193">
        <v>0</v>
      </c>
      <c r="L42" s="238">
        <f t="shared" si="4"/>
        <v>0</v>
      </c>
      <c r="M42" s="193">
        <v>0</v>
      </c>
      <c r="N42" s="238">
        <f t="shared" si="5"/>
        <v>0</v>
      </c>
      <c r="O42" s="193">
        <v>0</v>
      </c>
      <c r="P42" s="238">
        <f t="shared" si="6"/>
        <v>0</v>
      </c>
      <c r="Q42" s="193">
        <v>5858.5400000000009</v>
      </c>
      <c r="R42" s="238">
        <f t="shared" si="7"/>
        <v>184544.01000000004</v>
      </c>
      <c r="S42" s="193">
        <v>0</v>
      </c>
      <c r="T42" s="238">
        <f t="shared" si="8"/>
        <v>0</v>
      </c>
      <c r="U42" s="193">
        <v>0</v>
      </c>
      <c r="V42" s="238">
        <f t="shared" si="9"/>
        <v>0</v>
      </c>
      <c r="W42" s="193">
        <v>0</v>
      </c>
      <c r="X42" s="238">
        <f t="shared" si="10"/>
        <v>0</v>
      </c>
      <c r="Y42" s="193">
        <v>0</v>
      </c>
      <c r="Z42" s="238">
        <f t="shared" si="11"/>
        <v>0</v>
      </c>
      <c r="AA42" s="193">
        <v>0</v>
      </c>
      <c r="AB42" s="238">
        <f t="shared" si="12"/>
        <v>0</v>
      </c>
      <c r="AC42" s="193">
        <v>0</v>
      </c>
      <c r="AD42" s="238">
        <f t="shared" si="13"/>
        <v>0</v>
      </c>
      <c r="AE42" s="193">
        <v>43.530000000000001</v>
      </c>
      <c r="AF42" s="238">
        <f t="shared" si="14"/>
        <v>1371.1949999999999</v>
      </c>
      <c r="AG42" s="193">
        <v>0</v>
      </c>
      <c r="AH42" s="238">
        <f t="shared" si="15"/>
        <v>0</v>
      </c>
      <c r="AI42" s="193">
        <v>0</v>
      </c>
      <c r="AJ42" s="238">
        <f t="shared" si="16"/>
        <v>0</v>
      </c>
      <c r="AK42" s="193">
        <v>0</v>
      </c>
      <c r="AL42" s="238">
        <f t="shared" si="17"/>
        <v>0</v>
      </c>
      <c r="AM42" s="193">
        <v>0</v>
      </c>
      <c r="AN42" s="238">
        <f t="shared" si="18"/>
        <v>0</v>
      </c>
      <c r="AO42" s="193">
        <v>0</v>
      </c>
      <c r="AP42" s="238">
        <f t="shared" si="19"/>
        <v>0</v>
      </c>
      <c r="AQ42" s="193">
        <v>0</v>
      </c>
      <c r="AR42" s="238">
        <f t="shared" si="20"/>
        <v>0</v>
      </c>
      <c r="AS42" s="193">
        <v>0</v>
      </c>
      <c r="AT42" s="238">
        <f t="shared" si="21"/>
        <v>0</v>
      </c>
      <c r="AU42" s="193">
        <v>0</v>
      </c>
      <c r="AV42" s="238">
        <f t="shared" si="22"/>
        <v>0</v>
      </c>
      <c r="AW42" s="193">
        <v>0</v>
      </c>
      <c r="AX42" s="238">
        <f t="shared" si="23"/>
        <v>0</v>
      </c>
      <c r="AY42" s="193">
        <v>0</v>
      </c>
      <c r="AZ42" s="238">
        <f t="shared" si="24"/>
        <v>0</v>
      </c>
      <c r="BA42" s="193">
        <v>0</v>
      </c>
      <c r="BB42" s="238">
        <f t="shared" si="25"/>
        <v>0</v>
      </c>
      <c r="BC42" s="193">
        <v>9424.1900000000005</v>
      </c>
      <c r="BD42" s="238">
        <f t="shared" si="26"/>
        <v>296861.98500000004</v>
      </c>
      <c r="BE42" s="193">
        <v>0</v>
      </c>
      <c r="BF42" s="238">
        <f t="shared" si="27"/>
        <v>0</v>
      </c>
      <c r="BG42" s="193">
        <v>0</v>
      </c>
      <c r="BH42" s="238">
        <f t="shared" si="28"/>
        <v>0</v>
      </c>
      <c r="BI42" s="193">
        <v>0</v>
      </c>
      <c r="BJ42" s="238">
        <f t="shared" si="29"/>
        <v>0</v>
      </c>
      <c r="BK42" s="193">
        <v>0</v>
      </c>
      <c r="BL42" s="238">
        <f t="shared" si="30"/>
        <v>0</v>
      </c>
      <c r="BM42" s="193">
        <v>0</v>
      </c>
      <c r="BN42" s="238">
        <f t="shared" si="31"/>
        <v>0</v>
      </c>
      <c r="BO42" s="193">
        <v>0</v>
      </c>
      <c r="BP42" s="238">
        <f t="shared" si="32"/>
        <v>0</v>
      </c>
      <c r="BQ42" s="193">
        <v>0</v>
      </c>
      <c r="BR42" s="238">
        <f t="shared" si="33"/>
        <v>0</v>
      </c>
      <c r="BS42" s="225"/>
      <c r="BT42" s="239">
        <f t="shared" si="36"/>
        <v>15326.260000000002</v>
      </c>
      <c r="BU42" s="238">
        <f t="shared" si="38"/>
        <v>482777.19000000006</v>
      </c>
    </row>
    <row r="43" spans="1:73" ht="14.25">
      <c r="A43" s="241">
        <v>1988</v>
      </c>
      <c r="B43" s="528">
        <f t="shared" si="37"/>
        <v>30.5</v>
      </c>
      <c r="C43" s="193">
        <v>0</v>
      </c>
      <c r="D43" s="238">
        <f t="shared" si="35"/>
        <v>0</v>
      </c>
      <c r="E43" s="193">
        <v>0</v>
      </c>
      <c r="F43" s="238">
        <f t="shared" si="1"/>
        <v>0</v>
      </c>
      <c r="G43" s="193">
        <v>0</v>
      </c>
      <c r="H43" s="238">
        <f t="shared" si="2"/>
        <v>0</v>
      </c>
      <c r="I43" s="193">
        <v>0</v>
      </c>
      <c r="J43" s="238">
        <f t="shared" si="3"/>
        <v>0</v>
      </c>
      <c r="K43" s="193">
        <v>0</v>
      </c>
      <c r="L43" s="238">
        <f t="shared" si="4"/>
        <v>0</v>
      </c>
      <c r="M43" s="193">
        <v>0</v>
      </c>
      <c r="N43" s="238">
        <f t="shared" si="5"/>
        <v>0</v>
      </c>
      <c r="O43" s="193">
        <v>0</v>
      </c>
      <c r="P43" s="238">
        <f t="shared" si="6"/>
        <v>0</v>
      </c>
      <c r="Q43" s="193">
        <v>30020.400000000001</v>
      </c>
      <c r="R43" s="238">
        <f t="shared" si="7"/>
        <v>915622.20000000007</v>
      </c>
      <c r="S43" s="193">
        <v>0</v>
      </c>
      <c r="T43" s="238">
        <f t="shared" si="8"/>
        <v>0</v>
      </c>
      <c r="U43" s="193">
        <v>0</v>
      </c>
      <c r="V43" s="238">
        <f t="shared" si="9"/>
        <v>0</v>
      </c>
      <c r="W43" s="193">
        <v>0</v>
      </c>
      <c r="X43" s="238">
        <f t="shared" si="10"/>
        <v>0</v>
      </c>
      <c r="Y43" s="193">
        <v>0</v>
      </c>
      <c r="Z43" s="238">
        <f t="shared" si="11"/>
        <v>0</v>
      </c>
      <c r="AA43" s="193">
        <v>0</v>
      </c>
      <c r="AB43" s="238">
        <f t="shared" si="12"/>
        <v>0</v>
      </c>
      <c r="AC43" s="193">
        <v>0</v>
      </c>
      <c r="AD43" s="238">
        <f t="shared" si="13"/>
        <v>0</v>
      </c>
      <c r="AE43" s="193">
        <v>0</v>
      </c>
      <c r="AF43" s="238">
        <f t="shared" si="14"/>
        <v>0</v>
      </c>
      <c r="AG43" s="193">
        <v>0</v>
      </c>
      <c r="AH43" s="238">
        <f t="shared" si="15"/>
        <v>0</v>
      </c>
      <c r="AI43" s="193">
        <v>0</v>
      </c>
      <c r="AJ43" s="238">
        <f t="shared" si="16"/>
        <v>0</v>
      </c>
      <c r="AK43" s="193">
        <v>0</v>
      </c>
      <c r="AL43" s="238">
        <f t="shared" si="17"/>
        <v>0</v>
      </c>
      <c r="AM43" s="193">
        <v>0</v>
      </c>
      <c r="AN43" s="238">
        <f t="shared" si="18"/>
        <v>0</v>
      </c>
      <c r="AO43" s="193">
        <v>0</v>
      </c>
      <c r="AP43" s="238">
        <f t="shared" si="19"/>
        <v>0</v>
      </c>
      <c r="AQ43" s="193">
        <v>0</v>
      </c>
      <c r="AR43" s="238">
        <f t="shared" si="20"/>
        <v>0</v>
      </c>
      <c r="AS43" s="193">
        <v>0</v>
      </c>
      <c r="AT43" s="238">
        <f t="shared" si="21"/>
        <v>0</v>
      </c>
      <c r="AU43" s="193">
        <v>0</v>
      </c>
      <c r="AV43" s="238">
        <f t="shared" si="22"/>
        <v>0</v>
      </c>
      <c r="AW43" s="193">
        <v>0</v>
      </c>
      <c r="AX43" s="238">
        <f t="shared" si="23"/>
        <v>0</v>
      </c>
      <c r="AY43" s="193">
        <v>0</v>
      </c>
      <c r="AZ43" s="238">
        <f t="shared" si="24"/>
        <v>0</v>
      </c>
      <c r="BA43" s="193">
        <v>0</v>
      </c>
      <c r="BB43" s="238">
        <f t="shared" si="25"/>
        <v>0</v>
      </c>
      <c r="BC43" s="193">
        <v>0</v>
      </c>
      <c r="BD43" s="238">
        <f t="shared" si="26"/>
        <v>0</v>
      </c>
      <c r="BE43" s="193">
        <v>0</v>
      </c>
      <c r="BF43" s="238">
        <f t="shared" si="27"/>
        <v>0</v>
      </c>
      <c r="BG43" s="193">
        <v>0</v>
      </c>
      <c r="BH43" s="238">
        <f t="shared" si="28"/>
        <v>0</v>
      </c>
      <c r="BI43" s="193">
        <v>0</v>
      </c>
      <c r="BJ43" s="238">
        <f t="shared" si="29"/>
        <v>0</v>
      </c>
      <c r="BK43" s="193">
        <v>0</v>
      </c>
      <c r="BL43" s="238">
        <f t="shared" si="30"/>
        <v>0</v>
      </c>
      <c r="BM43" s="193">
        <v>0</v>
      </c>
      <c r="BN43" s="238">
        <f t="shared" si="31"/>
        <v>0</v>
      </c>
      <c r="BO43" s="193">
        <v>0</v>
      </c>
      <c r="BP43" s="238">
        <f t="shared" si="32"/>
        <v>0</v>
      </c>
      <c r="BQ43" s="193">
        <v>0</v>
      </c>
      <c r="BR43" s="238">
        <f t="shared" si="33"/>
        <v>0</v>
      </c>
      <c r="BS43" s="225"/>
      <c r="BT43" s="239">
        <f t="shared" si="36"/>
        <v>30020.400000000001</v>
      </c>
      <c r="BU43" s="238">
        <f t="shared" si="38"/>
        <v>915622.20000000007</v>
      </c>
    </row>
    <row r="44" spans="1:73" ht="14.25">
      <c r="A44" s="241">
        <v>1989</v>
      </c>
      <c r="B44" s="528">
        <f t="shared" si="37"/>
        <v>29.5</v>
      </c>
      <c r="C44" s="193">
        <v>0</v>
      </c>
      <c r="D44" s="238">
        <f t="shared" si="35"/>
        <v>0</v>
      </c>
      <c r="E44" s="193">
        <v>0</v>
      </c>
      <c r="F44" s="238">
        <f t="shared" si="1"/>
        <v>0</v>
      </c>
      <c r="G44" s="193">
        <v>0</v>
      </c>
      <c r="H44" s="238">
        <f t="shared" si="2"/>
        <v>0</v>
      </c>
      <c r="I44" s="193">
        <v>0</v>
      </c>
      <c r="J44" s="238">
        <f t="shared" si="3"/>
        <v>0</v>
      </c>
      <c r="K44" s="193">
        <v>0</v>
      </c>
      <c r="L44" s="238">
        <f t="shared" si="4"/>
        <v>0</v>
      </c>
      <c r="M44" s="193">
        <v>0</v>
      </c>
      <c r="N44" s="238">
        <f t="shared" si="5"/>
        <v>0</v>
      </c>
      <c r="O44" s="193">
        <v>0</v>
      </c>
      <c r="P44" s="238">
        <f t="shared" si="6"/>
        <v>0</v>
      </c>
      <c r="Q44" s="193">
        <v>9714.0300000000007</v>
      </c>
      <c r="R44" s="238">
        <f t="shared" si="7"/>
        <v>286563.88500000001</v>
      </c>
      <c r="S44" s="193">
        <v>0</v>
      </c>
      <c r="T44" s="238">
        <f t="shared" si="8"/>
        <v>0</v>
      </c>
      <c r="U44" s="193">
        <v>0</v>
      </c>
      <c r="V44" s="238">
        <f t="shared" si="9"/>
        <v>0</v>
      </c>
      <c r="W44" s="193">
        <v>0</v>
      </c>
      <c r="X44" s="238">
        <f t="shared" si="10"/>
        <v>0</v>
      </c>
      <c r="Y44" s="193">
        <v>0</v>
      </c>
      <c r="Z44" s="238">
        <f t="shared" si="11"/>
        <v>0</v>
      </c>
      <c r="AA44" s="193">
        <v>0</v>
      </c>
      <c r="AB44" s="238">
        <f t="shared" si="12"/>
        <v>0</v>
      </c>
      <c r="AC44" s="193">
        <v>0</v>
      </c>
      <c r="AD44" s="238">
        <f t="shared" si="13"/>
        <v>0</v>
      </c>
      <c r="AE44" s="193">
        <v>0</v>
      </c>
      <c r="AF44" s="238">
        <f t="shared" si="14"/>
        <v>0</v>
      </c>
      <c r="AG44" s="193">
        <v>0</v>
      </c>
      <c r="AH44" s="238">
        <f t="shared" si="15"/>
        <v>0</v>
      </c>
      <c r="AI44" s="193">
        <v>0</v>
      </c>
      <c r="AJ44" s="238">
        <f t="shared" si="16"/>
        <v>0</v>
      </c>
      <c r="AK44" s="193">
        <v>0</v>
      </c>
      <c r="AL44" s="238">
        <f t="shared" si="17"/>
        <v>0</v>
      </c>
      <c r="AM44" s="193">
        <v>0</v>
      </c>
      <c r="AN44" s="238">
        <f t="shared" si="18"/>
        <v>0</v>
      </c>
      <c r="AO44" s="193">
        <v>0</v>
      </c>
      <c r="AP44" s="238">
        <f t="shared" si="19"/>
        <v>0</v>
      </c>
      <c r="AQ44" s="193">
        <v>0</v>
      </c>
      <c r="AR44" s="238">
        <f t="shared" si="20"/>
        <v>0</v>
      </c>
      <c r="AS44" s="193">
        <v>0</v>
      </c>
      <c r="AT44" s="238">
        <f t="shared" si="21"/>
        <v>0</v>
      </c>
      <c r="AU44" s="193">
        <v>0</v>
      </c>
      <c r="AV44" s="238">
        <f t="shared" si="22"/>
        <v>0</v>
      </c>
      <c r="AW44" s="193">
        <v>0</v>
      </c>
      <c r="AX44" s="238">
        <f t="shared" si="23"/>
        <v>0</v>
      </c>
      <c r="AY44" s="193">
        <v>0</v>
      </c>
      <c r="AZ44" s="238">
        <f t="shared" si="24"/>
        <v>0</v>
      </c>
      <c r="BA44" s="193">
        <v>0</v>
      </c>
      <c r="BB44" s="238">
        <f t="shared" si="25"/>
        <v>0</v>
      </c>
      <c r="BC44" s="193">
        <v>0</v>
      </c>
      <c r="BD44" s="238">
        <f t="shared" si="26"/>
        <v>0</v>
      </c>
      <c r="BE44" s="193">
        <v>0</v>
      </c>
      <c r="BF44" s="238">
        <f t="shared" si="27"/>
        <v>0</v>
      </c>
      <c r="BG44" s="193">
        <v>0</v>
      </c>
      <c r="BH44" s="238">
        <f t="shared" si="28"/>
        <v>0</v>
      </c>
      <c r="BI44" s="193">
        <v>0</v>
      </c>
      <c r="BJ44" s="238">
        <f t="shared" si="29"/>
        <v>0</v>
      </c>
      <c r="BK44" s="193">
        <v>0</v>
      </c>
      <c r="BL44" s="238">
        <f t="shared" si="30"/>
        <v>0</v>
      </c>
      <c r="BM44" s="193">
        <v>0</v>
      </c>
      <c r="BN44" s="238">
        <f t="shared" si="31"/>
        <v>0</v>
      </c>
      <c r="BO44" s="193">
        <v>0</v>
      </c>
      <c r="BP44" s="238">
        <f t="shared" si="32"/>
        <v>0</v>
      </c>
      <c r="BQ44" s="193">
        <v>0</v>
      </c>
      <c r="BR44" s="238">
        <f t="shared" si="33"/>
        <v>0</v>
      </c>
      <c r="BS44" s="225"/>
      <c r="BT44" s="239">
        <f t="shared" si="36"/>
        <v>9714.0300000000007</v>
      </c>
      <c r="BU44" s="238">
        <f t="shared" si="38"/>
        <v>286563.88500000001</v>
      </c>
    </row>
    <row r="45" spans="1:73" ht="14.25">
      <c r="A45" s="241">
        <v>1990</v>
      </c>
      <c r="B45" s="528">
        <f t="shared" si="37"/>
        <v>28.5</v>
      </c>
      <c r="C45" s="193">
        <v>0</v>
      </c>
      <c r="D45" s="238">
        <f t="shared" si="35"/>
        <v>0</v>
      </c>
      <c r="E45" s="193">
        <v>0</v>
      </c>
      <c r="F45" s="238">
        <f t="shared" si="1"/>
        <v>0</v>
      </c>
      <c r="G45" s="193">
        <v>0</v>
      </c>
      <c r="H45" s="238">
        <f t="shared" si="2"/>
        <v>0</v>
      </c>
      <c r="I45" s="193">
        <v>0</v>
      </c>
      <c r="J45" s="238">
        <f t="shared" si="3"/>
        <v>0</v>
      </c>
      <c r="K45" s="193">
        <v>0</v>
      </c>
      <c r="L45" s="238">
        <f t="shared" si="4"/>
        <v>0</v>
      </c>
      <c r="M45" s="193">
        <v>0</v>
      </c>
      <c r="N45" s="238">
        <f t="shared" si="5"/>
        <v>0</v>
      </c>
      <c r="O45" s="193">
        <v>0</v>
      </c>
      <c r="P45" s="238">
        <f t="shared" si="6"/>
        <v>0</v>
      </c>
      <c r="Q45" s="193">
        <v>9509.6499999999996</v>
      </c>
      <c r="R45" s="238">
        <f t="shared" si="7"/>
        <v>271025.02499999997</v>
      </c>
      <c r="S45" s="193">
        <v>0</v>
      </c>
      <c r="T45" s="238">
        <f t="shared" si="8"/>
        <v>0</v>
      </c>
      <c r="U45" s="193">
        <v>0</v>
      </c>
      <c r="V45" s="238">
        <f t="shared" si="9"/>
        <v>0</v>
      </c>
      <c r="W45" s="193">
        <v>0</v>
      </c>
      <c r="X45" s="238">
        <f t="shared" si="10"/>
        <v>0</v>
      </c>
      <c r="Y45" s="193">
        <v>0</v>
      </c>
      <c r="Z45" s="238">
        <f t="shared" si="11"/>
        <v>0</v>
      </c>
      <c r="AA45" s="193">
        <v>0</v>
      </c>
      <c r="AB45" s="238">
        <f t="shared" si="12"/>
        <v>0</v>
      </c>
      <c r="AC45" s="193">
        <v>0</v>
      </c>
      <c r="AD45" s="238">
        <f t="shared" si="13"/>
        <v>0</v>
      </c>
      <c r="AE45" s="193">
        <v>0</v>
      </c>
      <c r="AF45" s="238">
        <f t="shared" si="14"/>
        <v>0</v>
      </c>
      <c r="AG45" s="193">
        <v>0</v>
      </c>
      <c r="AH45" s="238">
        <f t="shared" si="15"/>
        <v>0</v>
      </c>
      <c r="AI45" s="193">
        <v>0</v>
      </c>
      <c r="AJ45" s="238">
        <f t="shared" si="16"/>
        <v>0</v>
      </c>
      <c r="AK45" s="193">
        <v>0</v>
      </c>
      <c r="AL45" s="238">
        <f t="shared" si="17"/>
        <v>0</v>
      </c>
      <c r="AM45" s="193">
        <v>0</v>
      </c>
      <c r="AN45" s="238">
        <f t="shared" si="18"/>
        <v>0</v>
      </c>
      <c r="AO45" s="193">
        <v>0</v>
      </c>
      <c r="AP45" s="238">
        <f t="shared" si="19"/>
        <v>0</v>
      </c>
      <c r="AQ45" s="193">
        <v>0</v>
      </c>
      <c r="AR45" s="238">
        <f t="shared" si="20"/>
        <v>0</v>
      </c>
      <c r="AS45" s="193">
        <v>0</v>
      </c>
      <c r="AT45" s="238">
        <f t="shared" si="21"/>
        <v>0</v>
      </c>
      <c r="AU45" s="193">
        <v>0</v>
      </c>
      <c r="AV45" s="238">
        <f t="shared" si="22"/>
        <v>0</v>
      </c>
      <c r="AW45" s="193">
        <v>0</v>
      </c>
      <c r="AX45" s="238">
        <f t="shared" si="23"/>
        <v>0</v>
      </c>
      <c r="AY45" s="193">
        <v>0</v>
      </c>
      <c r="AZ45" s="238">
        <f t="shared" si="24"/>
        <v>0</v>
      </c>
      <c r="BA45" s="193">
        <v>0</v>
      </c>
      <c r="BB45" s="238">
        <f t="shared" si="25"/>
        <v>0</v>
      </c>
      <c r="BC45" s="193">
        <v>0</v>
      </c>
      <c r="BD45" s="238">
        <f t="shared" si="26"/>
        <v>0</v>
      </c>
      <c r="BE45" s="193">
        <v>0</v>
      </c>
      <c r="BF45" s="238">
        <f t="shared" si="27"/>
        <v>0</v>
      </c>
      <c r="BG45" s="193">
        <v>0</v>
      </c>
      <c r="BH45" s="238">
        <f t="shared" si="28"/>
        <v>0</v>
      </c>
      <c r="BI45" s="193">
        <v>0</v>
      </c>
      <c r="BJ45" s="238">
        <f t="shared" si="29"/>
        <v>0</v>
      </c>
      <c r="BK45" s="193">
        <v>0</v>
      </c>
      <c r="BL45" s="238">
        <f t="shared" si="30"/>
        <v>0</v>
      </c>
      <c r="BM45" s="193">
        <v>0</v>
      </c>
      <c r="BN45" s="238">
        <f t="shared" si="31"/>
        <v>0</v>
      </c>
      <c r="BO45" s="193">
        <v>0</v>
      </c>
      <c r="BP45" s="238">
        <f t="shared" si="32"/>
        <v>0</v>
      </c>
      <c r="BQ45" s="193">
        <v>0</v>
      </c>
      <c r="BR45" s="238">
        <f t="shared" si="33"/>
        <v>0</v>
      </c>
      <c r="BS45" s="225"/>
      <c r="BT45" s="239">
        <f t="shared" si="36"/>
        <v>9509.6499999999996</v>
      </c>
      <c r="BU45" s="238">
        <f t="shared" si="38"/>
        <v>271025.02499999997</v>
      </c>
    </row>
    <row r="46" spans="1:73" ht="14.25">
      <c r="A46" s="241">
        <v>1991</v>
      </c>
      <c r="B46" s="528">
        <f t="shared" si="37"/>
        <v>27.5</v>
      </c>
      <c r="C46" s="193">
        <v>0</v>
      </c>
      <c r="D46" s="238">
        <f t="shared" si="35"/>
        <v>0</v>
      </c>
      <c r="E46" s="193">
        <v>0</v>
      </c>
      <c r="F46" s="238">
        <f t="shared" si="1"/>
        <v>0</v>
      </c>
      <c r="G46" s="193">
        <v>0</v>
      </c>
      <c r="H46" s="238">
        <f t="shared" si="2"/>
        <v>0</v>
      </c>
      <c r="I46" s="193">
        <v>0</v>
      </c>
      <c r="J46" s="238">
        <f t="shared" si="3"/>
        <v>0</v>
      </c>
      <c r="K46" s="193">
        <v>0</v>
      </c>
      <c r="L46" s="238">
        <f t="shared" si="4"/>
        <v>0</v>
      </c>
      <c r="M46" s="193">
        <v>0</v>
      </c>
      <c r="N46" s="238">
        <f t="shared" si="5"/>
        <v>0</v>
      </c>
      <c r="O46" s="193">
        <v>0</v>
      </c>
      <c r="P46" s="238">
        <f t="shared" si="6"/>
        <v>0</v>
      </c>
      <c r="Q46" s="193">
        <v>1764.23</v>
      </c>
      <c r="R46" s="238">
        <f t="shared" si="7"/>
        <v>48516.324999999997</v>
      </c>
      <c r="S46" s="193">
        <v>0</v>
      </c>
      <c r="T46" s="238">
        <f t="shared" si="8"/>
        <v>0</v>
      </c>
      <c r="U46" s="193">
        <v>0</v>
      </c>
      <c r="V46" s="238">
        <f t="shared" si="9"/>
        <v>0</v>
      </c>
      <c r="W46" s="193">
        <v>0</v>
      </c>
      <c r="X46" s="238">
        <f t="shared" si="10"/>
        <v>0</v>
      </c>
      <c r="Y46" s="193">
        <v>0</v>
      </c>
      <c r="Z46" s="238">
        <f t="shared" si="11"/>
        <v>0</v>
      </c>
      <c r="AA46" s="193">
        <v>0</v>
      </c>
      <c r="AB46" s="238">
        <f t="shared" si="12"/>
        <v>0</v>
      </c>
      <c r="AC46" s="193">
        <v>0</v>
      </c>
      <c r="AD46" s="238">
        <f t="shared" si="13"/>
        <v>0</v>
      </c>
      <c r="AE46" s="193">
        <v>0</v>
      </c>
      <c r="AF46" s="238">
        <f t="shared" si="14"/>
        <v>0</v>
      </c>
      <c r="AG46" s="193">
        <v>0</v>
      </c>
      <c r="AH46" s="238">
        <f t="shared" si="15"/>
        <v>0</v>
      </c>
      <c r="AI46" s="193">
        <v>0</v>
      </c>
      <c r="AJ46" s="238">
        <f t="shared" si="16"/>
        <v>0</v>
      </c>
      <c r="AK46" s="193">
        <v>0</v>
      </c>
      <c r="AL46" s="238">
        <f t="shared" si="17"/>
        <v>0</v>
      </c>
      <c r="AM46" s="193">
        <v>0</v>
      </c>
      <c r="AN46" s="238">
        <f t="shared" si="18"/>
        <v>0</v>
      </c>
      <c r="AO46" s="193">
        <v>0</v>
      </c>
      <c r="AP46" s="238">
        <f t="shared" si="19"/>
        <v>0</v>
      </c>
      <c r="AQ46" s="193">
        <v>0</v>
      </c>
      <c r="AR46" s="238">
        <f t="shared" si="20"/>
        <v>0</v>
      </c>
      <c r="AS46" s="193">
        <v>0</v>
      </c>
      <c r="AT46" s="238">
        <f t="shared" si="21"/>
        <v>0</v>
      </c>
      <c r="AU46" s="193">
        <v>0</v>
      </c>
      <c r="AV46" s="238">
        <f t="shared" si="22"/>
        <v>0</v>
      </c>
      <c r="AW46" s="193">
        <v>0</v>
      </c>
      <c r="AX46" s="238">
        <f t="shared" si="23"/>
        <v>0</v>
      </c>
      <c r="AY46" s="193">
        <v>0</v>
      </c>
      <c r="AZ46" s="238">
        <f t="shared" si="24"/>
        <v>0</v>
      </c>
      <c r="BA46" s="193">
        <v>0</v>
      </c>
      <c r="BB46" s="238">
        <f t="shared" si="25"/>
        <v>0</v>
      </c>
      <c r="BC46" s="193">
        <v>0</v>
      </c>
      <c r="BD46" s="238">
        <f t="shared" si="26"/>
        <v>0</v>
      </c>
      <c r="BE46" s="193">
        <v>0</v>
      </c>
      <c r="BF46" s="238">
        <f t="shared" si="27"/>
        <v>0</v>
      </c>
      <c r="BG46" s="193">
        <v>0</v>
      </c>
      <c r="BH46" s="238">
        <f t="shared" si="28"/>
        <v>0</v>
      </c>
      <c r="BI46" s="193">
        <v>0</v>
      </c>
      <c r="BJ46" s="238">
        <f t="shared" si="29"/>
        <v>0</v>
      </c>
      <c r="BK46" s="193">
        <v>0</v>
      </c>
      <c r="BL46" s="238">
        <f t="shared" si="30"/>
        <v>0</v>
      </c>
      <c r="BM46" s="193">
        <v>0</v>
      </c>
      <c r="BN46" s="238">
        <f t="shared" si="31"/>
        <v>0</v>
      </c>
      <c r="BO46" s="193">
        <v>0</v>
      </c>
      <c r="BP46" s="238">
        <f t="shared" si="32"/>
        <v>0</v>
      </c>
      <c r="BQ46" s="193">
        <v>0</v>
      </c>
      <c r="BR46" s="238">
        <f t="shared" si="33"/>
        <v>0</v>
      </c>
      <c r="BS46" s="225"/>
      <c r="BT46" s="239">
        <f t="shared" si="36"/>
        <v>1764.23</v>
      </c>
      <c r="BU46" s="238">
        <f t="shared" si="38"/>
        <v>48516.324999999997</v>
      </c>
    </row>
    <row r="47" spans="1:73" ht="14.25">
      <c r="A47" s="241">
        <v>1992</v>
      </c>
      <c r="B47" s="528">
        <f t="shared" si="39" ref="B47:B72">B48+1</f>
        <v>26.5</v>
      </c>
      <c r="C47" s="193">
        <v>0</v>
      </c>
      <c r="D47" s="238">
        <f t="shared" si="35"/>
        <v>0</v>
      </c>
      <c r="E47" s="193">
        <v>0</v>
      </c>
      <c r="F47" s="238">
        <f t="shared" si="1"/>
        <v>0</v>
      </c>
      <c r="G47" s="193">
        <v>0</v>
      </c>
      <c r="H47" s="238">
        <f t="shared" si="2"/>
        <v>0</v>
      </c>
      <c r="I47" s="193">
        <v>7431.3100000000004</v>
      </c>
      <c r="J47" s="238">
        <f t="shared" si="3"/>
        <v>196929.715</v>
      </c>
      <c r="K47" s="193">
        <v>0</v>
      </c>
      <c r="L47" s="238">
        <f t="shared" si="4"/>
        <v>0</v>
      </c>
      <c r="M47" s="193">
        <v>0</v>
      </c>
      <c r="N47" s="238">
        <f t="shared" si="5"/>
        <v>0</v>
      </c>
      <c r="O47" s="193">
        <v>0</v>
      </c>
      <c r="P47" s="238">
        <f t="shared" si="6"/>
        <v>0</v>
      </c>
      <c r="Q47" s="193">
        <v>0</v>
      </c>
      <c r="R47" s="238">
        <f t="shared" si="7"/>
        <v>0</v>
      </c>
      <c r="S47" s="193">
        <v>7292.0100000000002</v>
      </c>
      <c r="T47" s="238">
        <f t="shared" si="8"/>
        <v>193238.26500000001</v>
      </c>
      <c r="U47" s="193">
        <v>0</v>
      </c>
      <c r="V47" s="238">
        <f t="shared" si="9"/>
        <v>0</v>
      </c>
      <c r="W47" s="193">
        <v>0</v>
      </c>
      <c r="X47" s="238">
        <f t="shared" si="10"/>
        <v>0</v>
      </c>
      <c r="Y47" s="193">
        <v>0</v>
      </c>
      <c r="Z47" s="238">
        <f t="shared" si="11"/>
        <v>0</v>
      </c>
      <c r="AA47" s="193">
        <v>0</v>
      </c>
      <c r="AB47" s="238">
        <f t="shared" si="12"/>
        <v>0</v>
      </c>
      <c r="AC47" s="193">
        <v>0</v>
      </c>
      <c r="AD47" s="238">
        <f t="shared" si="13"/>
        <v>0</v>
      </c>
      <c r="AE47" s="193">
        <v>0</v>
      </c>
      <c r="AF47" s="238">
        <f t="shared" si="14"/>
        <v>0</v>
      </c>
      <c r="AG47" s="193">
        <v>0</v>
      </c>
      <c r="AH47" s="238">
        <f t="shared" si="15"/>
        <v>0</v>
      </c>
      <c r="AI47" s="193">
        <v>0</v>
      </c>
      <c r="AJ47" s="238">
        <f t="shared" si="16"/>
        <v>0</v>
      </c>
      <c r="AK47" s="193">
        <v>0</v>
      </c>
      <c r="AL47" s="238">
        <f t="shared" si="17"/>
        <v>0</v>
      </c>
      <c r="AM47" s="193">
        <v>0</v>
      </c>
      <c r="AN47" s="238">
        <f t="shared" si="18"/>
        <v>0</v>
      </c>
      <c r="AO47" s="193">
        <v>0</v>
      </c>
      <c r="AP47" s="238">
        <f t="shared" si="19"/>
        <v>0</v>
      </c>
      <c r="AQ47" s="193">
        <v>0</v>
      </c>
      <c r="AR47" s="238">
        <f t="shared" si="20"/>
        <v>0</v>
      </c>
      <c r="AS47" s="193">
        <v>0</v>
      </c>
      <c r="AT47" s="238">
        <f t="shared" si="21"/>
        <v>0</v>
      </c>
      <c r="AU47" s="193">
        <v>0</v>
      </c>
      <c r="AV47" s="238">
        <f t="shared" si="22"/>
        <v>0</v>
      </c>
      <c r="AW47" s="193">
        <v>0</v>
      </c>
      <c r="AX47" s="238">
        <f t="shared" si="23"/>
        <v>0</v>
      </c>
      <c r="AY47" s="193">
        <v>0</v>
      </c>
      <c r="AZ47" s="238">
        <f t="shared" si="24"/>
        <v>0</v>
      </c>
      <c r="BA47" s="193">
        <v>0</v>
      </c>
      <c r="BB47" s="238">
        <f t="shared" si="25"/>
        <v>0</v>
      </c>
      <c r="BC47" s="193">
        <v>0</v>
      </c>
      <c r="BD47" s="238">
        <f t="shared" si="26"/>
        <v>0</v>
      </c>
      <c r="BE47" s="193">
        <v>0</v>
      </c>
      <c r="BF47" s="238">
        <f t="shared" si="27"/>
        <v>0</v>
      </c>
      <c r="BG47" s="193">
        <v>0</v>
      </c>
      <c r="BH47" s="238">
        <f t="shared" si="28"/>
        <v>0</v>
      </c>
      <c r="BI47" s="193">
        <v>0</v>
      </c>
      <c r="BJ47" s="238">
        <f t="shared" si="29"/>
        <v>0</v>
      </c>
      <c r="BK47" s="193">
        <v>0</v>
      </c>
      <c r="BL47" s="238">
        <f t="shared" si="30"/>
        <v>0</v>
      </c>
      <c r="BM47" s="193">
        <v>0</v>
      </c>
      <c r="BN47" s="238">
        <f t="shared" si="31"/>
        <v>0</v>
      </c>
      <c r="BO47" s="193">
        <v>0</v>
      </c>
      <c r="BP47" s="238">
        <f t="shared" si="32"/>
        <v>0</v>
      </c>
      <c r="BQ47" s="193">
        <v>0</v>
      </c>
      <c r="BR47" s="238">
        <f t="shared" si="33"/>
        <v>0</v>
      </c>
      <c r="BS47" s="225"/>
      <c r="BT47" s="239">
        <f t="shared" si="36"/>
        <v>14723.32</v>
      </c>
      <c r="BU47" s="238">
        <f t="shared" si="40" ref="BU47:BU73">+BT47*$B47</f>
        <v>390167.97999999998</v>
      </c>
    </row>
    <row r="48" spans="1:73" ht="14.25">
      <c r="A48" s="241">
        <v>1993</v>
      </c>
      <c r="B48" s="528">
        <f t="shared" si="39"/>
        <v>25.5</v>
      </c>
      <c r="C48" s="193">
        <v>0</v>
      </c>
      <c r="D48" s="238">
        <f t="shared" si="35"/>
        <v>0</v>
      </c>
      <c r="E48" s="193">
        <v>0</v>
      </c>
      <c r="F48" s="238">
        <f t="shared" si="1"/>
        <v>0</v>
      </c>
      <c r="G48" s="193">
        <v>0</v>
      </c>
      <c r="H48" s="238">
        <f t="shared" si="2"/>
        <v>0</v>
      </c>
      <c r="I48" s="193">
        <v>0</v>
      </c>
      <c r="J48" s="238">
        <f t="shared" si="3"/>
        <v>0</v>
      </c>
      <c r="K48" s="193">
        <v>0</v>
      </c>
      <c r="L48" s="238">
        <f t="shared" si="4"/>
        <v>0</v>
      </c>
      <c r="M48" s="193">
        <v>0</v>
      </c>
      <c r="N48" s="238">
        <f t="shared" si="5"/>
        <v>0</v>
      </c>
      <c r="O48" s="193">
        <v>0</v>
      </c>
      <c r="P48" s="238">
        <f t="shared" si="6"/>
        <v>0</v>
      </c>
      <c r="Q48" s="193">
        <v>897.36000000000001</v>
      </c>
      <c r="R48" s="238">
        <f t="shared" si="7"/>
        <v>22882.68</v>
      </c>
      <c r="S48" s="193">
        <v>0</v>
      </c>
      <c r="T48" s="238">
        <f t="shared" si="8"/>
        <v>0</v>
      </c>
      <c r="U48" s="193">
        <v>0</v>
      </c>
      <c r="V48" s="238">
        <f t="shared" si="9"/>
        <v>0</v>
      </c>
      <c r="W48" s="193">
        <v>0</v>
      </c>
      <c r="X48" s="238">
        <f t="shared" si="10"/>
        <v>0</v>
      </c>
      <c r="Y48" s="193">
        <v>0</v>
      </c>
      <c r="Z48" s="238">
        <f t="shared" si="11"/>
        <v>0</v>
      </c>
      <c r="AA48" s="193">
        <v>0</v>
      </c>
      <c r="AB48" s="238">
        <f t="shared" si="12"/>
        <v>0</v>
      </c>
      <c r="AC48" s="193">
        <v>0</v>
      </c>
      <c r="AD48" s="238">
        <f t="shared" si="13"/>
        <v>0</v>
      </c>
      <c r="AE48" s="193">
        <v>66.879999999999995</v>
      </c>
      <c r="AF48" s="238">
        <f t="shared" si="14"/>
        <v>1705.4399999999998</v>
      </c>
      <c r="AG48" s="193">
        <v>0</v>
      </c>
      <c r="AH48" s="238">
        <f t="shared" si="15"/>
        <v>0</v>
      </c>
      <c r="AI48" s="193">
        <v>0</v>
      </c>
      <c r="AJ48" s="238">
        <f t="shared" si="16"/>
        <v>0</v>
      </c>
      <c r="AK48" s="193">
        <v>0</v>
      </c>
      <c r="AL48" s="238">
        <f t="shared" si="17"/>
        <v>0</v>
      </c>
      <c r="AM48" s="193">
        <v>0</v>
      </c>
      <c r="AN48" s="238">
        <f t="shared" si="18"/>
        <v>0</v>
      </c>
      <c r="AO48" s="193">
        <v>0</v>
      </c>
      <c r="AP48" s="238">
        <f t="shared" si="19"/>
        <v>0</v>
      </c>
      <c r="AQ48" s="193">
        <v>0</v>
      </c>
      <c r="AR48" s="238">
        <f t="shared" si="20"/>
        <v>0</v>
      </c>
      <c r="AS48" s="193">
        <v>0</v>
      </c>
      <c r="AT48" s="238">
        <f t="shared" si="21"/>
        <v>0</v>
      </c>
      <c r="AU48" s="193">
        <v>0</v>
      </c>
      <c r="AV48" s="238">
        <f t="shared" si="22"/>
        <v>0</v>
      </c>
      <c r="AW48" s="193">
        <v>0</v>
      </c>
      <c r="AX48" s="238">
        <f t="shared" si="23"/>
        <v>0</v>
      </c>
      <c r="AY48" s="193">
        <v>0</v>
      </c>
      <c r="AZ48" s="238">
        <f t="shared" si="24"/>
        <v>0</v>
      </c>
      <c r="BA48" s="193">
        <v>0</v>
      </c>
      <c r="BB48" s="238">
        <f t="shared" si="25"/>
        <v>0</v>
      </c>
      <c r="BC48" s="193">
        <v>0</v>
      </c>
      <c r="BD48" s="238">
        <f t="shared" si="26"/>
        <v>0</v>
      </c>
      <c r="BE48" s="193">
        <v>0</v>
      </c>
      <c r="BF48" s="238">
        <f t="shared" si="27"/>
        <v>0</v>
      </c>
      <c r="BG48" s="193">
        <v>0</v>
      </c>
      <c r="BH48" s="238">
        <f t="shared" si="28"/>
        <v>0</v>
      </c>
      <c r="BI48" s="193">
        <v>0</v>
      </c>
      <c r="BJ48" s="238">
        <f t="shared" si="29"/>
        <v>0</v>
      </c>
      <c r="BK48" s="193">
        <v>0</v>
      </c>
      <c r="BL48" s="238">
        <f t="shared" si="30"/>
        <v>0</v>
      </c>
      <c r="BM48" s="193">
        <v>0</v>
      </c>
      <c r="BN48" s="238">
        <f t="shared" si="31"/>
        <v>0</v>
      </c>
      <c r="BO48" s="193">
        <v>0</v>
      </c>
      <c r="BP48" s="238">
        <f t="shared" si="32"/>
        <v>0</v>
      </c>
      <c r="BQ48" s="193">
        <v>0</v>
      </c>
      <c r="BR48" s="238">
        <f t="shared" si="33"/>
        <v>0</v>
      </c>
      <c r="BS48" s="225"/>
      <c r="BT48" s="239">
        <f t="shared" si="36"/>
        <v>964.24000000000001</v>
      </c>
      <c r="BU48" s="238">
        <f t="shared" si="40"/>
        <v>24588.119999999999</v>
      </c>
    </row>
    <row r="49" spans="1:73" ht="14.25">
      <c r="A49" s="241">
        <v>1994</v>
      </c>
      <c r="B49" s="528">
        <f t="shared" si="39"/>
        <v>24.5</v>
      </c>
      <c r="C49" s="193">
        <v>0</v>
      </c>
      <c r="D49" s="238">
        <f t="shared" si="35"/>
        <v>0</v>
      </c>
      <c r="E49" s="193">
        <v>0</v>
      </c>
      <c r="F49" s="238">
        <f t="shared" si="1"/>
        <v>0</v>
      </c>
      <c r="G49" s="193">
        <v>0</v>
      </c>
      <c r="H49" s="238">
        <f t="shared" si="2"/>
        <v>0</v>
      </c>
      <c r="I49" s="193">
        <v>0</v>
      </c>
      <c r="J49" s="238">
        <f t="shared" si="3"/>
        <v>0</v>
      </c>
      <c r="K49" s="193">
        <v>0</v>
      </c>
      <c r="L49" s="238">
        <f t="shared" si="4"/>
        <v>0</v>
      </c>
      <c r="M49" s="193">
        <v>0</v>
      </c>
      <c r="N49" s="238">
        <f t="shared" si="5"/>
        <v>0</v>
      </c>
      <c r="O49" s="193">
        <v>0</v>
      </c>
      <c r="P49" s="238">
        <f t="shared" si="6"/>
        <v>0</v>
      </c>
      <c r="Q49" s="193">
        <v>29027.599999999999</v>
      </c>
      <c r="R49" s="238">
        <f t="shared" si="7"/>
        <v>711176.19999999995</v>
      </c>
      <c r="S49" s="193">
        <v>0</v>
      </c>
      <c r="T49" s="238">
        <f t="shared" si="8"/>
        <v>0</v>
      </c>
      <c r="U49" s="193">
        <v>0</v>
      </c>
      <c r="V49" s="238">
        <f t="shared" si="9"/>
        <v>0</v>
      </c>
      <c r="W49" s="193">
        <v>0</v>
      </c>
      <c r="X49" s="238">
        <f t="shared" si="10"/>
        <v>0</v>
      </c>
      <c r="Y49" s="193">
        <v>0</v>
      </c>
      <c r="Z49" s="238">
        <f t="shared" si="11"/>
        <v>0</v>
      </c>
      <c r="AA49" s="193">
        <v>0</v>
      </c>
      <c r="AB49" s="238">
        <f t="shared" si="12"/>
        <v>0</v>
      </c>
      <c r="AC49" s="193">
        <v>0</v>
      </c>
      <c r="AD49" s="238">
        <f t="shared" si="13"/>
        <v>0</v>
      </c>
      <c r="AE49" s="193">
        <v>0</v>
      </c>
      <c r="AF49" s="238">
        <f t="shared" si="14"/>
        <v>0</v>
      </c>
      <c r="AG49" s="193">
        <v>0</v>
      </c>
      <c r="AH49" s="238">
        <f t="shared" si="15"/>
        <v>0</v>
      </c>
      <c r="AI49" s="193">
        <v>0</v>
      </c>
      <c r="AJ49" s="238">
        <f t="shared" si="16"/>
        <v>0</v>
      </c>
      <c r="AK49" s="193">
        <v>0</v>
      </c>
      <c r="AL49" s="238">
        <f t="shared" si="17"/>
        <v>0</v>
      </c>
      <c r="AM49" s="193">
        <v>0</v>
      </c>
      <c r="AN49" s="238">
        <f t="shared" si="18"/>
        <v>0</v>
      </c>
      <c r="AO49" s="193">
        <v>0</v>
      </c>
      <c r="AP49" s="238">
        <f t="shared" si="19"/>
        <v>0</v>
      </c>
      <c r="AQ49" s="193">
        <v>0</v>
      </c>
      <c r="AR49" s="238">
        <f t="shared" si="20"/>
        <v>0</v>
      </c>
      <c r="AS49" s="193">
        <v>0</v>
      </c>
      <c r="AT49" s="238">
        <f t="shared" si="21"/>
        <v>0</v>
      </c>
      <c r="AU49" s="193">
        <v>0</v>
      </c>
      <c r="AV49" s="238">
        <f t="shared" si="22"/>
        <v>0</v>
      </c>
      <c r="AW49" s="193">
        <v>0</v>
      </c>
      <c r="AX49" s="238">
        <f t="shared" si="23"/>
        <v>0</v>
      </c>
      <c r="AY49" s="193">
        <v>0</v>
      </c>
      <c r="AZ49" s="238">
        <f t="shared" si="24"/>
        <v>0</v>
      </c>
      <c r="BA49" s="193">
        <v>0</v>
      </c>
      <c r="BB49" s="238">
        <f t="shared" si="25"/>
        <v>0</v>
      </c>
      <c r="BC49" s="193">
        <v>0</v>
      </c>
      <c r="BD49" s="238">
        <f t="shared" si="26"/>
        <v>0</v>
      </c>
      <c r="BE49" s="193">
        <v>0</v>
      </c>
      <c r="BF49" s="238">
        <f t="shared" si="27"/>
        <v>0</v>
      </c>
      <c r="BG49" s="193">
        <v>0</v>
      </c>
      <c r="BH49" s="238">
        <f t="shared" si="28"/>
        <v>0</v>
      </c>
      <c r="BI49" s="193">
        <v>0</v>
      </c>
      <c r="BJ49" s="238">
        <f t="shared" si="29"/>
        <v>0</v>
      </c>
      <c r="BK49" s="193">
        <v>0</v>
      </c>
      <c r="BL49" s="238">
        <f t="shared" si="30"/>
        <v>0</v>
      </c>
      <c r="BM49" s="193">
        <v>0</v>
      </c>
      <c r="BN49" s="238">
        <f t="shared" si="31"/>
        <v>0</v>
      </c>
      <c r="BO49" s="193">
        <v>0</v>
      </c>
      <c r="BP49" s="238">
        <f t="shared" si="32"/>
        <v>0</v>
      </c>
      <c r="BQ49" s="193">
        <v>0</v>
      </c>
      <c r="BR49" s="238">
        <f t="shared" si="33"/>
        <v>0</v>
      </c>
      <c r="BS49" s="225"/>
      <c r="BT49" s="239">
        <f t="shared" si="36"/>
        <v>29027.599999999999</v>
      </c>
      <c r="BU49" s="238">
        <f t="shared" si="40"/>
        <v>711176.19999999995</v>
      </c>
    </row>
    <row r="50" spans="1:73" ht="14.25">
      <c r="A50" s="241">
        <v>1995</v>
      </c>
      <c r="B50" s="528">
        <f t="shared" si="39"/>
        <v>23.5</v>
      </c>
      <c r="C50" s="193">
        <v>0</v>
      </c>
      <c r="D50" s="238">
        <f t="shared" si="35"/>
        <v>0</v>
      </c>
      <c r="E50" s="193">
        <v>0</v>
      </c>
      <c r="F50" s="238">
        <f t="shared" si="1"/>
        <v>0</v>
      </c>
      <c r="G50" s="193">
        <v>75808.929999999993</v>
      </c>
      <c r="H50" s="238">
        <f t="shared" si="2"/>
        <v>1781509.8549999997</v>
      </c>
      <c r="I50" s="193">
        <v>264650.91999999998</v>
      </c>
      <c r="J50" s="238">
        <f t="shared" si="3"/>
        <v>6219296.6199999992</v>
      </c>
      <c r="K50" s="193">
        <v>0</v>
      </c>
      <c r="L50" s="238">
        <f t="shared" si="4"/>
        <v>0</v>
      </c>
      <c r="M50" s="193">
        <v>0</v>
      </c>
      <c r="N50" s="238">
        <f t="shared" si="5"/>
        <v>0</v>
      </c>
      <c r="O50" s="193">
        <v>0</v>
      </c>
      <c r="P50" s="238">
        <f t="shared" si="6"/>
        <v>0</v>
      </c>
      <c r="Q50" s="193">
        <v>5547.8000000000002</v>
      </c>
      <c r="R50" s="238">
        <f t="shared" si="7"/>
        <v>130373.3</v>
      </c>
      <c r="S50" s="193">
        <v>0</v>
      </c>
      <c r="T50" s="238">
        <f t="shared" si="8"/>
        <v>0</v>
      </c>
      <c r="U50" s="193">
        <v>0</v>
      </c>
      <c r="V50" s="238">
        <f t="shared" si="9"/>
        <v>0</v>
      </c>
      <c r="W50" s="193">
        <v>0</v>
      </c>
      <c r="X50" s="238">
        <f t="shared" si="10"/>
        <v>0</v>
      </c>
      <c r="Y50" s="193">
        <v>0</v>
      </c>
      <c r="Z50" s="238">
        <f t="shared" si="11"/>
        <v>0</v>
      </c>
      <c r="AA50" s="193">
        <v>0</v>
      </c>
      <c r="AB50" s="238">
        <f t="shared" si="12"/>
        <v>0</v>
      </c>
      <c r="AC50" s="193">
        <v>0</v>
      </c>
      <c r="AD50" s="238">
        <f t="shared" si="13"/>
        <v>0</v>
      </c>
      <c r="AE50" s="193">
        <v>0</v>
      </c>
      <c r="AF50" s="238">
        <f t="shared" si="14"/>
        <v>0</v>
      </c>
      <c r="AG50" s="193">
        <v>0</v>
      </c>
      <c r="AH50" s="238">
        <f t="shared" si="15"/>
        <v>0</v>
      </c>
      <c r="AI50" s="193">
        <v>0</v>
      </c>
      <c r="AJ50" s="238">
        <f t="shared" si="16"/>
        <v>0</v>
      </c>
      <c r="AK50" s="193">
        <v>0</v>
      </c>
      <c r="AL50" s="238">
        <f t="shared" si="17"/>
        <v>0</v>
      </c>
      <c r="AM50" s="193">
        <v>0</v>
      </c>
      <c r="AN50" s="238">
        <f t="shared" si="18"/>
        <v>0</v>
      </c>
      <c r="AO50" s="193">
        <v>0</v>
      </c>
      <c r="AP50" s="238">
        <f t="shared" si="19"/>
        <v>0</v>
      </c>
      <c r="AQ50" s="193">
        <v>0</v>
      </c>
      <c r="AR50" s="238">
        <f t="shared" si="20"/>
        <v>0</v>
      </c>
      <c r="AS50" s="193">
        <v>0</v>
      </c>
      <c r="AT50" s="238">
        <f t="shared" si="21"/>
        <v>0</v>
      </c>
      <c r="AU50" s="193">
        <v>0</v>
      </c>
      <c r="AV50" s="238">
        <f t="shared" si="22"/>
        <v>0</v>
      </c>
      <c r="AW50" s="193">
        <v>0</v>
      </c>
      <c r="AX50" s="238">
        <f t="shared" si="23"/>
        <v>0</v>
      </c>
      <c r="AY50" s="193">
        <v>0</v>
      </c>
      <c r="AZ50" s="238">
        <f t="shared" si="24"/>
        <v>0</v>
      </c>
      <c r="BA50" s="193">
        <v>0</v>
      </c>
      <c r="BB50" s="238">
        <f t="shared" si="25"/>
        <v>0</v>
      </c>
      <c r="BC50" s="193">
        <v>0</v>
      </c>
      <c r="BD50" s="238">
        <f t="shared" si="26"/>
        <v>0</v>
      </c>
      <c r="BE50" s="193">
        <v>0</v>
      </c>
      <c r="BF50" s="238">
        <f t="shared" si="27"/>
        <v>0</v>
      </c>
      <c r="BG50" s="193">
        <v>0</v>
      </c>
      <c r="BH50" s="238">
        <f t="shared" si="28"/>
        <v>0</v>
      </c>
      <c r="BI50" s="193">
        <v>0</v>
      </c>
      <c r="BJ50" s="238">
        <f t="shared" si="29"/>
        <v>0</v>
      </c>
      <c r="BK50" s="193">
        <v>0</v>
      </c>
      <c r="BL50" s="238">
        <f t="shared" si="30"/>
        <v>0</v>
      </c>
      <c r="BM50" s="193">
        <v>0</v>
      </c>
      <c r="BN50" s="238">
        <f t="shared" si="31"/>
        <v>0</v>
      </c>
      <c r="BO50" s="193">
        <v>0</v>
      </c>
      <c r="BP50" s="238">
        <f t="shared" si="32"/>
        <v>0</v>
      </c>
      <c r="BQ50" s="193">
        <v>0</v>
      </c>
      <c r="BR50" s="238">
        <f t="shared" si="33"/>
        <v>0</v>
      </c>
      <c r="BS50" s="225"/>
      <c r="BT50" s="239">
        <f t="shared" si="36"/>
        <v>346007.64999999997</v>
      </c>
      <c r="BU50" s="238">
        <f t="shared" si="40"/>
        <v>8131179.7749999994</v>
      </c>
    </row>
    <row r="51" spans="1:73" ht="14.25">
      <c r="A51" s="241">
        <v>1996</v>
      </c>
      <c r="B51" s="528">
        <f t="shared" si="39"/>
        <v>22.5</v>
      </c>
      <c r="C51" s="193">
        <v>0</v>
      </c>
      <c r="D51" s="238">
        <f t="shared" si="35"/>
        <v>0</v>
      </c>
      <c r="E51" s="193">
        <v>0</v>
      </c>
      <c r="F51" s="238">
        <f t="shared" si="1"/>
        <v>0</v>
      </c>
      <c r="G51" s="193">
        <v>0</v>
      </c>
      <c r="H51" s="238">
        <f t="shared" si="2"/>
        <v>0</v>
      </c>
      <c r="I51" s="193">
        <v>0</v>
      </c>
      <c r="J51" s="238">
        <f t="shared" si="3"/>
        <v>0</v>
      </c>
      <c r="K51" s="193">
        <v>0</v>
      </c>
      <c r="L51" s="238">
        <f t="shared" si="4"/>
        <v>0</v>
      </c>
      <c r="M51" s="193">
        <v>0</v>
      </c>
      <c r="N51" s="238">
        <f t="shared" si="5"/>
        <v>0</v>
      </c>
      <c r="O51" s="193">
        <v>0</v>
      </c>
      <c r="P51" s="238">
        <f t="shared" si="6"/>
        <v>0</v>
      </c>
      <c r="Q51" s="193">
        <v>632.75999999999999</v>
      </c>
      <c r="R51" s="238">
        <f t="shared" si="7"/>
        <v>14237.1</v>
      </c>
      <c r="S51" s="193">
        <v>0</v>
      </c>
      <c r="T51" s="238">
        <f t="shared" si="8"/>
        <v>0</v>
      </c>
      <c r="U51" s="193">
        <v>0</v>
      </c>
      <c r="V51" s="238">
        <f t="shared" si="9"/>
        <v>0</v>
      </c>
      <c r="W51" s="193">
        <v>0</v>
      </c>
      <c r="X51" s="238">
        <f t="shared" si="10"/>
        <v>0</v>
      </c>
      <c r="Y51" s="193">
        <v>0</v>
      </c>
      <c r="Z51" s="238">
        <f t="shared" si="11"/>
        <v>0</v>
      </c>
      <c r="AA51" s="193">
        <v>0</v>
      </c>
      <c r="AB51" s="238">
        <f t="shared" si="12"/>
        <v>0</v>
      </c>
      <c r="AC51" s="193">
        <v>0</v>
      </c>
      <c r="AD51" s="238">
        <f t="shared" si="13"/>
        <v>0</v>
      </c>
      <c r="AE51" s="193">
        <v>0</v>
      </c>
      <c r="AF51" s="238">
        <f t="shared" si="14"/>
        <v>0</v>
      </c>
      <c r="AG51" s="193">
        <v>0</v>
      </c>
      <c r="AH51" s="238">
        <f t="shared" si="15"/>
        <v>0</v>
      </c>
      <c r="AI51" s="193">
        <v>0</v>
      </c>
      <c r="AJ51" s="238">
        <f t="shared" si="16"/>
        <v>0</v>
      </c>
      <c r="AK51" s="193">
        <v>0</v>
      </c>
      <c r="AL51" s="238">
        <f t="shared" si="17"/>
        <v>0</v>
      </c>
      <c r="AM51" s="193">
        <v>0</v>
      </c>
      <c r="AN51" s="238">
        <f t="shared" si="18"/>
        <v>0</v>
      </c>
      <c r="AO51" s="193">
        <v>0</v>
      </c>
      <c r="AP51" s="238">
        <f t="shared" si="19"/>
        <v>0</v>
      </c>
      <c r="AQ51" s="193">
        <v>0</v>
      </c>
      <c r="AR51" s="238">
        <f t="shared" si="20"/>
        <v>0</v>
      </c>
      <c r="AS51" s="193">
        <v>0</v>
      </c>
      <c r="AT51" s="238">
        <f t="shared" si="21"/>
        <v>0</v>
      </c>
      <c r="AU51" s="193">
        <v>0</v>
      </c>
      <c r="AV51" s="238">
        <f t="shared" si="22"/>
        <v>0</v>
      </c>
      <c r="AW51" s="193">
        <v>0</v>
      </c>
      <c r="AX51" s="238">
        <f t="shared" si="23"/>
        <v>0</v>
      </c>
      <c r="AY51" s="193">
        <v>0</v>
      </c>
      <c r="AZ51" s="238">
        <f t="shared" si="24"/>
        <v>0</v>
      </c>
      <c r="BA51" s="193">
        <v>0</v>
      </c>
      <c r="BB51" s="238">
        <f t="shared" si="25"/>
        <v>0</v>
      </c>
      <c r="BC51" s="193">
        <v>0</v>
      </c>
      <c r="BD51" s="238">
        <f t="shared" si="26"/>
        <v>0</v>
      </c>
      <c r="BE51" s="193">
        <v>0</v>
      </c>
      <c r="BF51" s="238">
        <f t="shared" si="27"/>
        <v>0</v>
      </c>
      <c r="BG51" s="193">
        <v>0</v>
      </c>
      <c r="BH51" s="238">
        <f t="shared" si="28"/>
        <v>0</v>
      </c>
      <c r="BI51" s="193">
        <v>0</v>
      </c>
      <c r="BJ51" s="238">
        <f t="shared" si="29"/>
        <v>0</v>
      </c>
      <c r="BK51" s="193">
        <v>0</v>
      </c>
      <c r="BL51" s="238">
        <f t="shared" si="30"/>
        <v>0</v>
      </c>
      <c r="BM51" s="193">
        <v>0</v>
      </c>
      <c r="BN51" s="238">
        <f t="shared" si="31"/>
        <v>0</v>
      </c>
      <c r="BO51" s="193">
        <v>0</v>
      </c>
      <c r="BP51" s="238">
        <f t="shared" si="32"/>
        <v>0</v>
      </c>
      <c r="BQ51" s="193">
        <v>0</v>
      </c>
      <c r="BR51" s="238">
        <f t="shared" si="33"/>
        <v>0</v>
      </c>
      <c r="BS51" s="225"/>
      <c r="BT51" s="239">
        <f t="shared" si="36"/>
        <v>632.75999999999999</v>
      </c>
      <c r="BU51" s="238">
        <f t="shared" si="40"/>
        <v>14237.1</v>
      </c>
    </row>
    <row r="52" spans="1:73" ht="14.25">
      <c r="A52" s="241">
        <v>1997</v>
      </c>
      <c r="B52" s="528">
        <f t="shared" si="39"/>
        <v>21.5</v>
      </c>
      <c r="C52" s="193">
        <v>0</v>
      </c>
      <c r="D52" s="238">
        <f t="shared" si="35"/>
        <v>0</v>
      </c>
      <c r="E52" s="193">
        <v>0</v>
      </c>
      <c r="F52" s="238">
        <f t="shared" si="1"/>
        <v>0</v>
      </c>
      <c r="G52" s="193">
        <v>1307.5099999999998</v>
      </c>
      <c r="H52" s="238">
        <f t="shared" si="2"/>
        <v>28111.464999999997</v>
      </c>
      <c r="I52" s="193">
        <v>89274.830000000002</v>
      </c>
      <c r="J52" s="238">
        <f t="shared" si="3"/>
        <v>1919408.845</v>
      </c>
      <c r="K52" s="193">
        <v>0</v>
      </c>
      <c r="L52" s="238">
        <f t="shared" si="4"/>
        <v>0</v>
      </c>
      <c r="M52" s="193">
        <v>0</v>
      </c>
      <c r="N52" s="238">
        <f t="shared" si="5"/>
        <v>0</v>
      </c>
      <c r="O52" s="193">
        <v>0</v>
      </c>
      <c r="P52" s="238">
        <f t="shared" si="6"/>
        <v>0</v>
      </c>
      <c r="Q52" s="193">
        <v>5128.3599999999997</v>
      </c>
      <c r="R52" s="238">
        <f t="shared" si="7"/>
        <v>110259.73999999999</v>
      </c>
      <c r="S52" s="193">
        <v>0</v>
      </c>
      <c r="T52" s="238">
        <f t="shared" si="8"/>
        <v>0</v>
      </c>
      <c r="U52" s="193">
        <v>0</v>
      </c>
      <c r="V52" s="238">
        <f t="shared" si="9"/>
        <v>0</v>
      </c>
      <c r="W52" s="193">
        <v>0</v>
      </c>
      <c r="X52" s="238">
        <f t="shared" si="10"/>
        <v>0</v>
      </c>
      <c r="Y52" s="193">
        <v>0</v>
      </c>
      <c r="Z52" s="238">
        <f t="shared" si="11"/>
        <v>0</v>
      </c>
      <c r="AA52" s="193">
        <v>0</v>
      </c>
      <c r="AB52" s="238">
        <f t="shared" si="12"/>
        <v>0</v>
      </c>
      <c r="AC52" s="193">
        <v>0</v>
      </c>
      <c r="AD52" s="238">
        <f t="shared" si="13"/>
        <v>0</v>
      </c>
      <c r="AE52" s="193">
        <v>0</v>
      </c>
      <c r="AF52" s="238">
        <f t="shared" si="14"/>
        <v>0</v>
      </c>
      <c r="AG52" s="193">
        <v>0</v>
      </c>
      <c r="AH52" s="238">
        <f t="shared" si="15"/>
        <v>0</v>
      </c>
      <c r="AI52" s="193">
        <v>0</v>
      </c>
      <c r="AJ52" s="238">
        <f t="shared" si="16"/>
        <v>0</v>
      </c>
      <c r="AK52" s="193">
        <v>0</v>
      </c>
      <c r="AL52" s="238">
        <f t="shared" si="17"/>
        <v>0</v>
      </c>
      <c r="AM52" s="193">
        <v>0</v>
      </c>
      <c r="AN52" s="238">
        <f t="shared" si="18"/>
        <v>0</v>
      </c>
      <c r="AO52" s="193">
        <v>0</v>
      </c>
      <c r="AP52" s="238">
        <f t="shared" si="19"/>
        <v>0</v>
      </c>
      <c r="AQ52" s="193">
        <v>0</v>
      </c>
      <c r="AR52" s="238">
        <f t="shared" si="20"/>
        <v>0</v>
      </c>
      <c r="AS52" s="193">
        <v>0</v>
      </c>
      <c r="AT52" s="238">
        <f t="shared" si="21"/>
        <v>0</v>
      </c>
      <c r="AU52" s="193">
        <v>0</v>
      </c>
      <c r="AV52" s="238">
        <f t="shared" si="22"/>
        <v>0</v>
      </c>
      <c r="AW52" s="193">
        <v>0</v>
      </c>
      <c r="AX52" s="238">
        <f t="shared" si="23"/>
        <v>0</v>
      </c>
      <c r="AY52" s="193">
        <v>0</v>
      </c>
      <c r="AZ52" s="238">
        <f t="shared" si="24"/>
        <v>0</v>
      </c>
      <c r="BA52" s="193">
        <v>0</v>
      </c>
      <c r="BB52" s="238">
        <f t="shared" si="25"/>
        <v>0</v>
      </c>
      <c r="BC52" s="193">
        <v>0</v>
      </c>
      <c r="BD52" s="238">
        <f t="shared" si="26"/>
        <v>0</v>
      </c>
      <c r="BE52" s="193">
        <v>0</v>
      </c>
      <c r="BF52" s="238">
        <f t="shared" si="27"/>
        <v>0</v>
      </c>
      <c r="BG52" s="193">
        <v>0</v>
      </c>
      <c r="BH52" s="238">
        <f t="shared" si="28"/>
        <v>0</v>
      </c>
      <c r="BI52" s="193">
        <v>0</v>
      </c>
      <c r="BJ52" s="238">
        <f t="shared" si="29"/>
        <v>0</v>
      </c>
      <c r="BK52" s="193">
        <v>0</v>
      </c>
      <c r="BL52" s="238">
        <f t="shared" si="30"/>
        <v>0</v>
      </c>
      <c r="BM52" s="193">
        <v>0</v>
      </c>
      <c r="BN52" s="238">
        <f t="shared" si="31"/>
        <v>0</v>
      </c>
      <c r="BO52" s="193">
        <v>0</v>
      </c>
      <c r="BP52" s="238">
        <f t="shared" si="32"/>
        <v>0</v>
      </c>
      <c r="BQ52" s="193">
        <v>0</v>
      </c>
      <c r="BR52" s="238">
        <f t="shared" si="33"/>
        <v>0</v>
      </c>
      <c r="BS52" s="225"/>
      <c r="BT52" s="239">
        <f t="shared" si="36"/>
        <v>95710.699999999997</v>
      </c>
      <c r="BU52" s="238">
        <f t="shared" si="40"/>
        <v>2057780.05</v>
      </c>
    </row>
    <row r="53" spans="1:73" ht="14.25">
      <c r="A53" s="241">
        <v>1998</v>
      </c>
      <c r="B53" s="528">
        <f t="shared" si="39"/>
        <v>20.5</v>
      </c>
      <c r="C53" s="193">
        <v>0</v>
      </c>
      <c r="D53" s="238">
        <f t="shared" si="35"/>
        <v>0</v>
      </c>
      <c r="E53" s="193">
        <v>0</v>
      </c>
      <c r="F53" s="238">
        <f t="shared" si="1"/>
        <v>0</v>
      </c>
      <c r="G53" s="193">
        <v>0</v>
      </c>
      <c r="H53" s="238">
        <f t="shared" si="2"/>
        <v>0</v>
      </c>
      <c r="I53" s="193">
        <v>0</v>
      </c>
      <c r="J53" s="238">
        <f t="shared" si="3"/>
        <v>0</v>
      </c>
      <c r="K53" s="193">
        <v>0</v>
      </c>
      <c r="L53" s="238">
        <f t="shared" si="4"/>
        <v>0</v>
      </c>
      <c r="M53" s="193">
        <v>0</v>
      </c>
      <c r="N53" s="238">
        <f t="shared" si="5"/>
        <v>0</v>
      </c>
      <c r="O53" s="193">
        <v>0</v>
      </c>
      <c r="P53" s="238">
        <f t="shared" si="6"/>
        <v>0</v>
      </c>
      <c r="Q53" s="193">
        <v>4809.6199999999999</v>
      </c>
      <c r="R53" s="238">
        <f t="shared" si="7"/>
        <v>98597.209999999992</v>
      </c>
      <c r="S53" s="193">
        <v>0</v>
      </c>
      <c r="T53" s="238">
        <f t="shared" si="8"/>
        <v>0</v>
      </c>
      <c r="U53" s="193">
        <v>0</v>
      </c>
      <c r="V53" s="238">
        <f t="shared" si="9"/>
        <v>0</v>
      </c>
      <c r="W53" s="193">
        <v>0</v>
      </c>
      <c r="X53" s="238">
        <f t="shared" si="10"/>
        <v>0</v>
      </c>
      <c r="Y53" s="193">
        <v>0</v>
      </c>
      <c r="Z53" s="238">
        <f t="shared" si="11"/>
        <v>0</v>
      </c>
      <c r="AA53" s="193">
        <v>0</v>
      </c>
      <c r="AB53" s="238">
        <f t="shared" si="12"/>
        <v>0</v>
      </c>
      <c r="AC53" s="193">
        <v>0</v>
      </c>
      <c r="AD53" s="238">
        <f t="shared" si="13"/>
        <v>0</v>
      </c>
      <c r="AE53" s="193">
        <v>0</v>
      </c>
      <c r="AF53" s="238">
        <f t="shared" si="14"/>
        <v>0</v>
      </c>
      <c r="AG53" s="193">
        <v>0</v>
      </c>
      <c r="AH53" s="238">
        <f t="shared" si="15"/>
        <v>0</v>
      </c>
      <c r="AI53" s="193">
        <v>0</v>
      </c>
      <c r="AJ53" s="238">
        <f t="shared" si="16"/>
        <v>0</v>
      </c>
      <c r="AK53" s="193">
        <v>0</v>
      </c>
      <c r="AL53" s="238">
        <f t="shared" si="17"/>
        <v>0</v>
      </c>
      <c r="AM53" s="193">
        <v>0</v>
      </c>
      <c r="AN53" s="238">
        <f t="shared" si="18"/>
        <v>0</v>
      </c>
      <c r="AO53" s="193">
        <v>0</v>
      </c>
      <c r="AP53" s="238">
        <f t="shared" si="19"/>
        <v>0</v>
      </c>
      <c r="AQ53" s="193">
        <v>0</v>
      </c>
      <c r="AR53" s="238">
        <f t="shared" si="20"/>
        <v>0</v>
      </c>
      <c r="AS53" s="193">
        <v>0</v>
      </c>
      <c r="AT53" s="238">
        <f t="shared" si="21"/>
        <v>0</v>
      </c>
      <c r="AU53" s="193">
        <v>0</v>
      </c>
      <c r="AV53" s="238">
        <f t="shared" si="22"/>
        <v>0</v>
      </c>
      <c r="AW53" s="193">
        <v>0</v>
      </c>
      <c r="AX53" s="238">
        <f t="shared" si="23"/>
        <v>0</v>
      </c>
      <c r="AY53" s="193">
        <v>16943.57</v>
      </c>
      <c r="AZ53" s="238">
        <f t="shared" si="24"/>
        <v>347343.185</v>
      </c>
      <c r="BA53" s="193">
        <v>0</v>
      </c>
      <c r="BB53" s="238">
        <f t="shared" si="25"/>
        <v>0</v>
      </c>
      <c r="BC53" s="193">
        <v>0</v>
      </c>
      <c r="BD53" s="238">
        <f t="shared" si="26"/>
        <v>0</v>
      </c>
      <c r="BE53" s="193">
        <v>0</v>
      </c>
      <c r="BF53" s="238">
        <f t="shared" si="27"/>
        <v>0</v>
      </c>
      <c r="BG53" s="193">
        <v>0</v>
      </c>
      <c r="BH53" s="238">
        <f t="shared" si="28"/>
        <v>0</v>
      </c>
      <c r="BI53" s="193">
        <v>0</v>
      </c>
      <c r="BJ53" s="238">
        <f t="shared" si="29"/>
        <v>0</v>
      </c>
      <c r="BK53" s="193">
        <v>0</v>
      </c>
      <c r="BL53" s="238">
        <f t="shared" si="30"/>
        <v>0</v>
      </c>
      <c r="BM53" s="193">
        <v>0</v>
      </c>
      <c r="BN53" s="238">
        <f t="shared" si="31"/>
        <v>0</v>
      </c>
      <c r="BO53" s="193">
        <v>0</v>
      </c>
      <c r="BP53" s="238">
        <f t="shared" si="32"/>
        <v>0</v>
      </c>
      <c r="BQ53" s="193">
        <v>0</v>
      </c>
      <c r="BR53" s="238">
        <f t="shared" si="33"/>
        <v>0</v>
      </c>
      <c r="BS53" s="225"/>
      <c r="BT53" s="239">
        <f t="shared" si="36"/>
        <v>21753.189999999999</v>
      </c>
      <c r="BU53" s="238">
        <f t="shared" si="40"/>
        <v>445940.39499999996</v>
      </c>
    </row>
    <row r="54" spans="1:73" ht="14.25">
      <c r="A54" s="241">
        <v>1999</v>
      </c>
      <c r="B54" s="528">
        <f t="shared" si="39"/>
        <v>19.5</v>
      </c>
      <c r="C54" s="193">
        <v>0</v>
      </c>
      <c r="D54" s="238">
        <f t="shared" si="35"/>
        <v>0</v>
      </c>
      <c r="E54" s="193">
        <v>0</v>
      </c>
      <c r="F54" s="238">
        <f t="shared" si="1"/>
        <v>0</v>
      </c>
      <c r="G54" s="193">
        <v>915.75999999999999</v>
      </c>
      <c r="H54" s="238">
        <f t="shared" si="2"/>
        <v>17857.32</v>
      </c>
      <c r="I54" s="193">
        <v>0</v>
      </c>
      <c r="J54" s="238">
        <f t="shared" si="3"/>
        <v>0</v>
      </c>
      <c r="K54" s="193">
        <v>0</v>
      </c>
      <c r="L54" s="238">
        <f t="shared" si="4"/>
        <v>0</v>
      </c>
      <c r="M54" s="193">
        <v>0</v>
      </c>
      <c r="N54" s="238">
        <f t="shared" si="5"/>
        <v>0</v>
      </c>
      <c r="O54" s="193">
        <v>0</v>
      </c>
      <c r="P54" s="238">
        <f t="shared" si="6"/>
        <v>0</v>
      </c>
      <c r="Q54" s="193">
        <v>1411.51</v>
      </c>
      <c r="R54" s="238">
        <f t="shared" si="7"/>
        <v>27524.445</v>
      </c>
      <c r="S54" s="193">
        <v>0</v>
      </c>
      <c r="T54" s="238">
        <f t="shared" si="8"/>
        <v>0</v>
      </c>
      <c r="U54" s="193">
        <v>0</v>
      </c>
      <c r="V54" s="238">
        <f t="shared" si="9"/>
        <v>0</v>
      </c>
      <c r="W54" s="193">
        <v>0</v>
      </c>
      <c r="X54" s="238">
        <f t="shared" si="10"/>
        <v>0</v>
      </c>
      <c r="Y54" s="193">
        <v>0</v>
      </c>
      <c r="Z54" s="238">
        <f t="shared" si="11"/>
        <v>0</v>
      </c>
      <c r="AA54" s="193">
        <v>0</v>
      </c>
      <c r="AB54" s="238">
        <f t="shared" si="12"/>
        <v>0</v>
      </c>
      <c r="AC54" s="193">
        <v>0</v>
      </c>
      <c r="AD54" s="238">
        <f t="shared" si="13"/>
        <v>0</v>
      </c>
      <c r="AE54" s="193">
        <v>0</v>
      </c>
      <c r="AF54" s="238">
        <f t="shared" si="14"/>
        <v>0</v>
      </c>
      <c r="AG54" s="193">
        <v>0</v>
      </c>
      <c r="AH54" s="238">
        <f t="shared" si="15"/>
        <v>0</v>
      </c>
      <c r="AI54" s="193">
        <v>0</v>
      </c>
      <c r="AJ54" s="238">
        <f t="shared" si="16"/>
        <v>0</v>
      </c>
      <c r="AK54" s="193">
        <v>0</v>
      </c>
      <c r="AL54" s="238">
        <f t="shared" si="17"/>
        <v>0</v>
      </c>
      <c r="AM54" s="193">
        <v>0</v>
      </c>
      <c r="AN54" s="238">
        <f t="shared" si="18"/>
        <v>0</v>
      </c>
      <c r="AO54" s="193">
        <v>0</v>
      </c>
      <c r="AP54" s="238">
        <f t="shared" si="19"/>
        <v>0</v>
      </c>
      <c r="AQ54" s="193">
        <v>0</v>
      </c>
      <c r="AR54" s="238">
        <f t="shared" si="20"/>
        <v>0</v>
      </c>
      <c r="AS54" s="193">
        <v>0</v>
      </c>
      <c r="AT54" s="238">
        <f t="shared" si="21"/>
        <v>0</v>
      </c>
      <c r="AU54" s="193">
        <v>0</v>
      </c>
      <c r="AV54" s="238">
        <f t="shared" si="22"/>
        <v>0</v>
      </c>
      <c r="AW54" s="193">
        <v>0</v>
      </c>
      <c r="AX54" s="238">
        <f t="shared" si="23"/>
        <v>0</v>
      </c>
      <c r="AY54" s="193">
        <v>16283.190000000001</v>
      </c>
      <c r="AZ54" s="238">
        <f t="shared" si="24"/>
        <v>317522.20500000002</v>
      </c>
      <c r="BA54" s="193">
        <v>0</v>
      </c>
      <c r="BB54" s="238">
        <f t="shared" si="25"/>
        <v>0</v>
      </c>
      <c r="BC54" s="193">
        <v>3949.8499999999999</v>
      </c>
      <c r="BD54" s="238">
        <f t="shared" si="26"/>
        <v>77022.074999999997</v>
      </c>
      <c r="BE54" s="193">
        <v>0</v>
      </c>
      <c r="BF54" s="238">
        <f t="shared" si="27"/>
        <v>0</v>
      </c>
      <c r="BG54" s="193">
        <v>0</v>
      </c>
      <c r="BH54" s="238">
        <f t="shared" si="28"/>
        <v>0</v>
      </c>
      <c r="BI54" s="193">
        <v>0</v>
      </c>
      <c r="BJ54" s="238">
        <f t="shared" si="29"/>
        <v>0</v>
      </c>
      <c r="BK54" s="193">
        <v>0</v>
      </c>
      <c r="BL54" s="238">
        <f t="shared" si="30"/>
        <v>0</v>
      </c>
      <c r="BM54" s="193">
        <v>0</v>
      </c>
      <c r="BN54" s="238">
        <f t="shared" si="31"/>
        <v>0</v>
      </c>
      <c r="BO54" s="193">
        <v>0</v>
      </c>
      <c r="BP54" s="238">
        <f t="shared" si="32"/>
        <v>0</v>
      </c>
      <c r="BQ54" s="193">
        <v>0</v>
      </c>
      <c r="BR54" s="238">
        <f t="shared" si="33"/>
        <v>0</v>
      </c>
      <c r="BS54" s="225"/>
      <c r="BT54" s="239">
        <f t="shared" si="36"/>
        <v>22560.309999999998</v>
      </c>
      <c r="BU54" s="238">
        <f t="shared" si="40"/>
        <v>439926.04499999993</v>
      </c>
    </row>
    <row r="55" spans="1:73" ht="14.25">
      <c r="A55" s="241">
        <v>2000</v>
      </c>
      <c r="B55" s="528">
        <f t="shared" si="39"/>
        <v>18.5</v>
      </c>
      <c r="C55" s="193">
        <v>0</v>
      </c>
      <c r="D55" s="238">
        <f t="shared" si="35"/>
        <v>0</v>
      </c>
      <c r="E55" s="193">
        <v>0</v>
      </c>
      <c r="F55" s="238">
        <f t="shared" si="1"/>
        <v>0</v>
      </c>
      <c r="G55" s="193">
        <v>7813.3500000000004</v>
      </c>
      <c r="H55" s="238">
        <f t="shared" si="2"/>
        <v>144546.97500000001</v>
      </c>
      <c r="I55" s="193">
        <v>0</v>
      </c>
      <c r="J55" s="238">
        <f t="shared" si="3"/>
        <v>0</v>
      </c>
      <c r="K55" s="193">
        <v>0</v>
      </c>
      <c r="L55" s="238">
        <f t="shared" si="4"/>
        <v>0</v>
      </c>
      <c r="M55" s="193">
        <v>0</v>
      </c>
      <c r="N55" s="238">
        <f t="shared" si="5"/>
        <v>0</v>
      </c>
      <c r="O55" s="193">
        <v>0</v>
      </c>
      <c r="P55" s="238">
        <f t="shared" si="6"/>
        <v>0</v>
      </c>
      <c r="Q55" s="193">
        <v>6465.9099999999999</v>
      </c>
      <c r="R55" s="238">
        <f t="shared" si="7"/>
        <v>119619.33499999999</v>
      </c>
      <c r="S55" s="193">
        <v>0</v>
      </c>
      <c r="T55" s="238">
        <f t="shared" si="8"/>
        <v>0</v>
      </c>
      <c r="U55" s="193">
        <v>0</v>
      </c>
      <c r="V55" s="238">
        <f t="shared" si="9"/>
        <v>0</v>
      </c>
      <c r="W55" s="193">
        <v>0</v>
      </c>
      <c r="X55" s="238">
        <f t="shared" si="10"/>
        <v>0</v>
      </c>
      <c r="Y55" s="193">
        <v>0</v>
      </c>
      <c r="Z55" s="238">
        <f t="shared" si="11"/>
        <v>0</v>
      </c>
      <c r="AA55" s="193">
        <v>0</v>
      </c>
      <c r="AB55" s="238">
        <f t="shared" si="12"/>
        <v>0</v>
      </c>
      <c r="AC55" s="193">
        <v>0</v>
      </c>
      <c r="AD55" s="238">
        <f t="shared" si="13"/>
        <v>0</v>
      </c>
      <c r="AE55" s="193">
        <v>0</v>
      </c>
      <c r="AF55" s="238">
        <f t="shared" si="14"/>
        <v>0</v>
      </c>
      <c r="AG55" s="193">
        <v>0</v>
      </c>
      <c r="AH55" s="238">
        <f t="shared" si="15"/>
        <v>0</v>
      </c>
      <c r="AI55" s="193">
        <v>0</v>
      </c>
      <c r="AJ55" s="238">
        <f t="shared" si="16"/>
        <v>0</v>
      </c>
      <c r="AK55" s="193">
        <v>0</v>
      </c>
      <c r="AL55" s="238">
        <f t="shared" si="17"/>
        <v>0</v>
      </c>
      <c r="AM55" s="193">
        <v>0</v>
      </c>
      <c r="AN55" s="238">
        <f t="shared" si="18"/>
        <v>0</v>
      </c>
      <c r="AO55" s="193">
        <v>0</v>
      </c>
      <c r="AP55" s="238">
        <f t="shared" si="19"/>
        <v>0</v>
      </c>
      <c r="AQ55" s="193">
        <v>0</v>
      </c>
      <c r="AR55" s="238">
        <f t="shared" si="20"/>
        <v>0</v>
      </c>
      <c r="AS55" s="193">
        <v>0</v>
      </c>
      <c r="AT55" s="238">
        <f t="shared" si="21"/>
        <v>0</v>
      </c>
      <c r="AU55" s="193">
        <v>0</v>
      </c>
      <c r="AV55" s="238">
        <f t="shared" si="22"/>
        <v>0</v>
      </c>
      <c r="AW55" s="193">
        <v>0</v>
      </c>
      <c r="AX55" s="238">
        <f t="shared" si="23"/>
        <v>0</v>
      </c>
      <c r="AY55" s="193">
        <v>0</v>
      </c>
      <c r="AZ55" s="238">
        <f t="shared" si="24"/>
        <v>0</v>
      </c>
      <c r="BA55" s="193">
        <v>0</v>
      </c>
      <c r="BB55" s="238">
        <f t="shared" si="25"/>
        <v>0</v>
      </c>
      <c r="BC55" s="193">
        <v>214</v>
      </c>
      <c r="BD55" s="238">
        <f t="shared" si="26"/>
        <v>3959</v>
      </c>
      <c r="BE55" s="193">
        <v>0</v>
      </c>
      <c r="BF55" s="238">
        <f t="shared" si="27"/>
        <v>0</v>
      </c>
      <c r="BG55" s="193">
        <v>0</v>
      </c>
      <c r="BH55" s="238">
        <f t="shared" si="28"/>
        <v>0</v>
      </c>
      <c r="BI55" s="193">
        <v>0</v>
      </c>
      <c r="BJ55" s="238">
        <f t="shared" si="29"/>
        <v>0</v>
      </c>
      <c r="BK55" s="193">
        <v>0</v>
      </c>
      <c r="BL55" s="238">
        <f t="shared" si="30"/>
        <v>0</v>
      </c>
      <c r="BM55" s="193">
        <v>0</v>
      </c>
      <c r="BN55" s="238">
        <f t="shared" si="31"/>
        <v>0</v>
      </c>
      <c r="BO55" s="193">
        <v>0</v>
      </c>
      <c r="BP55" s="238">
        <f t="shared" si="32"/>
        <v>0</v>
      </c>
      <c r="BQ55" s="193">
        <v>0</v>
      </c>
      <c r="BR55" s="238">
        <f t="shared" si="33"/>
        <v>0</v>
      </c>
      <c r="BS55" s="225"/>
      <c r="BT55" s="239">
        <f t="shared" si="36"/>
        <v>14493.26</v>
      </c>
      <c r="BU55" s="238">
        <f t="shared" si="40"/>
        <v>268125.31</v>
      </c>
    </row>
    <row r="56" spans="1:73" ht="14.25">
      <c r="A56" s="241">
        <v>2001</v>
      </c>
      <c r="B56" s="528">
        <f t="shared" si="39"/>
        <v>17.5</v>
      </c>
      <c r="C56" s="193">
        <v>0</v>
      </c>
      <c r="D56" s="238">
        <f t="shared" si="35"/>
        <v>0</v>
      </c>
      <c r="E56" s="193">
        <v>0</v>
      </c>
      <c r="F56" s="238">
        <f t="shared" si="1"/>
        <v>0</v>
      </c>
      <c r="G56" s="193">
        <v>0</v>
      </c>
      <c r="H56" s="238">
        <f t="shared" si="2"/>
        <v>0</v>
      </c>
      <c r="I56" s="193">
        <v>0</v>
      </c>
      <c r="J56" s="238">
        <f t="shared" si="3"/>
        <v>0</v>
      </c>
      <c r="K56" s="193">
        <v>0</v>
      </c>
      <c r="L56" s="238">
        <f t="shared" si="4"/>
        <v>0</v>
      </c>
      <c r="M56" s="193">
        <v>0</v>
      </c>
      <c r="N56" s="238">
        <f t="shared" si="5"/>
        <v>0</v>
      </c>
      <c r="O56" s="193">
        <v>0</v>
      </c>
      <c r="P56" s="238">
        <f t="shared" si="6"/>
        <v>0</v>
      </c>
      <c r="Q56" s="193">
        <v>684.63</v>
      </c>
      <c r="R56" s="238">
        <f t="shared" si="7"/>
        <v>11981.025</v>
      </c>
      <c r="S56" s="193">
        <v>0</v>
      </c>
      <c r="T56" s="238">
        <f t="shared" si="8"/>
        <v>0</v>
      </c>
      <c r="U56" s="193">
        <v>0</v>
      </c>
      <c r="V56" s="238">
        <f t="shared" si="9"/>
        <v>0</v>
      </c>
      <c r="W56" s="193">
        <v>0</v>
      </c>
      <c r="X56" s="238">
        <f t="shared" si="10"/>
        <v>0</v>
      </c>
      <c r="Y56" s="193">
        <v>0</v>
      </c>
      <c r="Z56" s="238">
        <f t="shared" si="11"/>
        <v>0</v>
      </c>
      <c r="AA56" s="193">
        <v>0</v>
      </c>
      <c r="AB56" s="238">
        <f t="shared" si="12"/>
        <v>0</v>
      </c>
      <c r="AC56" s="193">
        <v>0</v>
      </c>
      <c r="AD56" s="238">
        <f t="shared" si="13"/>
        <v>0</v>
      </c>
      <c r="AE56" s="193">
        <v>0</v>
      </c>
      <c r="AF56" s="238">
        <f t="shared" si="14"/>
        <v>0</v>
      </c>
      <c r="AG56" s="193">
        <v>0</v>
      </c>
      <c r="AH56" s="238">
        <f t="shared" si="15"/>
        <v>0</v>
      </c>
      <c r="AI56" s="193">
        <v>0</v>
      </c>
      <c r="AJ56" s="238">
        <f t="shared" si="16"/>
        <v>0</v>
      </c>
      <c r="AK56" s="193">
        <v>0</v>
      </c>
      <c r="AL56" s="238">
        <f t="shared" si="17"/>
        <v>0</v>
      </c>
      <c r="AM56" s="193">
        <v>0</v>
      </c>
      <c r="AN56" s="238">
        <f t="shared" si="18"/>
        <v>0</v>
      </c>
      <c r="AO56" s="193">
        <v>0</v>
      </c>
      <c r="AP56" s="238">
        <f t="shared" si="19"/>
        <v>0</v>
      </c>
      <c r="AQ56" s="193">
        <v>0</v>
      </c>
      <c r="AR56" s="238">
        <f t="shared" si="20"/>
        <v>0</v>
      </c>
      <c r="AS56" s="193">
        <v>0</v>
      </c>
      <c r="AT56" s="238">
        <f t="shared" si="21"/>
        <v>0</v>
      </c>
      <c r="AU56" s="193">
        <v>0</v>
      </c>
      <c r="AV56" s="238">
        <f t="shared" si="22"/>
        <v>0</v>
      </c>
      <c r="AW56" s="193">
        <v>23562.040000000001</v>
      </c>
      <c r="AX56" s="238">
        <f t="shared" si="23"/>
        <v>412335.70000000001</v>
      </c>
      <c r="AY56" s="193">
        <v>727.09000000000003</v>
      </c>
      <c r="AZ56" s="238">
        <f t="shared" si="24"/>
        <v>12724.075000000001</v>
      </c>
      <c r="BA56" s="193">
        <v>0</v>
      </c>
      <c r="BB56" s="238">
        <f t="shared" si="25"/>
        <v>0</v>
      </c>
      <c r="BC56" s="193">
        <v>4097</v>
      </c>
      <c r="BD56" s="238">
        <f t="shared" si="26"/>
        <v>71697.5</v>
      </c>
      <c r="BE56" s="193">
        <v>0</v>
      </c>
      <c r="BF56" s="238">
        <f t="shared" si="27"/>
        <v>0</v>
      </c>
      <c r="BG56" s="193">
        <v>0</v>
      </c>
      <c r="BH56" s="238">
        <f t="shared" si="28"/>
        <v>0</v>
      </c>
      <c r="BI56" s="193">
        <v>0</v>
      </c>
      <c r="BJ56" s="238">
        <f t="shared" si="29"/>
        <v>0</v>
      </c>
      <c r="BK56" s="193">
        <v>0</v>
      </c>
      <c r="BL56" s="238">
        <f t="shared" si="30"/>
        <v>0</v>
      </c>
      <c r="BM56" s="193">
        <v>0</v>
      </c>
      <c r="BN56" s="238">
        <f t="shared" si="31"/>
        <v>0</v>
      </c>
      <c r="BO56" s="193">
        <v>0</v>
      </c>
      <c r="BP56" s="238">
        <f t="shared" si="32"/>
        <v>0</v>
      </c>
      <c r="BQ56" s="193">
        <v>0</v>
      </c>
      <c r="BR56" s="238">
        <f t="shared" si="33"/>
        <v>0</v>
      </c>
      <c r="BS56" s="225"/>
      <c r="BT56" s="239">
        <f t="shared" si="36"/>
        <v>29070.760000000002</v>
      </c>
      <c r="BU56" s="238">
        <f t="shared" si="40"/>
        <v>508738.30000000005</v>
      </c>
    </row>
    <row r="57" spans="1:73" ht="14.25">
      <c r="A57" s="241">
        <v>2002</v>
      </c>
      <c r="B57" s="528">
        <f t="shared" si="39"/>
        <v>16.5</v>
      </c>
      <c r="C57" s="193">
        <v>0</v>
      </c>
      <c r="D57" s="238">
        <f t="shared" si="35"/>
        <v>0</v>
      </c>
      <c r="E57" s="193">
        <v>0</v>
      </c>
      <c r="F57" s="238">
        <f t="shared" si="1"/>
        <v>0</v>
      </c>
      <c r="G57" s="193">
        <v>0</v>
      </c>
      <c r="H57" s="238">
        <f t="shared" si="2"/>
        <v>0</v>
      </c>
      <c r="I57" s="193">
        <v>0</v>
      </c>
      <c r="J57" s="238">
        <f t="shared" si="3"/>
        <v>0</v>
      </c>
      <c r="K57" s="193">
        <v>0</v>
      </c>
      <c r="L57" s="238">
        <f t="shared" si="4"/>
        <v>0</v>
      </c>
      <c r="M57" s="193">
        <v>0</v>
      </c>
      <c r="N57" s="238">
        <f t="shared" si="5"/>
        <v>0</v>
      </c>
      <c r="O57" s="193">
        <v>0</v>
      </c>
      <c r="P57" s="238">
        <f t="shared" si="6"/>
        <v>0</v>
      </c>
      <c r="Q57" s="193">
        <v>605.38999999999999</v>
      </c>
      <c r="R57" s="238">
        <f t="shared" si="7"/>
        <v>9988.9349999999995</v>
      </c>
      <c r="S57" s="193">
        <v>0</v>
      </c>
      <c r="T57" s="238">
        <f t="shared" si="8"/>
        <v>0</v>
      </c>
      <c r="U57" s="193">
        <v>0</v>
      </c>
      <c r="V57" s="238">
        <f t="shared" si="9"/>
        <v>0</v>
      </c>
      <c r="W57" s="193">
        <v>0</v>
      </c>
      <c r="X57" s="238">
        <f t="shared" si="10"/>
        <v>0</v>
      </c>
      <c r="Y57" s="193">
        <v>0</v>
      </c>
      <c r="Z57" s="238">
        <f t="shared" si="11"/>
        <v>0</v>
      </c>
      <c r="AA57" s="193">
        <v>0</v>
      </c>
      <c r="AB57" s="238">
        <f t="shared" si="12"/>
        <v>0</v>
      </c>
      <c r="AC57" s="193">
        <v>0</v>
      </c>
      <c r="AD57" s="238">
        <f t="shared" si="13"/>
        <v>0</v>
      </c>
      <c r="AE57" s="193">
        <v>0</v>
      </c>
      <c r="AF57" s="238">
        <f t="shared" si="14"/>
        <v>0</v>
      </c>
      <c r="AG57" s="193">
        <v>0</v>
      </c>
      <c r="AH57" s="238">
        <f t="shared" si="15"/>
        <v>0</v>
      </c>
      <c r="AI57" s="193">
        <v>0</v>
      </c>
      <c r="AJ57" s="238">
        <f t="shared" si="16"/>
        <v>0</v>
      </c>
      <c r="AK57" s="193">
        <v>0</v>
      </c>
      <c r="AL57" s="238">
        <f t="shared" si="17"/>
        <v>0</v>
      </c>
      <c r="AM57" s="193">
        <v>0</v>
      </c>
      <c r="AN57" s="238">
        <f t="shared" si="18"/>
        <v>0</v>
      </c>
      <c r="AO57" s="193">
        <v>0</v>
      </c>
      <c r="AP57" s="238">
        <f t="shared" si="19"/>
        <v>0</v>
      </c>
      <c r="AQ57" s="193">
        <v>0</v>
      </c>
      <c r="AR57" s="238">
        <f t="shared" si="20"/>
        <v>0</v>
      </c>
      <c r="AS57" s="193">
        <v>0</v>
      </c>
      <c r="AT57" s="238">
        <f t="shared" si="21"/>
        <v>0</v>
      </c>
      <c r="AU57" s="193">
        <v>0</v>
      </c>
      <c r="AV57" s="238">
        <f t="shared" si="22"/>
        <v>0</v>
      </c>
      <c r="AW57" s="193">
        <v>0</v>
      </c>
      <c r="AX57" s="238">
        <f t="shared" si="23"/>
        <v>0</v>
      </c>
      <c r="AY57" s="193">
        <v>0</v>
      </c>
      <c r="AZ57" s="238">
        <f t="shared" si="24"/>
        <v>0</v>
      </c>
      <c r="BA57" s="193">
        <v>0</v>
      </c>
      <c r="BB57" s="238">
        <f t="shared" si="25"/>
        <v>0</v>
      </c>
      <c r="BC57" s="193">
        <v>0</v>
      </c>
      <c r="BD57" s="238">
        <f t="shared" si="26"/>
        <v>0</v>
      </c>
      <c r="BE57" s="193">
        <v>0</v>
      </c>
      <c r="BF57" s="238">
        <f t="shared" si="27"/>
        <v>0</v>
      </c>
      <c r="BG57" s="193">
        <v>0</v>
      </c>
      <c r="BH57" s="238">
        <f t="shared" si="28"/>
        <v>0</v>
      </c>
      <c r="BI57" s="193">
        <v>0</v>
      </c>
      <c r="BJ57" s="238">
        <f t="shared" si="29"/>
        <v>0</v>
      </c>
      <c r="BK57" s="193">
        <v>0</v>
      </c>
      <c r="BL57" s="238">
        <f t="shared" si="30"/>
        <v>0</v>
      </c>
      <c r="BM57" s="193">
        <v>0</v>
      </c>
      <c r="BN57" s="238">
        <f t="shared" si="31"/>
        <v>0</v>
      </c>
      <c r="BO57" s="193">
        <v>0</v>
      </c>
      <c r="BP57" s="238">
        <f t="shared" si="32"/>
        <v>0</v>
      </c>
      <c r="BQ57" s="193">
        <v>0</v>
      </c>
      <c r="BR57" s="238">
        <f t="shared" si="33"/>
        <v>0</v>
      </c>
      <c r="BS57" s="225"/>
      <c r="BT57" s="239">
        <f t="shared" si="36"/>
        <v>605.38999999999999</v>
      </c>
      <c r="BU57" s="238">
        <f t="shared" si="40"/>
        <v>9988.9349999999995</v>
      </c>
    </row>
    <row r="58" spans="1:73" ht="14.25">
      <c r="A58" s="241">
        <v>2003</v>
      </c>
      <c r="B58" s="528">
        <f t="shared" si="39"/>
        <v>15.5</v>
      </c>
      <c r="C58" s="193">
        <v>0</v>
      </c>
      <c r="D58" s="238">
        <f t="shared" si="35"/>
        <v>0</v>
      </c>
      <c r="E58" s="193">
        <v>0</v>
      </c>
      <c r="F58" s="238">
        <f t="shared" si="1"/>
        <v>0</v>
      </c>
      <c r="G58" s="193">
        <v>76.400000000000006</v>
      </c>
      <c r="H58" s="238">
        <f t="shared" si="2"/>
        <v>1184.2</v>
      </c>
      <c r="I58" s="193">
        <v>0</v>
      </c>
      <c r="J58" s="238">
        <f t="shared" si="3"/>
        <v>0</v>
      </c>
      <c r="K58" s="193">
        <v>0</v>
      </c>
      <c r="L58" s="238">
        <f t="shared" si="4"/>
        <v>0</v>
      </c>
      <c r="M58" s="193">
        <v>0</v>
      </c>
      <c r="N58" s="238">
        <f t="shared" si="5"/>
        <v>0</v>
      </c>
      <c r="O58" s="193">
        <v>0</v>
      </c>
      <c r="P58" s="238">
        <f t="shared" si="6"/>
        <v>0</v>
      </c>
      <c r="Q58" s="193">
        <v>1155.5799999999999</v>
      </c>
      <c r="R58" s="238">
        <f t="shared" si="7"/>
        <v>17911.489999999998</v>
      </c>
      <c r="S58" s="193">
        <v>0</v>
      </c>
      <c r="T58" s="238">
        <f t="shared" si="8"/>
        <v>0</v>
      </c>
      <c r="U58" s="193">
        <v>0</v>
      </c>
      <c r="V58" s="238">
        <f t="shared" si="9"/>
        <v>0</v>
      </c>
      <c r="W58" s="193">
        <v>0</v>
      </c>
      <c r="X58" s="238">
        <f t="shared" si="10"/>
        <v>0</v>
      </c>
      <c r="Y58" s="193">
        <v>0</v>
      </c>
      <c r="Z58" s="238">
        <f t="shared" si="11"/>
        <v>0</v>
      </c>
      <c r="AA58" s="193">
        <v>0</v>
      </c>
      <c r="AB58" s="238">
        <f t="shared" si="12"/>
        <v>0</v>
      </c>
      <c r="AC58" s="193">
        <v>0</v>
      </c>
      <c r="AD58" s="238">
        <f t="shared" si="13"/>
        <v>0</v>
      </c>
      <c r="AE58" s="193">
        <v>0</v>
      </c>
      <c r="AF58" s="238">
        <f t="shared" si="14"/>
        <v>0</v>
      </c>
      <c r="AG58" s="193">
        <v>0</v>
      </c>
      <c r="AH58" s="238">
        <f t="shared" si="15"/>
        <v>0</v>
      </c>
      <c r="AI58" s="193">
        <v>0</v>
      </c>
      <c r="AJ58" s="238">
        <f t="shared" si="16"/>
        <v>0</v>
      </c>
      <c r="AK58" s="193">
        <v>0</v>
      </c>
      <c r="AL58" s="238">
        <f t="shared" si="17"/>
        <v>0</v>
      </c>
      <c r="AM58" s="193">
        <v>0</v>
      </c>
      <c r="AN58" s="238">
        <f t="shared" si="18"/>
        <v>0</v>
      </c>
      <c r="AO58" s="193">
        <v>0</v>
      </c>
      <c r="AP58" s="238">
        <f t="shared" si="19"/>
        <v>0</v>
      </c>
      <c r="AQ58" s="193">
        <v>0</v>
      </c>
      <c r="AR58" s="238">
        <f t="shared" si="20"/>
        <v>0</v>
      </c>
      <c r="AS58" s="193">
        <v>0</v>
      </c>
      <c r="AT58" s="238">
        <f t="shared" si="21"/>
        <v>0</v>
      </c>
      <c r="AU58" s="193">
        <v>0</v>
      </c>
      <c r="AV58" s="238">
        <f t="shared" si="22"/>
        <v>0</v>
      </c>
      <c r="AW58" s="193">
        <v>0</v>
      </c>
      <c r="AX58" s="238">
        <f t="shared" si="23"/>
        <v>0</v>
      </c>
      <c r="AY58" s="193">
        <v>82758.699999999997</v>
      </c>
      <c r="AZ58" s="238">
        <f t="shared" si="24"/>
        <v>1282759.8499999999</v>
      </c>
      <c r="BA58" s="193">
        <v>0</v>
      </c>
      <c r="BB58" s="238">
        <f t="shared" si="25"/>
        <v>0</v>
      </c>
      <c r="BC58" s="193">
        <v>0</v>
      </c>
      <c r="BD58" s="238">
        <f t="shared" si="26"/>
        <v>0</v>
      </c>
      <c r="BE58" s="193">
        <v>0</v>
      </c>
      <c r="BF58" s="238">
        <f t="shared" si="27"/>
        <v>0</v>
      </c>
      <c r="BG58" s="193">
        <v>0</v>
      </c>
      <c r="BH58" s="238">
        <f t="shared" si="28"/>
        <v>0</v>
      </c>
      <c r="BI58" s="193">
        <v>0</v>
      </c>
      <c r="BJ58" s="238">
        <f t="shared" si="29"/>
        <v>0</v>
      </c>
      <c r="BK58" s="193">
        <v>0</v>
      </c>
      <c r="BL58" s="238">
        <f t="shared" si="30"/>
        <v>0</v>
      </c>
      <c r="BM58" s="193">
        <v>0</v>
      </c>
      <c r="BN58" s="238">
        <f t="shared" si="31"/>
        <v>0</v>
      </c>
      <c r="BO58" s="193">
        <v>0</v>
      </c>
      <c r="BP58" s="238">
        <f t="shared" si="32"/>
        <v>0</v>
      </c>
      <c r="BQ58" s="193">
        <v>0</v>
      </c>
      <c r="BR58" s="238">
        <f t="shared" si="33"/>
        <v>0</v>
      </c>
      <c r="BS58" s="225"/>
      <c r="BT58" s="239">
        <f t="shared" si="36"/>
        <v>83990.679999999993</v>
      </c>
      <c r="BU58" s="238">
        <f t="shared" si="40"/>
        <v>1301855.5399999998</v>
      </c>
    </row>
    <row r="59" spans="1:73" ht="14.25">
      <c r="A59" s="241">
        <v>2004</v>
      </c>
      <c r="B59" s="528">
        <f t="shared" si="39"/>
        <v>14.5</v>
      </c>
      <c r="C59" s="193">
        <v>0</v>
      </c>
      <c r="D59" s="238">
        <f t="shared" si="35"/>
        <v>0</v>
      </c>
      <c r="E59" s="193">
        <v>0</v>
      </c>
      <c r="F59" s="238">
        <f t="shared" si="1"/>
        <v>0</v>
      </c>
      <c r="G59" s="193">
        <v>1011.96</v>
      </c>
      <c r="H59" s="238">
        <f t="shared" si="2"/>
        <v>14673.42</v>
      </c>
      <c r="I59" s="193">
        <v>0</v>
      </c>
      <c r="J59" s="238">
        <f t="shared" si="3"/>
        <v>0</v>
      </c>
      <c r="K59" s="193">
        <v>0</v>
      </c>
      <c r="L59" s="238">
        <f t="shared" si="4"/>
        <v>0</v>
      </c>
      <c r="M59" s="193">
        <v>0</v>
      </c>
      <c r="N59" s="238">
        <f t="shared" si="5"/>
        <v>0</v>
      </c>
      <c r="O59" s="193">
        <v>0</v>
      </c>
      <c r="P59" s="238">
        <f t="shared" si="6"/>
        <v>0</v>
      </c>
      <c r="Q59" s="193">
        <v>2817.0700000000002</v>
      </c>
      <c r="R59" s="238">
        <f t="shared" si="7"/>
        <v>40847.514999999999</v>
      </c>
      <c r="S59" s="193">
        <v>0</v>
      </c>
      <c r="T59" s="238">
        <f t="shared" si="8"/>
        <v>0</v>
      </c>
      <c r="U59" s="193">
        <v>0</v>
      </c>
      <c r="V59" s="238">
        <f t="shared" si="9"/>
        <v>0</v>
      </c>
      <c r="W59" s="193">
        <v>0</v>
      </c>
      <c r="X59" s="238">
        <f t="shared" si="10"/>
        <v>0</v>
      </c>
      <c r="Y59" s="193">
        <v>0</v>
      </c>
      <c r="Z59" s="238">
        <f t="shared" si="11"/>
        <v>0</v>
      </c>
      <c r="AA59" s="193">
        <v>0</v>
      </c>
      <c r="AB59" s="238">
        <f t="shared" si="12"/>
        <v>0</v>
      </c>
      <c r="AC59" s="193">
        <v>0</v>
      </c>
      <c r="AD59" s="238">
        <f t="shared" si="13"/>
        <v>0</v>
      </c>
      <c r="AE59" s="193">
        <v>0</v>
      </c>
      <c r="AF59" s="238">
        <f t="shared" si="14"/>
        <v>0</v>
      </c>
      <c r="AG59" s="193">
        <v>0</v>
      </c>
      <c r="AH59" s="238">
        <f t="shared" si="15"/>
        <v>0</v>
      </c>
      <c r="AI59" s="193">
        <v>0</v>
      </c>
      <c r="AJ59" s="238">
        <f t="shared" si="16"/>
        <v>0</v>
      </c>
      <c r="AK59" s="193">
        <v>0</v>
      </c>
      <c r="AL59" s="238">
        <f t="shared" si="17"/>
        <v>0</v>
      </c>
      <c r="AM59" s="193">
        <v>0</v>
      </c>
      <c r="AN59" s="238">
        <f t="shared" si="18"/>
        <v>0</v>
      </c>
      <c r="AO59" s="193">
        <v>0</v>
      </c>
      <c r="AP59" s="238">
        <f t="shared" si="19"/>
        <v>0</v>
      </c>
      <c r="AQ59" s="193">
        <v>0</v>
      </c>
      <c r="AR59" s="238">
        <f t="shared" si="20"/>
        <v>0</v>
      </c>
      <c r="AS59" s="193">
        <v>0</v>
      </c>
      <c r="AT59" s="238">
        <f t="shared" si="21"/>
        <v>0</v>
      </c>
      <c r="AU59" s="193">
        <v>0</v>
      </c>
      <c r="AV59" s="238">
        <f t="shared" si="22"/>
        <v>0</v>
      </c>
      <c r="AW59" s="193">
        <v>0</v>
      </c>
      <c r="AX59" s="238">
        <f t="shared" si="23"/>
        <v>0</v>
      </c>
      <c r="AY59" s="193">
        <v>106433.48</v>
      </c>
      <c r="AZ59" s="238">
        <f t="shared" si="24"/>
        <v>1543285.46</v>
      </c>
      <c r="BA59" s="193">
        <v>0</v>
      </c>
      <c r="BB59" s="238">
        <f t="shared" si="25"/>
        <v>0</v>
      </c>
      <c r="BC59" s="193">
        <v>0</v>
      </c>
      <c r="BD59" s="238">
        <f t="shared" si="26"/>
        <v>0</v>
      </c>
      <c r="BE59" s="193">
        <v>0</v>
      </c>
      <c r="BF59" s="238">
        <f t="shared" si="27"/>
        <v>0</v>
      </c>
      <c r="BG59" s="193">
        <v>0</v>
      </c>
      <c r="BH59" s="238">
        <f t="shared" si="28"/>
        <v>0</v>
      </c>
      <c r="BI59" s="193">
        <v>0</v>
      </c>
      <c r="BJ59" s="238">
        <f t="shared" si="29"/>
        <v>0</v>
      </c>
      <c r="BK59" s="193">
        <v>0</v>
      </c>
      <c r="BL59" s="238">
        <f t="shared" si="30"/>
        <v>0</v>
      </c>
      <c r="BM59" s="193">
        <v>0</v>
      </c>
      <c r="BN59" s="238">
        <f t="shared" si="31"/>
        <v>0</v>
      </c>
      <c r="BO59" s="193">
        <v>0</v>
      </c>
      <c r="BP59" s="238">
        <f t="shared" si="32"/>
        <v>0</v>
      </c>
      <c r="BQ59" s="193">
        <v>0</v>
      </c>
      <c r="BR59" s="238">
        <f t="shared" si="33"/>
        <v>0</v>
      </c>
      <c r="BS59" s="225"/>
      <c r="BT59" s="239">
        <f t="shared" si="36"/>
        <v>110262.51000000001</v>
      </c>
      <c r="BU59" s="238">
        <f t="shared" si="40"/>
        <v>1598806.395</v>
      </c>
    </row>
    <row r="60" spans="1:73" ht="14.25">
      <c r="A60" s="241">
        <v>2005</v>
      </c>
      <c r="B60" s="528">
        <f t="shared" si="39"/>
        <v>13.5</v>
      </c>
      <c r="C60" s="193">
        <v>0</v>
      </c>
      <c r="D60" s="238">
        <f t="shared" si="35"/>
        <v>0</v>
      </c>
      <c r="E60" s="193">
        <v>0</v>
      </c>
      <c r="F60" s="238">
        <f t="shared" si="1"/>
        <v>0</v>
      </c>
      <c r="G60" s="193">
        <v>0</v>
      </c>
      <c r="H60" s="238">
        <f t="shared" si="2"/>
        <v>0</v>
      </c>
      <c r="I60" s="193">
        <v>0</v>
      </c>
      <c r="J60" s="238">
        <f t="shared" si="3"/>
        <v>0</v>
      </c>
      <c r="K60" s="193">
        <v>0</v>
      </c>
      <c r="L60" s="238">
        <f t="shared" si="4"/>
        <v>0</v>
      </c>
      <c r="M60" s="193">
        <v>0</v>
      </c>
      <c r="N60" s="238">
        <f t="shared" si="5"/>
        <v>0</v>
      </c>
      <c r="O60" s="193">
        <v>0</v>
      </c>
      <c r="P60" s="238">
        <f t="shared" si="6"/>
        <v>0</v>
      </c>
      <c r="Q60" s="193">
        <v>81017.639999999999</v>
      </c>
      <c r="R60" s="238">
        <f t="shared" si="7"/>
        <v>1093738.1399999999</v>
      </c>
      <c r="S60" s="193">
        <v>0</v>
      </c>
      <c r="T60" s="238">
        <f t="shared" si="8"/>
        <v>0</v>
      </c>
      <c r="U60" s="193">
        <v>0</v>
      </c>
      <c r="V60" s="238">
        <f t="shared" si="9"/>
        <v>0</v>
      </c>
      <c r="W60" s="193">
        <v>0</v>
      </c>
      <c r="X60" s="238">
        <f t="shared" si="10"/>
        <v>0</v>
      </c>
      <c r="Y60" s="193">
        <v>0</v>
      </c>
      <c r="Z60" s="238">
        <f t="shared" si="11"/>
        <v>0</v>
      </c>
      <c r="AA60" s="193">
        <v>3251.25</v>
      </c>
      <c r="AB60" s="238">
        <f t="shared" si="12"/>
        <v>43891.875</v>
      </c>
      <c r="AC60" s="193">
        <v>0</v>
      </c>
      <c r="AD60" s="238">
        <f t="shared" si="13"/>
        <v>0</v>
      </c>
      <c r="AE60" s="193">
        <v>25172.07</v>
      </c>
      <c r="AF60" s="238">
        <f t="shared" si="14"/>
        <v>339822.94500000001</v>
      </c>
      <c r="AG60" s="193">
        <v>0</v>
      </c>
      <c r="AH60" s="238">
        <f t="shared" si="15"/>
        <v>0</v>
      </c>
      <c r="AI60" s="193">
        <v>0</v>
      </c>
      <c r="AJ60" s="238">
        <f t="shared" si="16"/>
        <v>0</v>
      </c>
      <c r="AK60" s="193">
        <v>0</v>
      </c>
      <c r="AL60" s="238">
        <f t="shared" si="17"/>
        <v>0</v>
      </c>
      <c r="AM60" s="193">
        <v>0</v>
      </c>
      <c r="AN60" s="238">
        <f t="shared" si="18"/>
        <v>0</v>
      </c>
      <c r="AO60" s="193">
        <v>0</v>
      </c>
      <c r="AP60" s="238">
        <f t="shared" si="19"/>
        <v>0</v>
      </c>
      <c r="AQ60" s="193">
        <v>0</v>
      </c>
      <c r="AR60" s="238">
        <f t="shared" si="20"/>
        <v>0</v>
      </c>
      <c r="AS60" s="193">
        <v>0</v>
      </c>
      <c r="AT60" s="238">
        <f t="shared" si="21"/>
        <v>0</v>
      </c>
      <c r="AU60" s="193">
        <v>0</v>
      </c>
      <c r="AV60" s="238">
        <f t="shared" si="22"/>
        <v>0</v>
      </c>
      <c r="AW60" s="193">
        <v>0</v>
      </c>
      <c r="AX60" s="238">
        <f t="shared" si="23"/>
        <v>0</v>
      </c>
      <c r="AY60" s="193">
        <v>89378.610000000001</v>
      </c>
      <c r="AZ60" s="238">
        <f t="shared" si="24"/>
        <v>1206611.2350000001</v>
      </c>
      <c r="BA60" s="193">
        <v>0</v>
      </c>
      <c r="BB60" s="238">
        <f t="shared" si="25"/>
        <v>0</v>
      </c>
      <c r="BC60" s="193">
        <v>0</v>
      </c>
      <c r="BD60" s="238">
        <f t="shared" si="26"/>
        <v>0</v>
      </c>
      <c r="BE60" s="193">
        <v>0</v>
      </c>
      <c r="BF60" s="238">
        <f t="shared" si="27"/>
        <v>0</v>
      </c>
      <c r="BG60" s="193">
        <v>0</v>
      </c>
      <c r="BH60" s="238">
        <f t="shared" si="28"/>
        <v>0</v>
      </c>
      <c r="BI60" s="193">
        <v>0</v>
      </c>
      <c r="BJ60" s="238">
        <f t="shared" si="29"/>
        <v>0</v>
      </c>
      <c r="BK60" s="193">
        <v>0</v>
      </c>
      <c r="BL60" s="238">
        <f t="shared" si="30"/>
        <v>0</v>
      </c>
      <c r="BM60" s="193">
        <v>0</v>
      </c>
      <c r="BN60" s="238">
        <f t="shared" si="31"/>
        <v>0</v>
      </c>
      <c r="BO60" s="193">
        <v>0</v>
      </c>
      <c r="BP60" s="238">
        <f t="shared" si="32"/>
        <v>0</v>
      </c>
      <c r="BQ60" s="193">
        <v>0</v>
      </c>
      <c r="BR60" s="238">
        <f t="shared" si="33"/>
        <v>0</v>
      </c>
      <c r="BS60" s="225"/>
      <c r="BT60" s="239">
        <f t="shared" si="36"/>
        <v>198819.57000000001</v>
      </c>
      <c r="BU60" s="238">
        <f t="shared" si="40"/>
        <v>2684064.1950000003</v>
      </c>
    </row>
    <row r="61" spans="1:73" ht="14.25">
      <c r="A61" s="241">
        <v>2006</v>
      </c>
      <c r="B61" s="528">
        <f t="shared" si="39"/>
        <v>12.5</v>
      </c>
      <c r="C61" s="193">
        <v>0</v>
      </c>
      <c r="D61" s="238">
        <f t="shared" si="35"/>
        <v>0</v>
      </c>
      <c r="E61" s="193">
        <v>0</v>
      </c>
      <c r="F61" s="238">
        <f t="shared" si="1"/>
        <v>0</v>
      </c>
      <c r="G61" s="193">
        <v>22940.02</v>
      </c>
      <c r="H61" s="238">
        <f t="shared" si="2"/>
        <v>286750.25</v>
      </c>
      <c r="I61" s="193">
        <v>0</v>
      </c>
      <c r="J61" s="238">
        <f t="shared" si="3"/>
        <v>0</v>
      </c>
      <c r="K61" s="193">
        <v>0</v>
      </c>
      <c r="L61" s="238">
        <f t="shared" si="4"/>
        <v>0</v>
      </c>
      <c r="M61" s="193">
        <v>0</v>
      </c>
      <c r="N61" s="238">
        <f t="shared" si="5"/>
        <v>0</v>
      </c>
      <c r="O61" s="193">
        <v>0</v>
      </c>
      <c r="P61" s="238">
        <f t="shared" si="6"/>
        <v>0</v>
      </c>
      <c r="Q61" s="193">
        <v>3000.71</v>
      </c>
      <c r="R61" s="238">
        <f t="shared" si="7"/>
        <v>37508.875</v>
      </c>
      <c r="S61" s="193">
        <v>0</v>
      </c>
      <c r="T61" s="238">
        <f t="shared" si="8"/>
        <v>0</v>
      </c>
      <c r="U61" s="193">
        <v>0</v>
      </c>
      <c r="V61" s="238">
        <f t="shared" si="9"/>
        <v>0</v>
      </c>
      <c r="W61" s="193">
        <v>0</v>
      </c>
      <c r="X61" s="238">
        <f t="shared" si="10"/>
        <v>0</v>
      </c>
      <c r="Y61" s="193">
        <v>0</v>
      </c>
      <c r="Z61" s="238">
        <f t="shared" si="11"/>
        <v>0</v>
      </c>
      <c r="AA61" s="193">
        <v>0</v>
      </c>
      <c r="AB61" s="238">
        <f t="shared" si="12"/>
        <v>0</v>
      </c>
      <c r="AC61" s="193">
        <v>0</v>
      </c>
      <c r="AD61" s="238">
        <f t="shared" si="13"/>
        <v>0</v>
      </c>
      <c r="AE61" s="193">
        <v>0</v>
      </c>
      <c r="AF61" s="238">
        <f t="shared" si="14"/>
        <v>0</v>
      </c>
      <c r="AG61" s="193">
        <v>0</v>
      </c>
      <c r="AH61" s="238">
        <f t="shared" si="15"/>
        <v>0</v>
      </c>
      <c r="AI61" s="193">
        <v>0</v>
      </c>
      <c r="AJ61" s="238">
        <f t="shared" si="16"/>
        <v>0</v>
      </c>
      <c r="AK61" s="193">
        <v>0</v>
      </c>
      <c r="AL61" s="238">
        <f t="shared" si="17"/>
        <v>0</v>
      </c>
      <c r="AM61" s="193">
        <v>0</v>
      </c>
      <c r="AN61" s="238">
        <f t="shared" si="18"/>
        <v>0</v>
      </c>
      <c r="AO61" s="193">
        <v>0</v>
      </c>
      <c r="AP61" s="238">
        <f t="shared" si="19"/>
        <v>0</v>
      </c>
      <c r="AQ61" s="193">
        <v>0</v>
      </c>
      <c r="AR61" s="238">
        <f t="shared" si="20"/>
        <v>0</v>
      </c>
      <c r="AS61" s="193">
        <v>0</v>
      </c>
      <c r="AT61" s="238">
        <f t="shared" si="21"/>
        <v>0</v>
      </c>
      <c r="AU61" s="193">
        <v>0</v>
      </c>
      <c r="AV61" s="238">
        <f t="shared" si="22"/>
        <v>0</v>
      </c>
      <c r="AW61" s="193">
        <v>0</v>
      </c>
      <c r="AX61" s="238">
        <f t="shared" si="23"/>
        <v>0</v>
      </c>
      <c r="AY61" s="193">
        <v>329628.57000000001</v>
      </c>
      <c r="AZ61" s="238">
        <f t="shared" si="24"/>
        <v>4120357.125</v>
      </c>
      <c r="BA61" s="193">
        <v>0</v>
      </c>
      <c r="BB61" s="238">
        <f t="shared" si="25"/>
        <v>0</v>
      </c>
      <c r="BC61" s="193">
        <v>0</v>
      </c>
      <c r="BD61" s="238">
        <f t="shared" si="26"/>
        <v>0</v>
      </c>
      <c r="BE61" s="193">
        <v>0</v>
      </c>
      <c r="BF61" s="238">
        <f t="shared" si="27"/>
        <v>0</v>
      </c>
      <c r="BG61" s="193">
        <v>0</v>
      </c>
      <c r="BH61" s="238">
        <f t="shared" si="28"/>
        <v>0</v>
      </c>
      <c r="BI61" s="193">
        <v>0</v>
      </c>
      <c r="BJ61" s="238">
        <f t="shared" si="29"/>
        <v>0</v>
      </c>
      <c r="BK61" s="193">
        <v>0</v>
      </c>
      <c r="BL61" s="238">
        <f t="shared" si="30"/>
        <v>0</v>
      </c>
      <c r="BM61" s="193">
        <v>0</v>
      </c>
      <c r="BN61" s="238">
        <f t="shared" si="31"/>
        <v>0</v>
      </c>
      <c r="BO61" s="193">
        <v>0</v>
      </c>
      <c r="BP61" s="238">
        <f t="shared" si="32"/>
        <v>0</v>
      </c>
      <c r="BQ61" s="193">
        <v>0</v>
      </c>
      <c r="BR61" s="238">
        <f t="shared" si="33"/>
        <v>0</v>
      </c>
      <c r="BS61" s="225"/>
      <c r="BT61" s="239">
        <f t="shared" si="36"/>
        <v>355569.30000000005</v>
      </c>
      <c r="BU61" s="238">
        <f t="shared" si="40"/>
        <v>4444616.2500000009</v>
      </c>
    </row>
    <row r="62" spans="1:73" ht="14.25">
      <c r="A62" s="241">
        <v>2007</v>
      </c>
      <c r="B62" s="528">
        <f t="shared" si="39"/>
        <v>11.5</v>
      </c>
      <c r="C62" s="193">
        <v>0</v>
      </c>
      <c r="D62" s="238">
        <f t="shared" si="35"/>
        <v>0</v>
      </c>
      <c r="E62" s="193">
        <v>0</v>
      </c>
      <c r="F62" s="238">
        <f t="shared" si="1"/>
        <v>0</v>
      </c>
      <c r="G62" s="193">
        <v>0</v>
      </c>
      <c r="H62" s="238">
        <f t="shared" si="2"/>
        <v>0</v>
      </c>
      <c r="I62" s="193">
        <v>0</v>
      </c>
      <c r="J62" s="238">
        <f t="shared" si="3"/>
        <v>0</v>
      </c>
      <c r="K62" s="193">
        <v>0</v>
      </c>
      <c r="L62" s="238">
        <f t="shared" si="4"/>
        <v>0</v>
      </c>
      <c r="M62" s="193">
        <v>0</v>
      </c>
      <c r="N62" s="238">
        <f t="shared" si="5"/>
        <v>0</v>
      </c>
      <c r="O62" s="193">
        <v>0</v>
      </c>
      <c r="P62" s="238">
        <f t="shared" si="6"/>
        <v>0</v>
      </c>
      <c r="Q62" s="193">
        <v>9719.6800000000003</v>
      </c>
      <c r="R62" s="238">
        <f t="shared" si="7"/>
        <v>111776.32000000001</v>
      </c>
      <c r="S62" s="193">
        <v>0</v>
      </c>
      <c r="T62" s="238">
        <f t="shared" si="8"/>
        <v>0</v>
      </c>
      <c r="U62" s="193">
        <v>0</v>
      </c>
      <c r="V62" s="238">
        <f t="shared" si="9"/>
        <v>0</v>
      </c>
      <c r="W62" s="193">
        <v>0</v>
      </c>
      <c r="X62" s="238">
        <f t="shared" si="10"/>
        <v>0</v>
      </c>
      <c r="Y62" s="193">
        <v>0</v>
      </c>
      <c r="Z62" s="238">
        <f t="shared" si="11"/>
        <v>0</v>
      </c>
      <c r="AA62" s="193">
        <v>0</v>
      </c>
      <c r="AB62" s="238">
        <f t="shared" si="12"/>
        <v>0</v>
      </c>
      <c r="AC62" s="193">
        <v>0</v>
      </c>
      <c r="AD62" s="238">
        <f t="shared" si="13"/>
        <v>0</v>
      </c>
      <c r="AE62" s="193">
        <v>0</v>
      </c>
      <c r="AF62" s="238">
        <f t="shared" si="14"/>
        <v>0</v>
      </c>
      <c r="AG62" s="193">
        <v>0</v>
      </c>
      <c r="AH62" s="238">
        <f t="shared" si="15"/>
        <v>0</v>
      </c>
      <c r="AI62" s="193">
        <v>0</v>
      </c>
      <c r="AJ62" s="238">
        <f t="shared" si="16"/>
        <v>0</v>
      </c>
      <c r="AK62" s="193">
        <v>0</v>
      </c>
      <c r="AL62" s="238">
        <f t="shared" si="17"/>
        <v>0</v>
      </c>
      <c r="AM62" s="193">
        <v>0</v>
      </c>
      <c r="AN62" s="238">
        <f t="shared" si="18"/>
        <v>0</v>
      </c>
      <c r="AO62" s="193">
        <v>0</v>
      </c>
      <c r="AP62" s="238">
        <f t="shared" si="19"/>
        <v>0</v>
      </c>
      <c r="AQ62" s="193">
        <v>0</v>
      </c>
      <c r="AR62" s="238">
        <f t="shared" si="20"/>
        <v>0</v>
      </c>
      <c r="AS62" s="193">
        <v>0</v>
      </c>
      <c r="AT62" s="238">
        <f t="shared" si="21"/>
        <v>0</v>
      </c>
      <c r="AU62" s="193">
        <v>0</v>
      </c>
      <c r="AV62" s="238">
        <f t="shared" si="22"/>
        <v>0</v>
      </c>
      <c r="AW62" s="193">
        <v>22296.57</v>
      </c>
      <c r="AX62" s="238">
        <f t="shared" si="23"/>
        <v>256410.55499999999</v>
      </c>
      <c r="AY62" s="193">
        <v>179920.47999999998</v>
      </c>
      <c r="AZ62" s="238">
        <f t="shared" si="24"/>
        <v>2069085.5199999998</v>
      </c>
      <c r="BA62" s="193">
        <v>0</v>
      </c>
      <c r="BB62" s="238">
        <f t="shared" si="25"/>
        <v>0</v>
      </c>
      <c r="BC62" s="193">
        <v>0</v>
      </c>
      <c r="BD62" s="238">
        <f t="shared" si="26"/>
        <v>0</v>
      </c>
      <c r="BE62" s="193">
        <v>0</v>
      </c>
      <c r="BF62" s="238">
        <f t="shared" si="27"/>
        <v>0</v>
      </c>
      <c r="BG62" s="193">
        <v>0</v>
      </c>
      <c r="BH62" s="238">
        <f t="shared" si="28"/>
        <v>0</v>
      </c>
      <c r="BI62" s="193">
        <v>0</v>
      </c>
      <c r="BJ62" s="238">
        <f t="shared" si="29"/>
        <v>0</v>
      </c>
      <c r="BK62" s="193">
        <v>0</v>
      </c>
      <c r="BL62" s="238">
        <f t="shared" si="30"/>
        <v>0</v>
      </c>
      <c r="BM62" s="193">
        <v>0</v>
      </c>
      <c r="BN62" s="238">
        <f t="shared" si="31"/>
        <v>0</v>
      </c>
      <c r="BO62" s="193">
        <v>0</v>
      </c>
      <c r="BP62" s="238">
        <f t="shared" si="32"/>
        <v>0</v>
      </c>
      <c r="BQ62" s="193">
        <v>0</v>
      </c>
      <c r="BR62" s="238">
        <f t="shared" si="33"/>
        <v>0</v>
      </c>
      <c r="BS62" s="225"/>
      <c r="BT62" s="239">
        <f t="shared" si="36"/>
        <v>211936.72999999998</v>
      </c>
      <c r="BU62" s="238">
        <f t="shared" si="40"/>
        <v>2437272.3949999996</v>
      </c>
    </row>
    <row r="63" spans="1:73" ht="14.25">
      <c r="A63" s="241">
        <v>2008</v>
      </c>
      <c r="B63" s="528">
        <f t="shared" si="39"/>
        <v>10.5</v>
      </c>
      <c r="C63" s="193">
        <v>0</v>
      </c>
      <c r="D63" s="238">
        <f t="shared" si="35"/>
        <v>0</v>
      </c>
      <c r="E63" s="193">
        <v>0</v>
      </c>
      <c r="F63" s="238">
        <f t="shared" si="1"/>
        <v>0</v>
      </c>
      <c r="G63" s="193">
        <v>0</v>
      </c>
      <c r="H63" s="238">
        <f t="shared" si="2"/>
        <v>0</v>
      </c>
      <c r="I63" s="193">
        <v>0</v>
      </c>
      <c r="J63" s="238">
        <f t="shared" si="3"/>
        <v>0</v>
      </c>
      <c r="K63" s="193">
        <v>0</v>
      </c>
      <c r="L63" s="238">
        <f t="shared" si="4"/>
        <v>0</v>
      </c>
      <c r="M63" s="193">
        <v>0</v>
      </c>
      <c r="N63" s="238">
        <f t="shared" si="5"/>
        <v>0</v>
      </c>
      <c r="O63" s="193">
        <v>0</v>
      </c>
      <c r="P63" s="238">
        <f t="shared" si="6"/>
        <v>0</v>
      </c>
      <c r="Q63" s="193">
        <v>4828.1700000000001</v>
      </c>
      <c r="R63" s="238">
        <f t="shared" si="7"/>
        <v>50695.785000000003</v>
      </c>
      <c r="S63" s="193">
        <v>0</v>
      </c>
      <c r="T63" s="238">
        <f t="shared" si="8"/>
        <v>0</v>
      </c>
      <c r="U63" s="193">
        <v>0</v>
      </c>
      <c r="V63" s="238">
        <f t="shared" si="9"/>
        <v>0</v>
      </c>
      <c r="W63" s="193">
        <v>0</v>
      </c>
      <c r="X63" s="238">
        <f t="shared" si="10"/>
        <v>0</v>
      </c>
      <c r="Y63" s="193">
        <v>0</v>
      </c>
      <c r="Z63" s="238">
        <f t="shared" si="11"/>
        <v>0</v>
      </c>
      <c r="AA63" s="193">
        <v>0</v>
      </c>
      <c r="AB63" s="238">
        <f t="shared" si="12"/>
        <v>0</v>
      </c>
      <c r="AC63" s="193">
        <v>0</v>
      </c>
      <c r="AD63" s="238">
        <f t="shared" si="13"/>
        <v>0</v>
      </c>
      <c r="AE63" s="193">
        <v>0</v>
      </c>
      <c r="AF63" s="238">
        <f t="shared" si="14"/>
        <v>0</v>
      </c>
      <c r="AG63" s="193">
        <v>0</v>
      </c>
      <c r="AH63" s="238">
        <f t="shared" si="15"/>
        <v>0</v>
      </c>
      <c r="AI63" s="193">
        <v>0</v>
      </c>
      <c r="AJ63" s="238">
        <f t="shared" si="16"/>
        <v>0</v>
      </c>
      <c r="AK63" s="193">
        <v>0</v>
      </c>
      <c r="AL63" s="238">
        <f t="shared" si="17"/>
        <v>0</v>
      </c>
      <c r="AM63" s="193">
        <v>0</v>
      </c>
      <c r="AN63" s="238">
        <f t="shared" si="18"/>
        <v>0</v>
      </c>
      <c r="AO63" s="193">
        <v>0</v>
      </c>
      <c r="AP63" s="238">
        <f t="shared" si="19"/>
        <v>0</v>
      </c>
      <c r="AQ63" s="193">
        <v>0</v>
      </c>
      <c r="AR63" s="238">
        <f t="shared" si="20"/>
        <v>0</v>
      </c>
      <c r="AS63" s="193">
        <v>0</v>
      </c>
      <c r="AT63" s="238">
        <f t="shared" si="21"/>
        <v>0</v>
      </c>
      <c r="AU63" s="193">
        <v>0</v>
      </c>
      <c r="AV63" s="238">
        <f t="shared" si="22"/>
        <v>0</v>
      </c>
      <c r="AW63" s="193">
        <v>0</v>
      </c>
      <c r="AX63" s="238">
        <f t="shared" si="23"/>
        <v>0</v>
      </c>
      <c r="AY63" s="193">
        <v>57275.989999999998</v>
      </c>
      <c r="AZ63" s="238">
        <f t="shared" si="24"/>
        <v>601397.89500000002</v>
      </c>
      <c r="BA63" s="193">
        <v>0</v>
      </c>
      <c r="BB63" s="238">
        <f t="shared" si="25"/>
        <v>0</v>
      </c>
      <c r="BC63" s="193">
        <v>0</v>
      </c>
      <c r="BD63" s="238">
        <f t="shared" si="26"/>
        <v>0</v>
      </c>
      <c r="BE63" s="193">
        <v>0</v>
      </c>
      <c r="BF63" s="238">
        <f t="shared" si="27"/>
        <v>0</v>
      </c>
      <c r="BG63" s="193">
        <v>0</v>
      </c>
      <c r="BH63" s="238">
        <f t="shared" si="28"/>
        <v>0</v>
      </c>
      <c r="BI63" s="193">
        <v>0</v>
      </c>
      <c r="BJ63" s="238">
        <f t="shared" si="29"/>
        <v>0</v>
      </c>
      <c r="BK63" s="193">
        <v>0</v>
      </c>
      <c r="BL63" s="238">
        <f t="shared" si="30"/>
        <v>0</v>
      </c>
      <c r="BM63" s="193">
        <v>0</v>
      </c>
      <c r="BN63" s="238">
        <f t="shared" si="31"/>
        <v>0</v>
      </c>
      <c r="BO63" s="193">
        <v>0</v>
      </c>
      <c r="BP63" s="238">
        <f t="shared" si="32"/>
        <v>0</v>
      </c>
      <c r="BQ63" s="193">
        <v>0</v>
      </c>
      <c r="BR63" s="238">
        <f t="shared" si="33"/>
        <v>0</v>
      </c>
      <c r="BS63" s="225"/>
      <c r="BT63" s="239">
        <f t="shared" si="36"/>
        <v>62104.159999999996</v>
      </c>
      <c r="BU63" s="238">
        <f t="shared" si="40"/>
        <v>652093.67999999993</v>
      </c>
    </row>
    <row r="64" spans="1:73" ht="14.25">
      <c r="A64" s="241">
        <v>2009</v>
      </c>
      <c r="B64" s="528">
        <f t="shared" si="39"/>
        <v>9.5</v>
      </c>
      <c r="C64" s="193">
        <v>0</v>
      </c>
      <c r="D64" s="238">
        <f t="shared" si="35"/>
        <v>0</v>
      </c>
      <c r="E64" s="193">
        <v>0</v>
      </c>
      <c r="F64" s="238">
        <f t="shared" si="1"/>
        <v>0</v>
      </c>
      <c r="G64" s="193">
        <v>0</v>
      </c>
      <c r="H64" s="238">
        <f t="shared" si="2"/>
        <v>0</v>
      </c>
      <c r="I64" s="193">
        <v>0</v>
      </c>
      <c r="J64" s="238">
        <f t="shared" si="3"/>
        <v>0</v>
      </c>
      <c r="K64" s="193">
        <v>0</v>
      </c>
      <c r="L64" s="238">
        <f t="shared" si="4"/>
        <v>0</v>
      </c>
      <c r="M64" s="193">
        <v>0</v>
      </c>
      <c r="N64" s="238">
        <f t="shared" si="5"/>
        <v>0</v>
      </c>
      <c r="O64" s="193">
        <v>0</v>
      </c>
      <c r="P64" s="238">
        <f t="shared" si="6"/>
        <v>0</v>
      </c>
      <c r="Q64" s="193">
        <v>2238.2800000000002</v>
      </c>
      <c r="R64" s="238">
        <f t="shared" si="7"/>
        <v>21263.660000000003</v>
      </c>
      <c r="S64" s="193">
        <v>0</v>
      </c>
      <c r="T64" s="238">
        <f t="shared" si="8"/>
        <v>0</v>
      </c>
      <c r="U64" s="193">
        <v>0</v>
      </c>
      <c r="V64" s="238">
        <f t="shared" si="9"/>
        <v>0</v>
      </c>
      <c r="W64" s="193">
        <v>0</v>
      </c>
      <c r="X64" s="238">
        <f t="shared" si="10"/>
        <v>0</v>
      </c>
      <c r="Y64" s="193">
        <v>0</v>
      </c>
      <c r="Z64" s="238">
        <f t="shared" si="11"/>
        <v>0</v>
      </c>
      <c r="AA64" s="193">
        <v>0</v>
      </c>
      <c r="AB64" s="238">
        <f t="shared" si="12"/>
        <v>0</v>
      </c>
      <c r="AC64" s="193">
        <v>0</v>
      </c>
      <c r="AD64" s="238">
        <f t="shared" si="13"/>
        <v>0</v>
      </c>
      <c r="AE64" s="193">
        <v>0</v>
      </c>
      <c r="AF64" s="238">
        <f t="shared" si="14"/>
        <v>0</v>
      </c>
      <c r="AG64" s="193">
        <v>0</v>
      </c>
      <c r="AH64" s="238">
        <f t="shared" si="15"/>
        <v>0</v>
      </c>
      <c r="AI64" s="193">
        <v>0</v>
      </c>
      <c r="AJ64" s="238">
        <f t="shared" si="16"/>
        <v>0</v>
      </c>
      <c r="AK64" s="193">
        <v>0</v>
      </c>
      <c r="AL64" s="238">
        <f t="shared" si="17"/>
        <v>0</v>
      </c>
      <c r="AM64" s="193">
        <v>0</v>
      </c>
      <c r="AN64" s="238">
        <f t="shared" si="18"/>
        <v>0</v>
      </c>
      <c r="AO64" s="193">
        <v>0</v>
      </c>
      <c r="AP64" s="238">
        <f t="shared" si="19"/>
        <v>0</v>
      </c>
      <c r="AQ64" s="193">
        <v>0</v>
      </c>
      <c r="AR64" s="238">
        <f t="shared" si="20"/>
        <v>0</v>
      </c>
      <c r="AS64" s="193">
        <v>0</v>
      </c>
      <c r="AT64" s="238">
        <f t="shared" si="21"/>
        <v>0</v>
      </c>
      <c r="AU64" s="193">
        <v>0</v>
      </c>
      <c r="AV64" s="238">
        <f t="shared" si="22"/>
        <v>0</v>
      </c>
      <c r="AW64" s="193">
        <v>0</v>
      </c>
      <c r="AX64" s="238">
        <f t="shared" si="23"/>
        <v>0</v>
      </c>
      <c r="AY64" s="193">
        <v>24533.099999999999</v>
      </c>
      <c r="AZ64" s="238">
        <f t="shared" si="24"/>
        <v>233064.44999999998</v>
      </c>
      <c r="BA64" s="193">
        <v>0</v>
      </c>
      <c r="BB64" s="238">
        <f t="shared" si="25"/>
        <v>0</v>
      </c>
      <c r="BC64" s="193">
        <v>0</v>
      </c>
      <c r="BD64" s="238">
        <f t="shared" si="26"/>
        <v>0</v>
      </c>
      <c r="BE64" s="193">
        <v>0</v>
      </c>
      <c r="BF64" s="238">
        <f t="shared" si="27"/>
        <v>0</v>
      </c>
      <c r="BG64" s="193">
        <v>0</v>
      </c>
      <c r="BH64" s="238">
        <f t="shared" si="28"/>
        <v>0</v>
      </c>
      <c r="BI64" s="193">
        <v>0</v>
      </c>
      <c r="BJ64" s="238">
        <f t="shared" si="29"/>
        <v>0</v>
      </c>
      <c r="BK64" s="193">
        <v>0</v>
      </c>
      <c r="BL64" s="238">
        <f t="shared" si="30"/>
        <v>0</v>
      </c>
      <c r="BM64" s="193">
        <v>0</v>
      </c>
      <c r="BN64" s="238">
        <f t="shared" si="31"/>
        <v>0</v>
      </c>
      <c r="BO64" s="193">
        <v>0</v>
      </c>
      <c r="BP64" s="238">
        <f t="shared" si="32"/>
        <v>0</v>
      </c>
      <c r="BQ64" s="193">
        <v>0</v>
      </c>
      <c r="BR64" s="238">
        <f t="shared" si="33"/>
        <v>0</v>
      </c>
      <c r="BS64" s="225"/>
      <c r="BT64" s="239">
        <f t="shared" si="36"/>
        <v>26771.379999999997</v>
      </c>
      <c r="BU64" s="238">
        <f t="shared" si="40"/>
        <v>254328.10999999999</v>
      </c>
    </row>
    <row r="65" spans="1:73" ht="14.25">
      <c r="A65" s="241">
        <v>2010</v>
      </c>
      <c r="B65" s="528">
        <f t="shared" si="39"/>
        <v>8.5</v>
      </c>
      <c r="C65" s="193">
        <v>0</v>
      </c>
      <c r="D65" s="238">
        <f t="shared" si="35"/>
        <v>0</v>
      </c>
      <c r="E65" s="193">
        <v>0</v>
      </c>
      <c r="F65" s="238">
        <f t="shared" si="1"/>
        <v>0</v>
      </c>
      <c r="G65" s="193">
        <v>0</v>
      </c>
      <c r="H65" s="238">
        <f t="shared" si="2"/>
        <v>0</v>
      </c>
      <c r="I65" s="193">
        <v>0</v>
      </c>
      <c r="J65" s="238">
        <f t="shared" si="3"/>
        <v>0</v>
      </c>
      <c r="K65" s="193">
        <v>0</v>
      </c>
      <c r="L65" s="238">
        <f t="shared" si="4"/>
        <v>0</v>
      </c>
      <c r="M65" s="193">
        <v>0</v>
      </c>
      <c r="N65" s="238">
        <f t="shared" si="5"/>
        <v>0</v>
      </c>
      <c r="O65" s="193">
        <v>0</v>
      </c>
      <c r="P65" s="238">
        <f t="shared" si="6"/>
        <v>0</v>
      </c>
      <c r="Q65" s="193">
        <v>10046.68</v>
      </c>
      <c r="R65" s="238">
        <f t="shared" si="7"/>
        <v>85396.779999999999</v>
      </c>
      <c r="S65" s="193">
        <v>0</v>
      </c>
      <c r="T65" s="238">
        <f t="shared" si="8"/>
        <v>0</v>
      </c>
      <c r="U65" s="193">
        <v>0</v>
      </c>
      <c r="V65" s="238">
        <f t="shared" si="9"/>
        <v>0</v>
      </c>
      <c r="W65" s="193">
        <v>0</v>
      </c>
      <c r="X65" s="238">
        <f t="shared" si="10"/>
        <v>0</v>
      </c>
      <c r="Y65" s="193">
        <v>0</v>
      </c>
      <c r="Z65" s="238">
        <f t="shared" si="11"/>
        <v>0</v>
      </c>
      <c r="AA65" s="193">
        <v>0</v>
      </c>
      <c r="AB65" s="238">
        <f t="shared" si="12"/>
        <v>0</v>
      </c>
      <c r="AC65" s="193">
        <v>0</v>
      </c>
      <c r="AD65" s="238">
        <f t="shared" si="13"/>
        <v>0</v>
      </c>
      <c r="AE65" s="193">
        <v>0</v>
      </c>
      <c r="AF65" s="238">
        <f t="shared" si="14"/>
        <v>0</v>
      </c>
      <c r="AG65" s="193">
        <v>0</v>
      </c>
      <c r="AH65" s="238">
        <f t="shared" si="15"/>
        <v>0</v>
      </c>
      <c r="AI65" s="193">
        <v>0</v>
      </c>
      <c r="AJ65" s="238">
        <f t="shared" si="16"/>
        <v>0</v>
      </c>
      <c r="AK65" s="193">
        <v>0</v>
      </c>
      <c r="AL65" s="238">
        <f t="shared" si="17"/>
        <v>0</v>
      </c>
      <c r="AM65" s="193">
        <v>0</v>
      </c>
      <c r="AN65" s="238">
        <f t="shared" si="18"/>
        <v>0</v>
      </c>
      <c r="AO65" s="193">
        <v>0</v>
      </c>
      <c r="AP65" s="238">
        <f t="shared" si="19"/>
        <v>0</v>
      </c>
      <c r="AQ65" s="193">
        <v>0</v>
      </c>
      <c r="AR65" s="238">
        <f t="shared" si="20"/>
        <v>0</v>
      </c>
      <c r="AS65" s="193">
        <v>0</v>
      </c>
      <c r="AT65" s="238">
        <f t="shared" si="21"/>
        <v>0</v>
      </c>
      <c r="AU65" s="193">
        <v>0</v>
      </c>
      <c r="AV65" s="238">
        <f t="shared" si="22"/>
        <v>0</v>
      </c>
      <c r="AW65" s="193">
        <v>0</v>
      </c>
      <c r="AX65" s="238">
        <f t="shared" si="23"/>
        <v>0</v>
      </c>
      <c r="AY65" s="193">
        <v>98996.040000000008</v>
      </c>
      <c r="AZ65" s="238">
        <f t="shared" si="24"/>
        <v>841466.34000000008</v>
      </c>
      <c r="BA65" s="193">
        <v>0</v>
      </c>
      <c r="BB65" s="238">
        <f t="shared" si="25"/>
        <v>0</v>
      </c>
      <c r="BC65" s="193">
        <v>0</v>
      </c>
      <c r="BD65" s="238">
        <f t="shared" si="26"/>
        <v>0</v>
      </c>
      <c r="BE65" s="193">
        <v>0</v>
      </c>
      <c r="BF65" s="238">
        <f t="shared" si="27"/>
        <v>0</v>
      </c>
      <c r="BG65" s="193">
        <v>0</v>
      </c>
      <c r="BH65" s="238">
        <f t="shared" si="28"/>
        <v>0</v>
      </c>
      <c r="BI65" s="193">
        <v>0</v>
      </c>
      <c r="BJ65" s="238">
        <f t="shared" si="29"/>
        <v>0</v>
      </c>
      <c r="BK65" s="193">
        <v>0</v>
      </c>
      <c r="BL65" s="238">
        <f t="shared" si="30"/>
        <v>0</v>
      </c>
      <c r="BM65" s="193">
        <v>0</v>
      </c>
      <c r="BN65" s="238">
        <f t="shared" si="31"/>
        <v>0</v>
      </c>
      <c r="BO65" s="193">
        <v>0</v>
      </c>
      <c r="BP65" s="238">
        <f t="shared" si="32"/>
        <v>0</v>
      </c>
      <c r="BQ65" s="193">
        <v>0</v>
      </c>
      <c r="BR65" s="238">
        <f t="shared" si="33"/>
        <v>0</v>
      </c>
      <c r="BS65" s="225"/>
      <c r="BT65" s="239">
        <f t="shared" si="36"/>
        <v>109042.72</v>
      </c>
      <c r="BU65" s="238">
        <f t="shared" si="40"/>
        <v>926863.12</v>
      </c>
    </row>
    <row r="66" spans="1:73" ht="14.25">
      <c r="A66" s="241">
        <v>2011</v>
      </c>
      <c r="B66" s="528">
        <f t="shared" si="39"/>
        <v>7.5</v>
      </c>
      <c r="C66" s="193">
        <v>0</v>
      </c>
      <c r="D66" s="238">
        <f t="shared" si="35"/>
        <v>0</v>
      </c>
      <c r="E66" s="193">
        <v>0</v>
      </c>
      <c r="F66" s="238">
        <f t="shared" si="1"/>
        <v>0</v>
      </c>
      <c r="G66" s="193">
        <v>0</v>
      </c>
      <c r="H66" s="238">
        <f t="shared" si="2"/>
        <v>0</v>
      </c>
      <c r="I66" s="193">
        <v>0</v>
      </c>
      <c r="J66" s="238">
        <f t="shared" si="3"/>
        <v>0</v>
      </c>
      <c r="K66" s="193">
        <v>0</v>
      </c>
      <c r="L66" s="238">
        <f t="shared" si="4"/>
        <v>0</v>
      </c>
      <c r="M66" s="193">
        <v>0</v>
      </c>
      <c r="N66" s="238">
        <f t="shared" si="5"/>
        <v>0</v>
      </c>
      <c r="O66" s="193">
        <v>0</v>
      </c>
      <c r="P66" s="238">
        <f t="shared" si="6"/>
        <v>0</v>
      </c>
      <c r="Q66" s="193">
        <v>1216.24</v>
      </c>
      <c r="R66" s="238">
        <f t="shared" si="7"/>
        <v>9121.7999999999993</v>
      </c>
      <c r="S66" s="193">
        <v>0</v>
      </c>
      <c r="T66" s="238">
        <f t="shared" si="8"/>
        <v>0</v>
      </c>
      <c r="U66" s="193">
        <v>0</v>
      </c>
      <c r="V66" s="238">
        <f t="shared" si="9"/>
        <v>0</v>
      </c>
      <c r="W66" s="193">
        <v>0</v>
      </c>
      <c r="X66" s="238">
        <f t="shared" si="10"/>
        <v>0</v>
      </c>
      <c r="Y66" s="193">
        <v>0</v>
      </c>
      <c r="Z66" s="238">
        <f t="shared" si="11"/>
        <v>0</v>
      </c>
      <c r="AA66" s="193">
        <v>0</v>
      </c>
      <c r="AB66" s="238">
        <f t="shared" si="12"/>
        <v>0</v>
      </c>
      <c r="AC66" s="193">
        <v>0</v>
      </c>
      <c r="AD66" s="238">
        <f t="shared" si="13"/>
        <v>0</v>
      </c>
      <c r="AE66" s="193">
        <v>0</v>
      </c>
      <c r="AF66" s="238">
        <f t="shared" si="14"/>
        <v>0</v>
      </c>
      <c r="AG66" s="193">
        <v>0</v>
      </c>
      <c r="AH66" s="238">
        <f t="shared" si="15"/>
        <v>0</v>
      </c>
      <c r="AI66" s="193">
        <v>0</v>
      </c>
      <c r="AJ66" s="238">
        <f t="shared" si="16"/>
        <v>0</v>
      </c>
      <c r="AK66" s="193">
        <v>0</v>
      </c>
      <c r="AL66" s="238">
        <f t="shared" si="17"/>
        <v>0</v>
      </c>
      <c r="AM66" s="193">
        <v>0</v>
      </c>
      <c r="AN66" s="238">
        <f t="shared" si="18"/>
        <v>0</v>
      </c>
      <c r="AO66" s="193">
        <v>0</v>
      </c>
      <c r="AP66" s="238">
        <f t="shared" si="19"/>
        <v>0</v>
      </c>
      <c r="AQ66" s="193">
        <v>0</v>
      </c>
      <c r="AR66" s="238">
        <f t="shared" si="20"/>
        <v>0</v>
      </c>
      <c r="AS66" s="193">
        <v>0</v>
      </c>
      <c r="AT66" s="238">
        <f t="shared" si="21"/>
        <v>0</v>
      </c>
      <c r="AU66" s="193">
        <v>0</v>
      </c>
      <c r="AV66" s="238">
        <f t="shared" si="22"/>
        <v>0</v>
      </c>
      <c r="AW66" s="193">
        <v>0</v>
      </c>
      <c r="AX66" s="238">
        <f t="shared" si="23"/>
        <v>0</v>
      </c>
      <c r="AY66" s="193">
        <v>109347.19</v>
      </c>
      <c r="AZ66" s="238">
        <f t="shared" si="24"/>
        <v>820103.92500000005</v>
      </c>
      <c r="BA66" s="193">
        <v>0</v>
      </c>
      <c r="BB66" s="238">
        <f t="shared" si="25"/>
        <v>0</v>
      </c>
      <c r="BC66" s="193">
        <v>0</v>
      </c>
      <c r="BD66" s="238">
        <f t="shared" si="26"/>
        <v>0</v>
      </c>
      <c r="BE66" s="193">
        <v>0</v>
      </c>
      <c r="BF66" s="238">
        <f t="shared" si="27"/>
        <v>0</v>
      </c>
      <c r="BG66" s="193">
        <v>0</v>
      </c>
      <c r="BH66" s="238">
        <f t="shared" si="28"/>
        <v>0</v>
      </c>
      <c r="BI66" s="193">
        <v>0</v>
      </c>
      <c r="BJ66" s="238">
        <f t="shared" si="29"/>
        <v>0</v>
      </c>
      <c r="BK66" s="193">
        <v>0</v>
      </c>
      <c r="BL66" s="238">
        <f t="shared" si="30"/>
        <v>0</v>
      </c>
      <c r="BM66" s="193">
        <v>0</v>
      </c>
      <c r="BN66" s="238">
        <f t="shared" si="31"/>
        <v>0</v>
      </c>
      <c r="BO66" s="193">
        <v>0</v>
      </c>
      <c r="BP66" s="238">
        <f t="shared" si="32"/>
        <v>0</v>
      </c>
      <c r="BQ66" s="193">
        <v>0</v>
      </c>
      <c r="BR66" s="238">
        <f t="shared" si="33"/>
        <v>0</v>
      </c>
      <c r="BS66" s="225"/>
      <c r="BT66" s="239">
        <f t="shared" si="36"/>
        <v>110563.43000000001</v>
      </c>
      <c r="BU66" s="238">
        <f t="shared" si="40"/>
        <v>829225.72500000009</v>
      </c>
    </row>
    <row r="67" spans="1:73" ht="14.25">
      <c r="A67" s="241">
        <v>2012</v>
      </c>
      <c r="B67" s="528">
        <f t="shared" si="39"/>
        <v>6.5</v>
      </c>
      <c r="C67" s="193">
        <v>0</v>
      </c>
      <c r="D67" s="238">
        <f t="shared" si="35"/>
        <v>0</v>
      </c>
      <c r="E67" s="193">
        <v>0</v>
      </c>
      <c r="F67" s="238">
        <f t="shared" si="1"/>
        <v>0</v>
      </c>
      <c r="G67" s="193">
        <v>0</v>
      </c>
      <c r="H67" s="238">
        <f t="shared" si="2"/>
        <v>0</v>
      </c>
      <c r="I67" s="193">
        <v>0</v>
      </c>
      <c r="J67" s="238">
        <f t="shared" si="3"/>
        <v>0</v>
      </c>
      <c r="K67" s="193">
        <v>0</v>
      </c>
      <c r="L67" s="238">
        <f t="shared" si="4"/>
        <v>0</v>
      </c>
      <c r="M67" s="193">
        <v>0</v>
      </c>
      <c r="N67" s="238">
        <f t="shared" si="5"/>
        <v>0</v>
      </c>
      <c r="O67" s="193">
        <v>0</v>
      </c>
      <c r="P67" s="238">
        <f t="shared" si="6"/>
        <v>0</v>
      </c>
      <c r="Q67" s="193">
        <v>1843.29</v>
      </c>
      <c r="R67" s="238">
        <f t="shared" si="7"/>
        <v>11981.385</v>
      </c>
      <c r="S67" s="193">
        <v>0</v>
      </c>
      <c r="T67" s="238">
        <f t="shared" si="8"/>
        <v>0</v>
      </c>
      <c r="U67" s="193">
        <v>0</v>
      </c>
      <c r="V67" s="238">
        <f t="shared" si="9"/>
        <v>0</v>
      </c>
      <c r="W67" s="193">
        <v>0</v>
      </c>
      <c r="X67" s="238">
        <f t="shared" si="10"/>
        <v>0</v>
      </c>
      <c r="Y67" s="193">
        <v>0</v>
      </c>
      <c r="Z67" s="238">
        <f t="shared" si="11"/>
        <v>0</v>
      </c>
      <c r="AA67" s="193">
        <v>0</v>
      </c>
      <c r="AB67" s="238">
        <f t="shared" si="12"/>
        <v>0</v>
      </c>
      <c r="AC67" s="193">
        <v>0</v>
      </c>
      <c r="AD67" s="238">
        <f t="shared" si="13"/>
        <v>0</v>
      </c>
      <c r="AE67" s="193">
        <v>0</v>
      </c>
      <c r="AF67" s="238">
        <f t="shared" si="14"/>
        <v>0</v>
      </c>
      <c r="AG67" s="193">
        <v>0</v>
      </c>
      <c r="AH67" s="238">
        <f t="shared" si="15"/>
        <v>0</v>
      </c>
      <c r="AI67" s="193">
        <v>0</v>
      </c>
      <c r="AJ67" s="238">
        <f t="shared" si="16"/>
        <v>0</v>
      </c>
      <c r="AK67" s="193">
        <v>0</v>
      </c>
      <c r="AL67" s="238">
        <f t="shared" si="17"/>
        <v>0</v>
      </c>
      <c r="AM67" s="193">
        <v>0</v>
      </c>
      <c r="AN67" s="238">
        <f t="shared" si="18"/>
        <v>0</v>
      </c>
      <c r="AO67" s="193">
        <v>0</v>
      </c>
      <c r="AP67" s="238">
        <f t="shared" si="19"/>
        <v>0</v>
      </c>
      <c r="AQ67" s="193">
        <v>0</v>
      </c>
      <c r="AR67" s="238">
        <f t="shared" si="20"/>
        <v>0</v>
      </c>
      <c r="AS67" s="193">
        <v>0</v>
      </c>
      <c r="AT67" s="238">
        <f t="shared" si="21"/>
        <v>0</v>
      </c>
      <c r="AU67" s="193">
        <v>0</v>
      </c>
      <c r="AV67" s="238">
        <f t="shared" si="22"/>
        <v>0</v>
      </c>
      <c r="AW67" s="193">
        <v>0</v>
      </c>
      <c r="AX67" s="238">
        <f t="shared" si="23"/>
        <v>0</v>
      </c>
      <c r="AY67" s="193">
        <v>72534.130000000005</v>
      </c>
      <c r="AZ67" s="238">
        <f t="shared" si="24"/>
        <v>471471.84500000003</v>
      </c>
      <c r="BA67" s="193">
        <v>0</v>
      </c>
      <c r="BB67" s="238">
        <f t="shared" si="25"/>
        <v>0</v>
      </c>
      <c r="BC67" s="193">
        <v>0</v>
      </c>
      <c r="BD67" s="238">
        <f t="shared" si="26"/>
        <v>0</v>
      </c>
      <c r="BE67" s="193">
        <v>0</v>
      </c>
      <c r="BF67" s="238">
        <f t="shared" si="27"/>
        <v>0</v>
      </c>
      <c r="BG67" s="193">
        <v>0</v>
      </c>
      <c r="BH67" s="238">
        <f t="shared" si="28"/>
        <v>0</v>
      </c>
      <c r="BI67" s="193">
        <v>0</v>
      </c>
      <c r="BJ67" s="238">
        <f t="shared" si="29"/>
        <v>0</v>
      </c>
      <c r="BK67" s="193">
        <v>0</v>
      </c>
      <c r="BL67" s="238">
        <f t="shared" si="30"/>
        <v>0</v>
      </c>
      <c r="BM67" s="193">
        <v>0</v>
      </c>
      <c r="BN67" s="238">
        <f t="shared" si="31"/>
        <v>0</v>
      </c>
      <c r="BO67" s="193">
        <v>0</v>
      </c>
      <c r="BP67" s="238">
        <f t="shared" si="32"/>
        <v>0</v>
      </c>
      <c r="BQ67" s="193">
        <v>0</v>
      </c>
      <c r="BR67" s="238">
        <f t="shared" si="33"/>
        <v>0</v>
      </c>
      <c r="BS67" s="225"/>
      <c r="BT67" s="239">
        <f t="shared" si="36"/>
        <v>74377.419999999998</v>
      </c>
      <c r="BU67" s="238">
        <f t="shared" si="40"/>
        <v>483453.22999999998</v>
      </c>
    </row>
    <row r="68" spans="1:73" ht="14.25">
      <c r="A68" s="241">
        <v>2013</v>
      </c>
      <c r="B68" s="528">
        <f t="shared" si="39"/>
        <v>5.5</v>
      </c>
      <c r="C68" s="193">
        <v>0</v>
      </c>
      <c r="D68" s="238">
        <f t="shared" si="35"/>
        <v>0</v>
      </c>
      <c r="E68" s="193">
        <v>0</v>
      </c>
      <c r="F68" s="238">
        <f t="shared" si="1"/>
        <v>0</v>
      </c>
      <c r="G68" s="193">
        <v>0</v>
      </c>
      <c r="H68" s="238">
        <f t="shared" si="2"/>
        <v>0</v>
      </c>
      <c r="I68" s="193">
        <v>0</v>
      </c>
      <c r="J68" s="238">
        <f t="shared" si="3"/>
        <v>0</v>
      </c>
      <c r="K68" s="193">
        <v>0</v>
      </c>
      <c r="L68" s="238">
        <f t="shared" si="4"/>
        <v>0</v>
      </c>
      <c r="M68" s="193">
        <v>0</v>
      </c>
      <c r="N68" s="238">
        <f t="shared" si="5"/>
        <v>0</v>
      </c>
      <c r="O68" s="193">
        <v>0</v>
      </c>
      <c r="P68" s="238">
        <f t="shared" si="6"/>
        <v>0</v>
      </c>
      <c r="Q68" s="193">
        <v>5054.5699999999997</v>
      </c>
      <c r="R68" s="238">
        <f t="shared" si="7"/>
        <v>27800.134999999998</v>
      </c>
      <c r="S68" s="193">
        <v>0</v>
      </c>
      <c r="T68" s="238">
        <f t="shared" si="8"/>
        <v>0</v>
      </c>
      <c r="U68" s="193">
        <v>0</v>
      </c>
      <c r="V68" s="238">
        <f t="shared" si="9"/>
        <v>0</v>
      </c>
      <c r="W68" s="193">
        <v>0</v>
      </c>
      <c r="X68" s="238">
        <f t="shared" si="10"/>
        <v>0</v>
      </c>
      <c r="Y68" s="193">
        <v>0</v>
      </c>
      <c r="Z68" s="238">
        <f t="shared" si="11"/>
        <v>0</v>
      </c>
      <c r="AA68" s="193">
        <v>0</v>
      </c>
      <c r="AB68" s="238">
        <f t="shared" si="12"/>
        <v>0</v>
      </c>
      <c r="AC68" s="193">
        <v>0</v>
      </c>
      <c r="AD68" s="238">
        <f t="shared" si="13"/>
        <v>0</v>
      </c>
      <c r="AE68" s="193">
        <v>0</v>
      </c>
      <c r="AF68" s="238">
        <f t="shared" si="14"/>
        <v>0</v>
      </c>
      <c r="AG68" s="193">
        <v>0</v>
      </c>
      <c r="AH68" s="238">
        <f t="shared" si="15"/>
        <v>0</v>
      </c>
      <c r="AI68" s="193">
        <v>0</v>
      </c>
      <c r="AJ68" s="238">
        <f t="shared" si="16"/>
        <v>0</v>
      </c>
      <c r="AK68" s="193">
        <v>0</v>
      </c>
      <c r="AL68" s="238">
        <f t="shared" si="17"/>
        <v>0</v>
      </c>
      <c r="AM68" s="193">
        <v>0</v>
      </c>
      <c r="AN68" s="238">
        <f t="shared" si="18"/>
        <v>0</v>
      </c>
      <c r="AO68" s="193">
        <v>0</v>
      </c>
      <c r="AP68" s="238">
        <f t="shared" si="19"/>
        <v>0</v>
      </c>
      <c r="AQ68" s="193">
        <v>0</v>
      </c>
      <c r="AR68" s="238">
        <f t="shared" si="20"/>
        <v>0</v>
      </c>
      <c r="AS68" s="193">
        <v>0</v>
      </c>
      <c r="AT68" s="238">
        <f t="shared" si="21"/>
        <v>0</v>
      </c>
      <c r="AU68" s="193">
        <v>0</v>
      </c>
      <c r="AV68" s="238">
        <f t="shared" si="22"/>
        <v>0</v>
      </c>
      <c r="AW68" s="193">
        <v>0</v>
      </c>
      <c r="AX68" s="238">
        <f t="shared" si="23"/>
        <v>0</v>
      </c>
      <c r="AY68" s="193">
        <v>0</v>
      </c>
      <c r="AZ68" s="238">
        <f t="shared" si="24"/>
        <v>0</v>
      </c>
      <c r="BA68" s="193">
        <v>0</v>
      </c>
      <c r="BB68" s="238">
        <f t="shared" si="25"/>
        <v>0</v>
      </c>
      <c r="BC68" s="193">
        <v>0</v>
      </c>
      <c r="BD68" s="238">
        <f t="shared" si="26"/>
        <v>0</v>
      </c>
      <c r="BE68" s="193">
        <v>0</v>
      </c>
      <c r="BF68" s="238">
        <f t="shared" si="27"/>
        <v>0</v>
      </c>
      <c r="BG68" s="193">
        <v>0</v>
      </c>
      <c r="BH68" s="238">
        <f t="shared" si="28"/>
        <v>0</v>
      </c>
      <c r="BI68" s="193">
        <v>0</v>
      </c>
      <c r="BJ68" s="238">
        <f t="shared" si="29"/>
        <v>0</v>
      </c>
      <c r="BK68" s="193">
        <v>0</v>
      </c>
      <c r="BL68" s="238">
        <f t="shared" si="30"/>
        <v>0</v>
      </c>
      <c r="BM68" s="193">
        <v>0</v>
      </c>
      <c r="BN68" s="238">
        <f t="shared" si="31"/>
        <v>0</v>
      </c>
      <c r="BO68" s="193">
        <v>0</v>
      </c>
      <c r="BP68" s="238">
        <f t="shared" si="32"/>
        <v>0</v>
      </c>
      <c r="BQ68" s="193">
        <v>0</v>
      </c>
      <c r="BR68" s="238">
        <f t="shared" si="33"/>
        <v>0</v>
      </c>
      <c r="BS68" s="225"/>
      <c r="BT68" s="239">
        <f t="shared" si="36"/>
        <v>5054.5699999999997</v>
      </c>
      <c r="BU68" s="238">
        <f t="shared" si="40"/>
        <v>27800.134999999998</v>
      </c>
    </row>
    <row r="69" spans="1:73" ht="14.25">
      <c r="A69" s="241">
        <v>2014</v>
      </c>
      <c r="B69" s="528">
        <f t="shared" si="39"/>
        <v>4.5</v>
      </c>
      <c r="C69" s="193">
        <v>0</v>
      </c>
      <c r="D69" s="238">
        <f t="shared" si="35"/>
        <v>0</v>
      </c>
      <c r="E69" s="193">
        <v>0</v>
      </c>
      <c r="F69" s="238">
        <f t="shared" si="1"/>
        <v>0</v>
      </c>
      <c r="G69" s="193">
        <v>0</v>
      </c>
      <c r="H69" s="238">
        <f t="shared" si="2"/>
        <v>0</v>
      </c>
      <c r="I69" s="193">
        <v>0</v>
      </c>
      <c r="J69" s="238">
        <f t="shared" si="3"/>
        <v>0</v>
      </c>
      <c r="K69" s="193">
        <v>0</v>
      </c>
      <c r="L69" s="238">
        <f t="shared" si="4"/>
        <v>0</v>
      </c>
      <c r="M69" s="193">
        <v>0</v>
      </c>
      <c r="N69" s="238">
        <f t="shared" si="5"/>
        <v>0</v>
      </c>
      <c r="O69" s="193">
        <v>0</v>
      </c>
      <c r="P69" s="238">
        <f t="shared" si="6"/>
        <v>0</v>
      </c>
      <c r="Q69" s="193">
        <v>8607.4699999999993</v>
      </c>
      <c r="R69" s="238">
        <f t="shared" si="7"/>
        <v>38733.614999999998</v>
      </c>
      <c r="S69" s="193">
        <v>0</v>
      </c>
      <c r="T69" s="238">
        <f t="shared" si="8"/>
        <v>0</v>
      </c>
      <c r="U69" s="193">
        <v>0</v>
      </c>
      <c r="V69" s="238">
        <f t="shared" si="9"/>
        <v>0</v>
      </c>
      <c r="W69" s="193">
        <v>0</v>
      </c>
      <c r="X69" s="238">
        <f t="shared" si="10"/>
        <v>0</v>
      </c>
      <c r="Y69" s="193">
        <v>0</v>
      </c>
      <c r="Z69" s="238">
        <f t="shared" si="11"/>
        <v>0</v>
      </c>
      <c r="AA69" s="193">
        <v>0</v>
      </c>
      <c r="AB69" s="238">
        <f t="shared" si="12"/>
        <v>0</v>
      </c>
      <c r="AC69" s="193">
        <v>0</v>
      </c>
      <c r="AD69" s="238">
        <f t="shared" si="13"/>
        <v>0</v>
      </c>
      <c r="AE69" s="193">
        <v>0</v>
      </c>
      <c r="AF69" s="238">
        <f t="shared" si="14"/>
        <v>0</v>
      </c>
      <c r="AG69" s="193">
        <v>0</v>
      </c>
      <c r="AH69" s="238">
        <f t="shared" si="15"/>
        <v>0</v>
      </c>
      <c r="AI69" s="193">
        <v>0</v>
      </c>
      <c r="AJ69" s="238">
        <f t="shared" si="16"/>
        <v>0</v>
      </c>
      <c r="AK69" s="193">
        <v>0</v>
      </c>
      <c r="AL69" s="238">
        <f t="shared" si="17"/>
        <v>0</v>
      </c>
      <c r="AM69" s="193">
        <v>0</v>
      </c>
      <c r="AN69" s="238">
        <f t="shared" si="18"/>
        <v>0</v>
      </c>
      <c r="AO69" s="193">
        <v>0</v>
      </c>
      <c r="AP69" s="238">
        <f t="shared" si="19"/>
        <v>0</v>
      </c>
      <c r="AQ69" s="193">
        <v>0</v>
      </c>
      <c r="AR69" s="238">
        <f t="shared" si="20"/>
        <v>0</v>
      </c>
      <c r="AS69" s="193">
        <v>0</v>
      </c>
      <c r="AT69" s="238">
        <f t="shared" si="21"/>
        <v>0</v>
      </c>
      <c r="AU69" s="193">
        <v>0</v>
      </c>
      <c r="AV69" s="238">
        <f t="shared" si="22"/>
        <v>0</v>
      </c>
      <c r="AW69" s="193">
        <v>0</v>
      </c>
      <c r="AX69" s="238">
        <f t="shared" si="23"/>
        <v>0</v>
      </c>
      <c r="AY69" s="193">
        <v>0</v>
      </c>
      <c r="AZ69" s="238">
        <f t="shared" si="24"/>
        <v>0</v>
      </c>
      <c r="BA69" s="193">
        <v>0</v>
      </c>
      <c r="BB69" s="238">
        <f t="shared" si="25"/>
        <v>0</v>
      </c>
      <c r="BC69" s="193">
        <v>0</v>
      </c>
      <c r="BD69" s="238">
        <f t="shared" si="26"/>
        <v>0</v>
      </c>
      <c r="BE69" s="193">
        <v>0</v>
      </c>
      <c r="BF69" s="238">
        <f t="shared" si="27"/>
        <v>0</v>
      </c>
      <c r="BG69" s="193">
        <v>0</v>
      </c>
      <c r="BH69" s="238">
        <f t="shared" si="28"/>
        <v>0</v>
      </c>
      <c r="BI69" s="193">
        <v>0</v>
      </c>
      <c r="BJ69" s="238">
        <f t="shared" si="29"/>
        <v>0</v>
      </c>
      <c r="BK69" s="193">
        <v>0</v>
      </c>
      <c r="BL69" s="238">
        <f t="shared" si="30"/>
        <v>0</v>
      </c>
      <c r="BM69" s="193">
        <v>0</v>
      </c>
      <c r="BN69" s="238">
        <f t="shared" si="31"/>
        <v>0</v>
      </c>
      <c r="BO69" s="193">
        <v>0</v>
      </c>
      <c r="BP69" s="238">
        <f t="shared" si="32"/>
        <v>0</v>
      </c>
      <c r="BQ69" s="193">
        <v>0</v>
      </c>
      <c r="BR69" s="238">
        <f t="shared" si="33"/>
        <v>0</v>
      </c>
      <c r="BS69" s="225"/>
      <c r="BT69" s="239">
        <f t="shared" si="36"/>
        <v>8607.4699999999993</v>
      </c>
      <c r="BU69" s="238">
        <f t="shared" si="40"/>
        <v>38733.614999999998</v>
      </c>
    </row>
    <row r="70" spans="1:73" ht="14.25">
      <c r="A70" s="241">
        <v>2015</v>
      </c>
      <c r="B70" s="528">
        <f t="shared" si="39"/>
        <v>3.5</v>
      </c>
      <c r="C70" s="193">
        <v>0</v>
      </c>
      <c r="D70" s="238">
        <f t="shared" si="35"/>
        <v>0</v>
      </c>
      <c r="E70" s="193">
        <v>0</v>
      </c>
      <c r="F70" s="238">
        <f>+E70*$B70</f>
        <v>0</v>
      </c>
      <c r="G70" s="193">
        <v>3654.5599999999999</v>
      </c>
      <c r="H70" s="238">
        <f>+G70*$B70</f>
        <v>12790.959999999999</v>
      </c>
      <c r="I70" s="193">
        <v>0</v>
      </c>
      <c r="J70" s="238">
        <f>+I70*$B70</f>
        <v>0</v>
      </c>
      <c r="K70" s="193">
        <v>0</v>
      </c>
      <c r="L70" s="238">
        <f>+K70*$B70</f>
        <v>0</v>
      </c>
      <c r="M70" s="193">
        <v>0</v>
      </c>
      <c r="N70" s="238">
        <f>+M70*$B70</f>
        <v>0</v>
      </c>
      <c r="O70" s="193">
        <v>0</v>
      </c>
      <c r="P70" s="238">
        <f>+O70*$B70</f>
        <v>0</v>
      </c>
      <c r="Q70" s="193">
        <v>15510.280000000001</v>
      </c>
      <c r="R70" s="238">
        <f>+Q70*$B70</f>
        <v>54285.980000000003</v>
      </c>
      <c r="S70" s="193">
        <v>0</v>
      </c>
      <c r="T70" s="238">
        <f>+S70*$B70</f>
        <v>0</v>
      </c>
      <c r="U70" s="193">
        <v>0</v>
      </c>
      <c r="V70" s="238">
        <f>+U70*$B70</f>
        <v>0</v>
      </c>
      <c r="W70" s="193">
        <v>0</v>
      </c>
      <c r="X70" s="238">
        <f>+W70*$B70</f>
        <v>0</v>
      </c>
      <c r="Y70" s="193">
        <v>0</v>
      </c>
      <c r="Z70" s="238">
        <f>+Y70*$B70</f>
        <v>0</v>
      </c>
      <c r="AA70" s="193">
        <v>0</v>
      </c>
      <c r="AB70" s="238">
        <f>+AA70*$B70</f>
        <v>0</v>
      </c>
      <c r="AC70" s="193">
        <v>0</v>
      </c>
      <c r="AD70" s="238">
        <f>+AC70*$B70</f>
        <v>0</v>
      </c>
      <c r="AE70" s="193">
        <v>0</v>
      </c>
      <c r="AF70" s="238">
        <f>+AE70*$B70</f>
        <v>0</v>
      </c>
      <c r="AG70" s="193">
        <v>0</v>
      </c>
      <c r="AH70" s="238">
        <f>+AG70*$B70</f>
        <v>0</v>
      </c>
      <c r="AI70" s="193">
        <v>0</v>
      </c>
      <c r="AJ70" s="238">
        <f>+AI70*$B70</f>
        <v>0</v>
      </c>
      <c r="AK70" s="193">
        <v>0</v>
      </c>
      <c r="AL70" s="238">
        <f>+AK70*$B70</f>
        <v>0</v>
      </c>
      <c r="AM70" s="193">
        <v>0</v>
      </c>
      <c r="AN70" s="238">
        <f>+AM70*$B70</f>
        <v>0</v>
      </c>
      <c r="AO70" s="193">
        <v>0</v>
      </c>
      <c r="AP70" s="238">
        <f>+AO70*$B70</f>
        <v>0</v>
      </c>
      <c r="AQ70" s="193">
        <v>0</v>
      </c>
      <c r="AR70" s="238">
        <f>+AQ70*$B70</f>
        <v>0</v>
      </c>
      <c r="AS70" s="193">
        <v>0</v>
      </c>
      <c r="AT70" s="238">
        <f>+AS70*$B70</f>
        <v>0</v>
      </c>
      <c r="AU70" s="193">
        <v>0</v>
      </c>
      <c r="AV70" s="238">
        <f>+AU70*$B70</f>
        <v>0</v>
      </c>
      <c r="AW70" s="193">
        <v>0</v>
      </c>
      <c r="AX70" s="238">
        <f>+AW70*$B70</f>
        <v>0</v>
      </c>
      <c r="AY70" s="193">
        <v>1300</v>
      </c>
      <c r="AZ70" s="238">
        <f>+AY70*$B70</f>
        <v>4550</v>
      </c>
      <c r="BA70" s="193">
        <v>0</v>
      </c>
      <c r="BB70" s="238">
        <f>+BA70*$B70</f>
        <v>0</v>
      </c>
      <c r="BC70" s="193">
        <v>0</v>
      </c>
      <c r="BD70" s="238">
        <f>+BC70*$B70</f>
        <v>0</v>
      </c>
      <c r="BE70" s="193">
        <v>0</v>
      </c>
      <c r="BF70" s="238">
        <f>+BE70*$B70</f>
        <v>0</v>
      </c>
      <c r="BG70" s="193">
        <v>0</v>
      </c>
      <c r="BH70" s="238">
        <f>+BG70*$B70</f>
        <v>0</v>
      </c>
      <c r="BI70" s="193">
        <v>0</v>
      </c>
      <c r="BJ70" s="238">
        <f>+BI70*$B70</f>
        <v>0</v>
      </c>
      <c r="BK70" s="193">
        <v>0</v>
      </c>
      <c r="BL70" s="238">
        <f>+BK70*$B70</f>
        <v>0</v>
      </c>
      <c r="BM70" s="193">
        <v>0</v>
      </c>
      <c r="BN70" s="238">
        <f>+BM70*$B70</f>
        <v>0</v>
      </c>
      <c r="BO70" s="193">
        <v>0</v>
      </c>
      <c r="BP70" s="238">
        <f>+BO70*$B70</f>
        <v>0</v>
      </c>
      <c r="BQ70" s="193">
        <v>0</v>
      </c>
      <c r="BR70" s="238">
        <f>+BQ70*$B70</f>
        <v>0</v>
      </c>
      <c r="BS70" s="225"/>
      <c r="BT70" s="239">
        <f t="shared" si="36"/>
        <v>20464.84</v>
      </c>
      <c r="BU70" s="238">
        <f t="shared" si="40"/>
        <v>71626.940000000002</v>
      </c>
    </row>
    <row r="71" spans="1:73" ht="14.25">
      <c r="A71" s="241">
        <v>2016</v>
      </c>
      <c r="B71" s="528">
        <f t="shared" si="39"/>
        <v>2.5</v>
      </c>
      <c r="C71" s="193">
        <v>0</v>
      </c>
      <c r="D71" s="238">
        <f>+C71*$B71</f>
        <v>0</v>
      </c>
      <c r="E71" s="193">
        <v>0</v>
      </c>
      <c r="F71" s="238">
        <f>+E71*$B71</f>
        <v>0</v>
      </c>
      <c r="G71" s="193">
        <v>0</v>
      </c>
      <c r="H71" s="238">
        <f>+G71*$B71</f>
        <v>0</v>
      </c>
      <c r="I71" s="193">
        <v>0</v>
      </c>
      <c r="J71" s="238">
        <f>+I71*$B71</f>
        <v>0</v>
      </c>
      <c r="K71" s="193">
        <v>0</v>
      </c>
      <c r="L71" s="238">
        <f>+K71*$B71</f>
        <v>0</v>
      </c>
      <c r="M71" s="193">
        <v>0</v>
      </c>
      <c r="N71" s="238">
        <f>+M71*$B71</f>
        <v>0</v>
      </c>
      <c r="O71" s="193">
        <v>0</v>
      </c>
      <c r="P71" s="238">
        <f>+O71*$B71</f>
        <v>0</v>
      </c>
      <c r="Q71" s="193">
        <v>6315.9300000000003</v>
      </c>
      <c r="R71" s="238">
        <f>+Q71*$B71</f>
        <v>15789.825000000001</v>
      </c>
      <c r="S71" s="193">
        <v>0</v>
      </c>
      <c r="T71" s="238">
        <f>+S71*$B71</f>
        <v>0</v>
      </c>
      <c r="U71" s="193">
        <v>0</v>
      </c>
      <c r="V71" s="238">
        <f>+U71*$B71</f>
        <v>0</v>
      </c>
      <c r="W71" s="193">
        <v>0</v>
      </c>
      <c r="X71" s="238">
        <f>+W71*$B71</f>
        <v>0</v>
      </c>
      <c r="Y71" s="193">
        <v>0</v>
      </c>
      <c r="Z71" s="238">
        <f>+Y71*$B71</f>
        <v>0</v>
      </c>
      <c r="AA71" s="193">
        <v>0</v>
      </c>
      <c r="AB71" s="238">
        <f>+AA71*$B71</f>
        <v>0</v>
      </c>
      <c r="AC71" s="193">
        <v>0</v>
      </c>
      <c r="AD71" s="238">
        <f>+AC71*$B71</f>
        <v>0</v>
      </c>
      <c r="AE71" s="193">
        <v>0</v>
      </c>
      <c r="AF71" s="238">
        <f>+AE71*$B71</f>
        <v>0</v>
      </c>
      <c r="AG71" s="193">
        <v>0</v>
      </c>
      <c r="AH71" s="238">
        <f>+AG71*$B71</f>
        <v>0</v>
      </c>
      <c r="AI71" s="193">
        <v>0</v>
      </c>
      <c r="AJ71" s="238">
        <f>+AI71*$B71</f>
        <v>0</v>
      </c>
      <c r="AK71" s="193">
        <v>0</v>
      </c>
      <c r="AL71" s="238">
        <f>+AK71*$B71</f>
        <v>0</v>
      </c>
      <c r="AM71" s="193">
        <v>0</v>
      </c>
      <c r="AN71" s="238">
        <f>+AM71*$B71</f>
        <v>0</v>
      </c>
      <c r="AO71" s="193">
        <v>0</v>
      </c>
      <c r="AP71" s="238">
        <f>+AO71*$B71</f>
        <v>0</v>
      </c>
      <c r="AQ71" s="193">
        <v>0</v>
      </c>
      <c r="AR71" s="238">
        <f>+AQ71*$B71</f>
        <v>0</v>
      </c>
      <c r="AS71" s="193">
        <v>0</v>
      </c>
      <c r="AT71" s="238">
        <f>+AS71*$B71</f>
        <v>0</v>
      </c>
      <c r="AU71" s="193">
        <v>0</v>
      </c>
      <c r="AV71" s="238">
        <f>+AU71*$B71</f>
        <v>0</v>
      </c>
      <c r="AW71" s="193">
        <v>0</v>
      </c>
      <c r="AX71" s="238">
        <f>+AW71*$B71</f>
        <v>0</v>
      </c>
      <c r="AY71" s="193">
        <v>36727.410000000003</v>
      </c>
      <c r="AZ71" s="238">
        <f>+AY71*$B71</f>
        <v>91818.525000000009</v>
      </c>
      <c r="BA71" s="193">
        <v>0</v>
      </c>
      <c r="BB71" s="238">
        <f>+BA71*$B71</f>
        <v>0</v>
      </c>
      <c r="BC71" s="193">
        <v>0</v>
      </c>
      <c r="BD71" s="238">
        <f>+BC71*$B71</f>
        <v>0</v>
      </c>
      <c r="BE71" s="193">
        <v>0</v>
      </c>
      <c r="BF71" s="238">
        <f>+BE71*$B71</f>
        <v>0</v>
      </c>
      <c r="BG71" s="193">
        <v>0</v>
      </c>
      <c r="BH71" s="238">
        <f>+BG71*$B71</f>
        <v>0</v>
      </c>
      <c r="BI71" s="193">
        <v>0</v>
      </c>
      <c r="BJ71" s="238">
        <f>+BI71*$B71</f>
        <v>0</v>
      </c>
      <c r="BK71" s="193">
        <v>0</v>
      </c>
      <c r="BL71" s="238">
        <f>+BK71*$B71</f>
        <v>0</v>
      </c>
      <c r="BM71" s="193">
        <v>0</v>
      </c>
      <c r="BN71" s="238">
        <f>+BM71*$B71</f>
        <v>0</v>
      </c>
      <c r="BO71" s="193">
        <v>0</v>
      </c>
      <c r="BP71" s="238">
        <f>+BO71*$B71</f>
        <v>0</v>
      </c>
      <c r="BQ71" s="193">
        <v>0</v>
      </c>
      <c r="BR71" s="238">
        <f>+BQ71*$B71</f>
        <v>0</v>
      </c>
      <c r="BS71" s="225"/>
      <c r="BT71" s="239">
        <f t="shared" si="41" ref="BT71:BT73">+BO71+BM71+BK71+BG71+BE71+BC71+AY71+AW71+AS71+AQ71+AO71+AM71+AK71+AI71+AG71+AE71+AA71+C71+E71+G71+I71+M71+O71+Q71+S71+W71+BQ71+AC71+Y71+BI71+BA71+K71+U71+AU71</f>
        <v>43043.340000000004</v>
      </c>
      <c r="BU71" s="238">
        <f t="shared" si="40"/>
        <v>107608.35000000001</v>
      </c>
    </row>
    <row r="72" spans="1:73" ht="14.25">
      <c r="A72" s="241">
        <v>2017</v>
      </c>
      <c r="B72" s="528">
        <f t="shared" si="39"/>
        <v>1.5</v>
      </c>
      <c r="C72" s="193">
        <v>0</v>
      </c>
      <c r="D72" s="238">
        <f>+C72*$B72</f>
        <v>0</v>
      </c>
      <c r="E72" s="193">
        <v>0</v>
      </c>
      <c r="F72" s="238">
        <f>+E72*$B72</f>
        <v>0</v>
      </c>
      <c r="G72" s="193">
        <v>0</v>
      </c>
      <c r="H72" s="238">
        <f>+G72*$B72</f>
        <v>0</v>
      </c>
      <c r="I72" s="193">
        <v>0</v>
      </c>
      <c r="J72" s="238">
        <f>+I72*$B72</f>
        <v>0</v>
      </c>
      <c r="K72" s="193">
        <v>0</v>
      </c>
      <c r="L72" s="238">
        <f>+K72*$B72</f>
        <v>0</v>
      </c>
      <c r="M72" s="193">
        <v>0</v>
      </c>
      <c r="N72" s="238">
        <f>+M72*$B72</f>
        <v>0</v>
      </c>
      <c r="O72" s="193">
        <v>0</v>
      </c>
      <c r="P72" s="238">
        <f>+O72*$B72</f>
        <v>0</v>
      </c>
      <c r="Q72" s="193">
        <v>2440.2600000000002</v>
      </c>
      <c r="R72" s="238">
        <f>+Q72*$B72</f>
        <v>3660.3900000000003</v>
      </c>
      <c r="S72" s="193">
        <v>0</v>
      </c>
      <c r="T72" s="238">
        <f>+S72*$B72</f>
        <v>0</v>
      </c>
      <c r="U72" s="193">
        <v>0</v>
      </c>
      <c r="V72" s="238">
        <f>+U72*$B72</f>
        <v>0</v>
      </c>
      <c r="W72" s="193">
        <v>0</v>
      </c>
      <c r="X72" s="238">
        <f>+W72*$B72</f>
        <v>0</v>
      </c>
      <c r="Y72" s="193">
        <v>0</v>
      </c>
      <c r="Z72" s="238">
        <f>+Y72*$B72</f>
        <v>0</v>
      </c>
      <c r="AA72" s="193">
        <v>0</v>
      </c>
      <c r="AB72" s="238">
        <f>+AA72*$B72</f>
        <v>0</v>
      </c>
      <c r="AC72" s="193">
        <v>0</v>
      </c>
      <c r="AD72" s="238">
        <f>+AC72*$B72</f>
        <v>0</v>
      </c>
      <c r="AE72" s="193">
        <v>0</v>
      </c>
      <c r="AF72" s="238">
        <f>+AE72*$B72</f>
        <v>0</v>
      </c>
      <c r="AG72" s="193">
        <v>0</v>
      </c>
      <c r="AH72" s="238">
        <f>+AG72*$B72</f>
        <v>0</v>
      </c>
      <c r="AI72" s="193">
        <v>0</v>
      </c>
      <c r="AJ72" s="238">
        <f>+AI72*$B72</f>
        <v>0</v>
      </c>
      <c r="AK72" s="193">
        <v>0</v>
      </c>
      <c r="AL72" s="238">
        <f>+AK72*$B72</f>
        <v>0</v>
      </c>
      <c r="AM72" s="193">
        <v>0</v>
      </c>
      <c r="AN72" s="238">
        <f>+AM72*$B72</f>
        <v>0</v>
      </c>
      <c r="AO72" s="193">
        <v>20651.25</v>
      </c>
      <c r="AP72" s="238">
        <f>+AO72*$B72</f>
        <v>30976.875</v>
      </c>
      <c r="AQ72" s="193">
        <v>0</v>
      </c>
      <c r="AR72" s="238">
        <f>+AQ72*$B72</f>
        <v>0</v>
      </c>
      <c r="AS72" s="193">
        <v>0</v>
      </c>
      <c r="AT72" s="238">
        <f>+AS72*$B72</f>
        <v>0</v>
      </c>
      <c r="AU72" s="193">
        <v>0</v>
      </c>
      <c r="AV72" s="238">
        <f>+AU72*$B72</f>
        <v>0</v>
      </c>
      <c r="AW72" s="193">
        <v>0</v>
      </c>
      <c r="AX72" s="238">
        <f>+AW72*$B72</f>
        <v>0</v>
      </c>
      <c r="AY72" s="193">
        <v>0</v>
      </c>
      <c r="AZ72" s="238">
        <f>+AY72*$B72</f>
        <v>0</v>
      </c>
      <c r="BA72" s="193">
        <v>0</v>
      </c>
      <c r="BB72" s="238">
        <f>+BA72*$B72</f>
        <v>0</v>
      </c>
      <c r="BC72" s="193">
        <v>0</v>
      </c>
      <c r="BD72" s="238">
        <f>+BC72*$B72</f>
        <v>0</v>
      </c>
      <c r="BE72" s="193">
        <v>0</v>
      </c>
      <c r="BF72" s="238">
        <f>+BE72*$B72</f>
        <v>0</v>
      </c>
      <c r="BG72" s="193">
        <v>0</v>
      </c>
      <c r="BH72" s="238">
        <f>+BG72*$B72</f>
        <v>0</v>
      </c>
      <c r="BI72" s="193">
        <v>0</v>
      </c>
      <c r="BJ72" s="238">
        <f>+BI72*$B72</f>
        <v>0</v>
      </c>
      <c r="BK72" s="193">
        <v>0</v>
      </c>
      <c r="BL72" s="238">
        <f>+BK72*$B72</f>
        <v>0</v>
      </c>
      <c r="BM72" s="193">
        <v>0</v>
      </c>
      <c r="BN72" s="238">
        <f>+BM72*$B72</f>
        <v>0</v>
      </c>
      <c r="BO72" s="193">
        <v>0</v>
      </c>
      <c r="BP72" s="238">
        <f>+BO72*$B72</f>
        <v>0</v>
      </c>
      <c r="BQ72" s="193">
        <v>0</v>
      </c>
      <c r="BR72" s="238">
        <f>+BQ72*$B72</f>
        <v>0</v>
      </c>
      <c r="BS72" s="225"/>
      <c r="BT72" s="239">
        <f t="shared" si="41"/>
        <v>23091.510000000002</v>
      </c>
      <c r="BU72" s="238">
        <f t="shared" si="40"/>
        <v>34637.264999999999</v>
      </c>
    </row>
    <row r="73" spans="1:73" ht="14.25">
      <c r="A73" s="529">
        <v>2018</v>
      </c>
      <c r="B73" s="530">
        <v>0.5</v>
      </c>
      <c r="C73" s="193">
        <v>0</v>
      </c>
      <c r="D73" s="238">
        <f>+C73*$B73</f>
        <v>0</v>
      </c>
      <c r="E73" s="193">
        <v>0</v>
      </c>
      <c r="F73" s="238">
        <f>+E73*$B73</f>
        <v>0</v>
      </c>
      <c r="G73" s="193">
        <v>0</v>
      </c>
      <c r="H73" s="238">
        <f>+G73*$B73</f>
        <v>0</v>
      </c>
      <c r="I73" s="193">
        <v>0</v>
      </c>
      <c r="J73" s="238">
        <f>+I73*$B73</f>
        <v>0</v>
      </c>
      <c r="K73" s="193">
        <v>0</v>
      </c>
      <c r="L73" s="238">
        <f>+K73*$B73</f>
        <v>0</v>
      </c>
      <c r="M73" s="193">
        <v>0</v>
      </c>
      <c r="N73" s="238">
        <f>+M73*$B73</f>
        <v>0</v>
      </c>
      <c r="O73" s="193">
        <v>0</v>
      </c>
      <c r="P73" s="238">
        <f>+O73*$B73</f>
        <v>0</v>
      </c>
      <c r="Q73" s="193">
        <v>9552.2600000000002</v>
      </c>
      <c r="R73" s="238">
        <f>+Q73*$B73</f>
        <v>4776.1300000000001</v>
      </c>
      <c r="S73" s="193">
        <v>0</v>
      </c>
      <c r="T73" s="238">
        <f>+S73*$B73</f>
        <v>0</v>
      </c>
      <c r="U73" s="193">
        <v>0</v>
      </c>
      <c r="V73" s="238">
        <f>+U73*$B73</f>
        <v>0</v>
      </c>
      <c r="W73" s="193">
        <v>0</v>
      </c>
      <c r="X73" s="238">
        <f>+W73*$B73</f>
        <v>0</v>
      </c>
      <c r="Y73" s="193">
        <v>0</v>
      </c>
      <c r="Z73" s="238">
        <f>+Y73*$B73</f>
        <v>0</v>
      </c>
      <c r="AA73" s="193">
        <v>0</v>
      </c>
      <c r="AB73" s="238">
        <f>+AA73*$B73</f>
        <v>0</v>
      </c>
      <c r="AC73" s="193">
        <v>0</v>
      </c>
      <c r="AD73" s="238">
        <f>+AC73*$B73</f>
        <v>0</v>
      </c>
      <c r="AE73" s="193">
        <v>0</v>
      </c>
      <c r="AF73" s="238">
        <f>+AE73*$B73</f>
        <v>0</v>
      </c>
      <c r="AG73" s="193">
        <v>0</v>
      </c>
      <c r="AH73" s="238">
        <f>+AG73*$B73</f>
        <v>0</v>
      </c>
      <c r="AI73" s="193">
        <v>0</v>
      </c>
      <c r="AJ73" s="238">
        <f>+AI73*$B73</f>
        <v>0</v>
      </c>
      <c r="AK73" s="193">
        <v>0</v>
      </c>
      <c r="AL73" s="238">
        <f>+AK73*$B73</f>
        <v>0</v>
      </c>
      <c r="AM73" s="193">
        <v>0</v>
      </c>
      <c r="AN73" s="238">
        <f>+AM73*$B73</f>
        <v>0</v>
      </c>
      <c r="AO73" s="193">
        <v>0</v>
      </c>
      <c r="AP73" s="238">
        <f>+AO73*$B73</f>
        <v>0</v>
      </c>
      <c r="AQ73" s="193">
        <v>0</v>
      </c>
      <c r="AR73" s="238">
        <f>+AQ73*$B73</f>
        <v>0</v>
      </c>
      <c r="AS73" s="193">
        <v>0</v>
      </c>
      <c r="AT73" s="238">
        <f>+AS73*$B73</f>
        <v>0</v>
      </c>
      <c r="AU73" s="193">
        <v>0</v>
      </c>
      <c r="AV73" s="238">
        <f>+AU73*$B73</f>
        <v>0</v>
      </c>
      <c r="AW73" s="193">
        <v>0</v>
      </c>
      <c r="AX73" s="238">
        <f>+AW73*$B73</f>
        <v>0</v>
      </c>
      <c r="AY73" s="193">
        <v>0</v>
      </c>
      <c r="AZ73" s="238">
        <f>+AY73*$B73</f>
        <v>0</v>
      </c>
      <c r="BA73" s="193">
        <v>0</v>
      </c>
      <c r="BB73" s="238">
        <f>+BA73*$B73</f>
        <v>0</v>
      </c>
      <c r="BC73" s="193">
        <v>0</v>
      </c>
      <c r="BD73" s="238">
        <f>+BC73*$B73</f>
        <v>0</v>
      </c>
      <c r="BE73" s="193">
        <v>0</v>
      </c>
      <c r="BF73" s="238">
        <f>+BE73*$B73</f>
        <v>0</v>
      </c>
      <c r="BG73" s="193">
        <v>0</v>
      </c>
      <c r="BH73" s="238">
        <f>+BG73*$B73</f>
        <v>0</v>
      </c>
      <c r="BI73" s="193">
        <v>0</v>
      </c>
      <c r="BJ73" s="238">
        <f>+BI73*$B73</f>
        <v>0</v>
      </c>
      <c r="BK73" s="193">
        <v>0</v>
      </c>
      <c r="BL73" s="238">
        <f>+BK73*$B73</f>
        <v>0</v>
      </c>
      <c r="BM73" s="193">
        <v>0</v>
      </c>
      <c r="BN73" s="238">
        <f>+BM73*$B73</f>
        <v>0</v>
      </c>
      <c r="BO73" s="193">
        <v>0</v>
      </c>
      <c r="BP73" s="238">
        <f>+BO73*$B73</f>
        <v>0</v>
      </c>
      <c r="BQ73" s="193">
        <v>0</v>
      </c>
      <c r="BR73" s="238">
        <f>+BQ73*$B73</f>
        <v>0</v>
      </c>
      <c r="BS73" s="225"/>
      <c r="BT73" s="239">
        <f t="shared" si="41"/>
        <v>9552.2600000000002</v>
      </c>
      <c r="BU73" s="238">
        <f t="shared" si="40"/>
        <v>4776.1300000000001</v>
      </c>
    </row>
    <row r="74" spans="1:73" ht="14.25">
      <c r="A74" s="237"/>
      <c r="B74" s="236"/>
      <c r="C74" s="235">
        <f>SUM(C6:C73)</f>
        <v>0</v>
      </c>
      <c r="D74" s="234"/>
      <c r="E74" s="235">
        <f>SUM(E6:E73)</f>
        <v>0</v>
      </c>
      <c r="F74" s="234"/>
      <c r="G74" s="235">
        <f>SUM(G6:G73)</f>
        <v>140510.66999999998</v>
      </c>
      <c r="H74" s="234"/>
      <c r="I74" s="235">
        <f>SUM(I6:I73)</f>
        <v>417220.28999999998</v>
      </c>
      <c r="J74" s="234"/>
      <c r="K74" s="235">
        <f>SUM(K6:K73)</f>
        <v>0</v>
      </c>
      <c r="L74" s="234"/>
      <c r="M74" s="235">
        <f>SUM(M6:M73)</f>
        <v>0</v>
      </c>
      <c r="N74" s="234"/>
      <c r="O74" s="235">
        <f>SUM(O6:O73)</f>
        <v>0</v>
      </c>
      <c r="P74" s="234"/>
      <c r="Q74" s="235">
        <f>SUM(Q6:Q73)</f>
        <v>301683.03999999998</v>
      </c>
      <c r="R74" s="234"/>
      <c r="S74" s="235">
        <f>SUM(S6:S73)</f>
        <v>112654.54999999999</v>
      </c>
      <c r="T74" s="234"/>
      <c r="U74" s="235">
        <f>SUM(U6:U73)</f>
        <v>0</v>
      </c>
      <c r="V74" s="234"/>
      <c r="W74" s="235">
        <f>SUM(W6:W73)</f>
        <v>0</v>
      </c>
      <c r="X74" s="234"/>
      <c r="Y74" s="235">
        <f>SUM(Y6:Y73)</f>
        <v>0</v>
      </c>
      <c r="Z74" s="234"/>
      <c r="AA74" s="235">
        <f>SUM(AA6:AA73)</f>
        <v>3251.25</v>
      </c>
      <c r="AB74" s="234"/>
      <c r="AC74" s="235">
        <f>SUM(AC6:AC73)</f>
        <v>0</v>
      </c>
      <c r="AD74" s="234"/>
      <c r="AE74" s="235">
        <f>SUM(AE6:AE73)</f>
        <v>30425.419999999998</v>
      </c>
      <c r="AF74" s="234"/>
      <c r="AG74" s="235">
        <f>SUM(AG6:AG73)</f>
        <v>1500.5999999999999</v>
      </c>
      <c r="AH74" s="234"/>
      <c r="AI74" s="235">
        <f>SUM(AI6:AI73)</f>
        <v>0</v>
      </c>
      <c r="AJ74" s="234"/>
      <c r="AK74" s="235">
        <f>SUM(AK6:AK73)</f>
        <v>0</v>
      </c>
      <c r="AL74" s="234"/>
      <c r="AM74" s="235">
        <f>SUM(AM6:AM73)</f>
        <v>0</v>
      </c>
      <c r="AN74" s="234"/>
      <c r="AO74" s="235">
        <f>SUM(AO6:AO73)</f>
        <v>20651.25</v>
      </c>
      <c r="AP74" s="234"/>
      <c r="AQ74" s="235">
        <f>SUM(AQ6:AQ73)</f>
        <v>0</v>
      </c>
      <c r="AR74" s="234"/>
      <c r="AS74" s="235">
        <f>SUM(AS6:AS73)</f>
        <v>0</v>
      </c>
      <c r="AT74" s="234"/>
      <c r="AU74" s="235">
        <f>SUM(AU6:AU73)</f>
        <v>0</v>
      </c>
      <c r="AV74" s="234"/>
      <c r="AW74" s="235">
        <f>SUM(AW6:AW73)</f>
        <v>45858.610000000001</v>
      </c>
      <c r="AX74" s="234"/>
      <c r="AY74" s="235">
        <f>SUM(AY6:AY73)</f>
        <v>1222787.55</v>
      </c>
      <c r="AZ74" s="234"/>
      <c r="BA74" s="235">
        <f>SUM(BA6:BA73)</f>
        <v>0</v>
      </c>
      <c r="BB74" s="234"/>
      <c r="BC74" s="235">
        <f>SUM(BC6:BC73)</f>
        <v>17685.040000000001</v>
      </c>
      <c r="BD74" s="234"/>
      <c r="BE74" s="235">
        <f>SUM(BE6:BE73)</f>
        <v>0</v>
      </c>
      <c r="BF74" s="234"/>
      <c r="BG74" s="235">
        <f>SUM(BG6:BG73)</f>
        <v>0</v>
      </c>
      <c r="BH74" s="234"/>
      <c r="BI74" s="235">
        <f>SUM(BI6:BI73)</f>
        <v>0</v>
      </c>
      <c r="BJ74" s="234"/>
      <c r="BK74" s="235">
        <f>SUM(BK6:BK73)</f>
        <v>0</v>
      </c>
      <c r="BL74" s="234"/>
      <c r="BM74" s="235">
        <f>SUM(BM6:BM73)</f>
        <v>0</v>
      </c>
      <c r="BN74" s="234"/>
      <c r="BO74" s="235">
        <f>SUM(BO6:BO73)</f>
        <v>0</v>
      </c>
      <c r="BP74" s="234"/>
      <c r="BQ74" s="235">
        <f>SUM(BQ6:BQ73)</f>
        <v>0</v>
      </c>
      <c r="BR74" s="234"/>
      <c r="BS74" s="225"/>
      <c r="BT74" s="235">
        <f>SUM(BT6:BT73)</f>
        <v>2314228.2699999991</v>
      </c>
      <c r="BU74" s="234"/>
    </row>
    <row r="75" spans="1:73" ht="15" thickBot="1">
      <c r="A75" s="233"/>
      <c r="B75" s="232"/>
      <c r="C75" s="231"/>
      <c r="D75" s="230">
        <f>SUM(D6:D73)</f>
        <v>0</v>
      </c>
      <c r="E75" s="231"/>
      <c r="F75" s="230">
        <f>SUM(F6:F73)</f>
        <v>0</v>
      </c>
      <c r="G75" s="231"/>
      <c r="H75" s="230">
        <f>SUM(H6:H73)</f>
        <v>3709975.1049999995</v>
      </c>
      <c r="I75" s="231"/>
      <c r="J75" s="230">
        <f>SUM(J6:J73)</f>
        <v>11266215.445</v>
      </c>
      <c r="K75" s="231"/>
      <c r="L75" s="230">
        <f>SUM(L6:L73)</f>
        <v>0</v>
      </c>
      <c r="M75" s="231"/>
      <c r="N75" s="230">
        <f>SUM(N6:N73)</f>
        <v>0</v>
      </c>
      <c r="O75" s="231"/>
      <c r="P75" s="230">
        <f>SUM(P6:P73)</f>
        <v>0</v>
      </c>
      <c r="Q75" s="231"/>
      <c r="R75" s="230">
        <f>SUM(R6:R73)</f>
        <v>5616918.6300000008</v>
      </c>
      <c r="S75" s="231"/>
      <c r="T75" s="230">
        <f>SUM(T6:T73)</f>
        <v>5462318.6249999991</v>
      </c>
      <c r="U75" s="231"/>
      <c r="V75" s="230">
        <f>SUM(V6:V73)</f>
        <v>0</v>
      </c>
      <c r="W75" s="231"/>
      <c r="X75" s="230">
        <f>SUM(X6:X73)</f>
        <v>0</v>
      </c>
      <c r="Y75" s="231"/>
      <c r="Z75" s="230">
        <f>SUM(Z6:Z73)</f>
        <v>0</v>
      </c>
      <c r="AA75" s="231"/>
      <c r="AB75" s="230">
        <f>SUM(AB6:AB73)</f>
        <v>43891.875</v>
      </c>
      <c r="AC75" s="231"/>
      <c r="AD75" s="230">
        <f>SUM(AD6:AD73)</f>
        <v>0</v>
      </c>
      <c r="AE75" s="231"/>
      <c r="AF75" s="230">
        <f>SUM(AF6:AF73)</f>
        <v>523599.77000000002</v>
      </c>
      <c r="AG75" s="231"/>
      <c r="AH75" s="230">
        <f>SUM(AH6:AH73)</f>
        <v>60780.090000000004</v>
      </c>
      <c r="AI75" s="231"/>
      <c r="AJ75" s="230">
        <f>SUM(AJ6:AJ73)</f>
        <v>0</v>
      </c>
      <c r="AK75" s="231"/>
      <c r="AL75" s="230">
        <f>SUM(AL6:AL73)</f>
        <v>0</v>
      </c>
      <c r="AM75" s="231"/>
      <c r="AN75" s="230">
        <f>SUM(AN6:AN73)</f>
        <v>0</v>
      </c>
      <c r="AO75" s="231"/>
      <c r="AP75" s="230">
        <f>SUM(AP6:AP73)</f>
        <v>30976.875</v>
      </c>
      <c r="AQ75" s="231"/>
      <c r="AR75" s="230">
        <f>SUM(AR6:AR73)</f>
        <v>0</v>
      </c>
      <c r="AS75" s="231"/>
      <c r="AT75" s="230">
        <f>SUM(AT6:AT73)</f>
        <v>0</v>
      </c>
      <c r="AU75" s="231"/>
      <c r="AV75" s="230">
        <f>SUM(AV6:AV73)</f>
        <v>0</v>
      </c>
      <c r="AW75" s="231"/>
      <c r="AX75" s="230">
        <f>SUM(AX6:AX73)</f>
        <v>668746.255</v>
      </c>
      <c r="AY75" s="231"/>
      <c r="AZ75" s="230">
        <f>SUM(AZ6:AZ73)</f>
        <v>13963561.635</v>
      </c>
      <c r="BA75" s="231"/>
      <c r="BB75" s="230">
        <f>SUM(BB6:BB73)</f>
        <v>0</v>
      </c>
      <c r="BC75" s="231"/>
      <c r="BD75" s="230">
        <f>SUM(BD6:BD73)</f>
        <v>449540.56000000006</v>
      </c>
      <c r="BE75" s="231"/>
      <c r="BF75" s="230">
        <f>SUM(BF6:BF73)</f>
        <v>0</v>
      </c>
      <c r="BG75" s="231"/>
      <c r="BH75" s="230">
        <f>SUM(BH6:BH73)</f>
        <v>0</v>
      </c>
      <c r="BI75" s="231"/>
      <c r="BJ75" s="230">
        <f>SUM(BJ6:BJ73)</f>
        <v>0</v>
      </c>
      <c r="BK75" s="231"/>
      <c r="BL75" s="230">
        <f>SUM(BL6:BL73)</f>
        <v>0</v>
      </c>
      <c r="BM75" s="231"/>
      <c r="BN75" s="230">
        <f>SUM(BN6:BN73)</f>
        <v>0</v>
      </c>
      <c r="BO75" s="231"/>
      <c r="BP75" s="230">
        <f>SUM(BP6:BP73)</f>
        <v>0</v>
      </c>
      <c r="BQ75" s="231"/>
      <c r="BR75" s="230">
        <f>SUM(BR6:BR73)</f>
        <v>0</v>
      </c>
      <c r="BS75" s="225"/>
      <c r="BT75" s="231"/>
      <c r="BU75" s="230">
        <f>SUM(BU6:BU73)</f>
        <v>41796524.864999995</v>
      </c>
    </row>
    <row r="76" spans="1:73" ht="14.25">
      <c r="A76" s="229"/>
      <c r="B76" s="228"/>
      <c r="C76" s="224">
        <f>IFERROR(ROUND(D75/C74,2),0)</f>
        <v>0</v>
      </c>
      <c r="D76" s="223"/>
      <c r="E76" s="224">
        <f>IFERROR(ROUND(F75/E74,2),0)</f>
        <v>0</v>
      </c>
      <c r="F76" s="223"/>
      <c r="G76" s="224">
        <f>IFERROR(ROUND(H75/G74,2),0)</f>
        <v>26.399999999999999</v>
      </c>
      <c r="H76" s="223"/>
      <c r="I76" s="224">
        <f>IFERROR(ROUND(J75/I74,2),0)</f>
        <v>27</v>
      </c>
      <c r="J76" s="223"/>
      <c r="K76" s="224">
        <f>IFERROR(ROUND(L75/K74,2),0)</f>
        <v>0</v>
      </c>
      <c r="L76" s="223"/>
      <c r="M76" s="224">
        <f>IFERROR(ROUND(N75/M74,2),0)</f>
        <v>0</v>
      </c>
      <c r="N76" s="223"/>
      <c r="O76" s="224">
        <f>IFERROR(ROUND(P75/O74,2),0)</f>
        <v>0</v>
      </c>
      <c r="P76" s="223"/>
      <c r="Q76" s="224">
        <f>IFERROR(ROUND(R75/Q74,2),0)</f>
        <v>18.620000000000001</v>
      </c>
      <c r="R76" s="223"/>
      <c r="S76" s="224">
        <f>IFERROR(ROUND(T75/S74,2),0)</f>
        <v>48.490000000000002</v>
      </c>
      <c r="T76" s="223"/>
      <c r="U76" s="224">
        <f>IFERROR(ROUND(V75/U74,2),0)</f>
        <v>0</v>
      </c>
      <c r="V76" s="223"/>
      <c r="W76" s="227">
        <f>IFERROR(ROUND(X75/W74,2),0)</f>
        <v>0</v>
      </c>
      <c r="X76" s="223"/>
      <c r="Y76" s="226">
        <f>IFERROR(ROUND(Z75/Y74,2),0)</f>
        <v>0</v>
      </c>
      <c r="Z76" s="226"/>
      <c r="AA76" s="224">
        <f>IFERROR(ROUND(AB75/AA74,2),0)</f>
        <v>13.5</v>
      </c>
      <c r="AB76" s="223"/>
      <c r="AC76" s="226">
        <f>IFERROR(ROUND(AD75/AC74,2),0)</f>
        <v>0</v>
      </c>
      <c r="AD76" s="226"/>
      <c r="AE76" s="224">
        <f>IFERROR(ROUND(AF75/AE74,2),0)</f>
        <v>17.210000000000001</v>
      </c>
      <c r="AF76" s="223"/>
      <c r="AG76" s="224">
        <f>IFERROR(ROUND(AH75/AG74,2),0)</f>
        <v>40.5</v>
      </c>
      <c r="AH76" s="223"/>
      <c r="AI76" s="224">
        <f>IFERROR(ROUND(AJ75/AI74,2),0)</f>
        <v>0</v>
      </c>
      <c r="AJ76" s="223"/>
      <c r="AK76" s="224">
        <f>IFERROR(ROUND(AL75/AK74,2),0)</f>
        <v>0</v>
      </c>
      <c r="AL76" s="223"/>
      <c r="AM76" s="224">
        <f>IFERROR(ROUND(AN75/AM74,2),0)</f>
        <v>0</v>
      </c>
      <c r="AN76" s="223"/>
      <c r="AO76" s="224">
        <f>IFERROR(ROUND(AP75/AO74,2),0)</f>
        <v>1.5</v>
      </c>
      <c r="AP76" s="223"/>
      <c r="AQ76" s="224">
        <f>IFERROR(ROUND(AR75/AQ74,2),0)</f>
        <v>0</v>
      </c>
      <c r="AR76" s="223"/>
      <c r="AS76" s="224">
        <f>IFERROR(ROUND(AT75/AS74,2),0)</f>
        <v>0</v>
      </c>
      <c r="AT76" s="223"/>
      <c r="AU76" s="224">
        <f>IFERROR(ROUND(AV75/AU74,2),0)</f>
        <v>0</v>
      </c>
      <c r="AV76" s="223"/>
      <c r="AW76" s="224">
        <f>IFERROR(ROUND(AX75/AW74,2),0)</f>
        <v>14.58</v>
      </c>
      <c r="AX76" s="223"/>
      <c r="AY76" s="224">
        <f>IFERROR(ROUND(AZ75/AY74,2),0)</f>
        <v>11.42</v>
      </c>
      <c r="AZ76" s="223"/>
      <c r="BA76" s="224">
        <f>IFERROR(ROUND(BB75/BA74,2),0)</f>
        <v>0</v>
      </c>
      <c r="BB76" s="223"/>
      <c r="BC76" s="224">
        <f>IFERROR(ROUND(BD75/BC74,2),0)</f>
        <v>25.420000000000002</v>
      </c>
      <c r="BD76" s="223"/>
      <c r="BE76" s="224">
        <f>IFERROR(ROUND(BF75/BE74,2),0)</f>
        <v>0</v>
      </c>
      <c r="BF76" s="223"/>
      <c r="BG76" s="224">
        <f>IFERROR(ROUND(BH75/BG74,2),0)</f>
        <v>0</v>
      </c>
      <c r="BH76" s="223"/>
      <c r="BI76" s="224">
        <f>IFERROR(ROUND(BJ75/BI74,2),0)</f>
        <v>0</v>
      </c>
      <c r="BJ76" s="223"/>
      <c r="BK76" s="224">
        <f>IFERROR(ROUND(BL75/BK74,2),0)</f>
        <v>0</v>
      </c>
      <c r="BL76" s="223"/>
      <c r="BM76" s="224">
        <f>IFERROR(ROUND(BN75/BM74,2),0)</f>
        <v>0</v>
      </c>
      <c r="BN76" s="223"/>
      <c r="BO76" s="224">
        <f>IFERROR(ROUND(BP75/BO74,2),0)</f>
        <v>0</v>
      </c>
      <c r="BP76" s="223"/>
      <c r="BQ76" s="224">
        <f>IFERROR(ROUND(BR75/BQ74,2),0)</f>
        <v>0</v>
      </c>
      <c r="BR76" s="223"/>
      <c r="BS76" s="225"/>
      <c r="BT76" s="224">
        <f>IFERROR(ROUND(BU75/BT74,2),0)</f>
        <v>18.059999999999999</v>
      </c>
      <c r="BU76" s="223"/>
    </row>
    <row r="80" s="333" customFormat="1" ht="12"/>
    <row r="81" s="333" customFormat="1" ht="12"/>
    <row r="82" s="333" customFormat="1" ht="12"/>
    <row r="83" s="333" customFormat="1" ht="12"/>
    <row r="84" s="333" customFormat="1" ht="12"/>
    <row r="85" s="333" customFormat="1" ht="12"/>
    <row r="86" s="333" customFormat="1" ht="12"/>
    <row r="87" spans="7:72" s="333" customFormat="1" ht="12">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334"/>
      <c r="AP87" s="334"/>
      <c r="AQ87" s="334"/>
      <c r="AR87" s="334"/>
      <c r="AS87" s="334"/>
      <c r="AT87" s="334"/>
      <c r="AU87" s="334"/>
      <c r="AV87" s="334"/>
      <c r="AW87" s="334"/>
      <c r="AX87" s="334"/>
      <c r="AY87" s="334"/>
      <c r="AZ87" s="334"/>
      <c r="BA87" s="334"/>
      <c r="BB87" s="334"/>
      <c r="BC87" s="334"/>
      <c r="BD87" s="334"/>
      <c r="BE87" s="334"/>
      <c r="BF87" s="334"/>
      <c r="BG87" s="334"/>
      <c r="BH87" s="334"/>
      <c r="BI87" s="334"/>
      <c r="BJ87" s="334"/>
      <c r="BK87" s="334"/>
      <c r="BL87" s="334"/>
      <c r="BM87" s="334"/>
      <c r="BN87" s="334"/>
      <c r="BO87" s="334"/>
      <c r="BP87" s="334"/>
      <c r="BQ87" s="334"/>
      <c r="BR87" s="334"/>
      <c r="BS87" s="334"/>
      <c r="BT87" s="334"/>
    </row>
    <row r="88" s="333" customFormat="1" ht="12"/>
    <row r="89" s="333" customFormat="1" ht="12"/>
    <row r="90" s="333" customFormat="1" ht="12"/>
    <row r="91" s="333" customFormat="1" ht="12"/>
  </sheetData>
  <mergeCells count="5">
    <mergeCell ref="AG3:BU3"/>
    <mergeCell ref="G1:AF1"/>
    <mergeCell ref="G3:AF3"/>
    <mergeCell ref="AG1:BU1"/>
    <mergeCell ref="AG2:BU2"/>
  </mergeCells>
  <printOptions horizontalCentered="1"/>
  <pageMargins left="0.5" right="0.5" top="1.02" bottom="0.5" header="0.5" footer="0.2"/>
  <pageSetup fitToWidth="0" orientation="portrait" scale="68"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colBreaks count="1" manualBreakCount="1">
    <brk id="32" max="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U77"/>
  <sheetViews>
    <sheetView zoomScale="39" zoomScaleNormal="39" workbookViewId="0" topLeftCell="A5">
      <selection pane="topLeft" activeCell="A5" sqref="A1:XFD1048576"/>
    </sheetView>
  </sheetViews>
  <sheetFormatPr defaultColWidth="8.71428571428571" defaultRowHeight="14.25"/>
  <cols>
    <col min="1" max="1" width="6.85714285714286" style="7" bestFit="1" customWidth="1"/>
    <col min="2" max="2" width="5.71428571428571" style="7" bestFit="1" customWidth="1"/>
    <col min="3" max="3" width="5.71428571428571" style="7" hidden="1" customWidth="1"/>
    <col min="4" max="4" width="9.85714285714286" style="7" hidden="1" customWidth="1"/>
    <col min="5" max="5" width="4.57142857142857" style="7" hidden="1" customWidth="1"/>
    <col min="6" max="6" width="9.85714285714286" style="7" hidden="1" customWidth="1"/>
    <col min="7" max="7" width="9" style="7" bestFit="1" customWidth="1"/>
    <col min="8" max="8" width="10.5714285714286" style="7" bestFit="1" customWidth="1"/>
    <col min="9" max="9" width="9" style="7" bestFit="1" customWidth="1"/>
    <col min="10" max="10" width="11.5714285714286" style="7" bestFit="1" customWidth="1"/>
    <col min="11" max="11" width="6.28571428571429" style="7" hidden="1" customWidth="1"/>
    <col min="12" max="12" width="9.85714285714286" style="7" hidden="1" customWidth="1"/>
    <col min="13" max="13" width="7" style="7" bestFit="1" customWidth="1"/>
    <col min="14" max="14" width="9.85714285714286" style="7" bestFit="1" customWidth="1"/>
    <col min="15" max="15" width="4.57142857142857" style="7" hidden="1" customWidth="1"/>
    <col min="16" max="16" width="9.85714285714286" style="7" hidden="1" customWidth="1"/>
    <col min="17" max="17" width="9" style="7" bestFit="1" customWidth="1"/>
    <col min="18" max="18" width="10.5714285714286" style="7" bestFit="1" customWidth="1"/>
    <col min="19" max="19" width="8" style="7" bestFit="1" customWidth="1"/>
    <col min="20" max="20" width="10.5714285714286" style="7" bestFit="1" customWidth="1"/>
    <col min="21" max="21" width="6.28571428571429" style="7" hidden="1" customWidth="1"/>
    <col min="22" max="22" width="9.85714285714286" style="7" hidden="1" customWidth="1"/>
    <col min="23" max="23" width="9" style="7" bestFit="1" customWidth="1"/>
    <col min="24" max="24" width="10.5714285714286" style="7" bestFit="1" customWidth="1"/>
    <col min="25" max="25" width="5.71428571428571" style="7" hidden="1" customWidth="1"/>
    <col min="26" max="26" width="9.85714285714286" style="7" hidden="1" customWidth="1"/>
    <col min="27" max="27" width="8" style="7" bestFit="1" customWidth="1"/>
    <col min="28" max="28" width="10.5714285714286" style="7" bestFit="1" customWidth="1"/>
    <col min="29" max="29" width="5.71428571428571" style="7" hidden="1" customWidth="1"/>
    <col min="30" max="30" width="9.85714285714286" style="7" hidden="1" customWidth="1"/>
    <col min="31" max="31" width="8" style="7" bestFit="1" customWidth="1"/>
    <col min="32" max="32" width="9.85714285714286" style="7" bestFit="1" customWidth="1"/>
    <col min="33" max="33" width="4.57142857142857" style="7" hidden="1" customWidth="1"/>
    <col min="34" max="34" width="9.85714285714286" style="7" hidden="1" customWidth="1"/>
    <col min="35" max="35" width="4.57142857142857" style="7" hidden="1" customWidth="1"/>
    <col min="36" max="36" width="9.85714285714286" style="7" hidden="1" customWidth="1"/>
    <col min="37" max="37" width="4.57142857142857" style="7" hidden="1" customWidth="1"/>
    <col min="38" max="38" width="9.85714285714286" style="7" hidden="1" customWidth="1"/>
    <col min="39" max="39" width="8" style="7" bestFit="1" customWidth="1"/>
    <col min="40" max="40" width="9.85714285714286" style="7" bestFit="1" customWidth="1"/>
    <col min="41" max="41" width="9" style="7" bestFit="1" customWidth="1"/>
    <col min="42" max="42" width="10.5714285714286" style="7" bestFit="1" customWidth="1"/>
    <col min="43" max="43" width="5.71428571428571" style="7" hidden="1" customWidth="1"/>
    <col min="44" max="44" width="9.85714285714286" style="7" hidden="1" customWidth="1"/>
    <col min="45" max="45" width="9" style="7" bestFit="1" customWidth="1"/>
    <col min="46" max="46" width="10.5714285714286" style="7" bestFit="1" customWidth="1"/>
    <col min="47" max="47" width="8" style="7" bestFit="1" customWidth="1"/>
    <col min="48" max="48" width="9.85714285714286" style="7" bestFit="1" customWidth="1"/>
    <col min="49" max="49" width="8" style="7" bestFit="1" customWidth="1"/>
    <col min="50" max="50" width="9.85714285714286" style="7" bestFit="1" customWidth="1"/>
    <col min="51" max="51" width="9" style="7" bestFit="1" customWidth="1"/>
    <col min="52" max="52" width="10.5714285714286" style="7" bestFit="1" customWidth="1"/>
    <col min="53" max="53" width="5.71428571428571" style="7" hidden="1" customWidth="1"/>
    <col min="54" max="54" width="9.85714285714286" style="7" hidden="1" customWidth="1"/>
    <col min="55" max="55" width="7" style="7" bestFit="1" customWidth="1"/>
    <col min="56" max="56" width="9.85714285714286" style="7" bestFit="1" customWidth="1"/>
    <col min="57" max="57" width="7" style="7" bestFit="1" customWidth="1"/>
    <col min="58" max="58" width="9.85714285714286" style="7" bestFit="1" customWidth="1"/>
    <col min="59" max="59" width="9" style="7" bestFit="1" customWidth="1"/>
    <col min="60" max="60" width="10.5714285714286" style="7" bestFit="1" customWidth="1"/>
    <col min="61" max="61" width="5.71428571428571" style="7" hidden="1" customWidth="1"/>
    <col min="62" max="62" width="9.85714285714286" style="7" hidden="1" customWidth="1"/>
    <col min="63" max="63" width="8" style="7" bestFit="1" customWidth="1"/>
    <col min="64" max="64" width="9.85714285714286" style="7" bestFit="1" customWidth="1"/>
    <col min="65" max="65" width="9" style="7" bestFit="1" customWidth="1"/>
    <col min="66" max="66" width="10.5714285714286" style="7" bestFit="1" customWidth="1"/>
    <col min="67" max="67" width="8" style="7" bestFit="1" customWidth="1"/>
    <col min="68" max="68" width="10.5714285714286" style="7" bestFit="1" customWidth="1"/>
    <col min="69" max="69" width="4.57142857142857" style="7" hidden="1" customWidth="1"/>
    <col min="70" max="70" width="9.85714285714286" style="7" hidden="1" customWidth="1"/>
    <col min="71" max="71" width="2.71428571428571" style="7" customWidth="1"/>
    <col min="72" max="72" width="10.5714285714286" style="7" bestFit="1" customWidth="1"/>
    <col min="73" max="73" width="11.5714285714286" style="7" bestFit="1" customWidth="1"/>
    <col min="74" max="16384" width="8.71428571428571" style="7"/>
  </cols>
  <sheetData>
    <row r="1" spans="1:73" ht="18">
      <c r="A1" s="1"/>
      <c r="B1" s="522"/>
      <c r="C1" s="523"/>
      <c r="D1" s="523"/>
      <c r="E1" s="523"/>
      <c r="F1" s="523"/>
      <c r="G1" s="912" t="s">
        <v>56</v>
      </c>
      <c r="H1" s="912"/>
      <c r="I1" s="912"/>
      <c r="J1" s="912"/>
      <c r="K1" s="912"/>
      <c r="L1" s="912"/>
      <c r="M1" s="912"/>
      <c r="N1" s="912"/>
      <c r="O1" s="912"/>
      <c r="P1" s="912"/>
      <c r="Q1" s="912"/>
      <c r="R1" s="912"/>
      <c r="S1" s="912"/>
      <c r="T1" s="912"/>
      <c r="U1" s="912"/>
      <c r="V1" s="912"/>
      <c r="W1" s="912"/>
      <c r="X1" s="912"/>
      <c r="Y1" s="912"/>
      <c r="Z1" s="912"/>
      <c r="AA1" s="912"/>
      <c r="AB1" s="912"/>
      <c r="AC1" s="523"/>
      <c r="AD1" s="523"/>
      <c r="AE1" s="912" t="str">
        <f>G1</f>
        <v>FLORIDA PUBLIC UTILITIES - CONSOLIDATED NATURAL GAS</v>
      </c>
      <c r="AF1" s="912"/>
      <c r="AG1" s="912"/>
      <c r="AH1" s="912"/>
      <c r="AI1" s="912"/>
      <c r="AJ1" s="912"/>
      <c r="AK1" s="912"/>
      <c r="AL1" s="912"/>
      <c r="AM1" s="912"/>
      <c r="AN1" s="912"/>
      <c r="AO1" s="912"/>
      <c r="AP1" s="912"/>
      <c r="AQ1" s="912"/>
      <c r="AR1" s="912"/>
      <c r="AS1" s="912"/>
      <c r="AT1" s="912"/>
      <c r="AU1" s="912"/>
      <c r="AV1" s="912"/>
      <c r="AW1" s="912"/>
      <c r="AX1" s="912"/>
      <c r="AY1" s="912"/>
      <c r="AZ1" s="912"/>
      <c r="BA1" s="523"/>
      <c r="BB1" s="523"/>
      <c r="BC1" s="912" t="str">
        <f>AE1</f>
        <v>FLORIDA PUBLIC UTILITIES - CONSOLIDATED NATURAL GAS</v>
      </c>
      <c r="BD1" s="912"/>
      <c r="BE1" s="912"/>
      <c r="BF1" s="912"/>
      <c r="BG1" s="912"/>
      <c r="BH1" s="912"/>
      <c r="BI1" s="912"/>
      <c r="BJ1" s="912"/>
      <c r="BK1" s="912"/>
      <c r="BL1" s="912"/>
      <c r="BM1" s="912"/>
      <c r="BN1" s="912"/>
      <c r="BO1" s="912"/>
      <c r="BP1" s="912"/>
      <c r="BQ1" s="912"/>
      <c r="BR1" s="912"/>
      <c r="BS1" s="912"/>
      <c r="BT1" s="912"/>
      <c r="BU1" s="912"/>
    </row>
    <row r="2" spans="1:73" ht="14.45" customHeight="1">
      <c r="A2" s="1"/>
      <c r="B2" s="524"/>
      <c r="C2" s="524"/>
      <c r="D2" s="524"/>
      <c r="E2" s="524"/>
      <c r="F2" s="524"/>
      <c r="G2" s="913" t="s">
        <v>649</v>
      </c>
      <c r="H2" s="913"/>
      <c r="I2" s="913"/>
      <c r="J2" s="913"/>
      <c r="K2" s="913"/>
      <c r="L2" s="913"/>
      <c r="M2" s="913"/>
      <c r="N2" s="913"/>
      <c r="O2" s="913"/>
      <c r="P2" s="913"/>
      <c r="Q2" s="913"/>
      <c r="R2" s="913"/>
      <c r="S2" s="913"/>
      <c r="T2" s="913"/>
      <c r="U2" s="913"/>
      <c r="V2" s="913"/>
      <c r="W2" s="913"/>
      <c r="X2" s="913"/>
      <c r="Y2" s="913"/>
      <c r="Z2" s="913"/>
      <c r="AA2" s="913"/>
      <c r="AB2" s="913"/>
      <c r="AC2" s="524"/>
      <c r="AD2" s="524"/>
      <c r="AE2" s="913" t="str">
        <f>G2</f>
        <v xml:space="preserve">FPUC, FPUC - Common, FPUC - Indiantown, Florida Division of Chesapeake Utilities Corporation, FPUC - Ft Meade      </v>
      </c>
      <c r="AF2" s="913"/>
      <c r="AG2" s="913"/>
      <c r="AH2" s="913"/>
      <c r="AI2" s="913"/>
      <c r="AJ2" s="913"/>
      <c r="AK2" s="913"/>
      <c r="AL2" s="913"/>
      <c r="AM2" s="913"/>
      <c r="AN2" s="913"/>
      <c r="AO2" s="913"/>
      <c r="AP2" s="913"/>
      <c r="AQ2" s="913"/>
      <c r="AR2" s="913"/>
      <c r="AS2" s="913"/>
      <c r="AT2" s="913"/>
      <c r="AU2" s="913"/>
      <c r="AV2" s="913"/>
      <c r="AW2" s="913"/>
      <c r="AX2" s="913"/>
      <c r="AY2" s="913"/>
      <c r="AZ2" s="913"/>
      <c r="BA2" s="524"/>
      <c r="BB2" s="524"/>
      <c r="BC2" s="913" t="str">
        <f>AE2</f>
        <v xml:space="preserve">FPUC, FPUC - Common, FPUC - Indiantown, Florida Division of Chesapeake Utilities Corporation, FPUC - Ft Meade      </v>
      </c>
      <c r="BD2" s="913"/>
      <c r="BE2" s="913"/>
      <c r="BF2" s="913"/>
      <c r="BG2" s="913"/>
      <c r="BH2" s="913"/>
      <c r="BI2" s="913"/>
      <c r="BJ2" s="913"/>
      <c r="BK2" s="913"/>
      <c r="BL2" s="913"/>
      <c r="BM2" s="913"/>
      <c r="BN2" s="913"/>
      <c r="BO2" s="913"/>
      <c r="BP2" s="913"/>
      <c r="BQ2" s="913"/>
      <c r="BR2" s="913"/>
      <c r="BS2" s="913"/>
      <c r="BT2" s="913"/>
      <c r="BU2" s="913"/>
    </row>
    <row r="3" spans="1:73" ht="15.75">
      <c r="A3" s="1"/>
      <c r="B3" s="525"/>
      <c r="C3" s="525"/>
      <c r="D3" s="525"/>
      <c r="E3" s="525"/>
      <c r="F3" s="525"/>
      <c r="G3" s="911" t="s">
        <v>650</v>
      </c>
      <c r="H3" s="911"/>
      <c r="I3" s="911"/>
      <c r="J3" s="911"/>
      <c r="K3" s="911"/>
      <c r="L3" s="911"/>
      <c r="M3" s="911"/>
      <c r="N3" s="911"/>
      <c r="O3" s="911"/>
      <c r="P3" s="911"/>
      <c r="Q3" s="911"/>
      <c r="R3" s="911"/>
      <c r="S3" s="911"/>
      <c r="T3" s="911"/>
      <c r="U3" s="911"/>
      <c r="V3" s="911"/>
      <c r="W3" s="911"/>
      <c r="X3" s="911"/>
      <c r="Y3" s="911"/>
      <c r="Z3" s="911"/>
      <c r="AA3" s="911"/>
      <c r="AB3" s="911"/>
      <c r="AC3" s="525"/>
      <c r="AD3" s="525"/>
      <c r="AE3" s="911" t="str">
        <f>G3</f>
        <v>ACTUAL 2019 RETIREMENTS</v>
      </c>
      <c r="AF3" s="911"/>
      <c r="AG3" s="911"/>
      <c r="AH3" s="911"/>
      <c r="AI3" s="911"/>
      <c r="AJ3" s="911"/>
      <c r="AK3" s="911"/>
      <c r="AL3" s="911"/>
      <c r="AM3" s="911"/>
      <c r="AN3" s="911"/>
      <c r="AO3" s="911"/>
      <c r="AP3" s="911"/>
      <c r="AQ3" s="911"/>
      <c r="AR3" s="911"/>
      <c r="AS3" s="911"/>
      <c r="AT3" s="911"/>
      <c r="AU3" s="911"/>
      <c r="AV3" s="911"/>
      <c r="AW3" s="911"/>
      <c r="AX3" s="911"/>
      <c r="AY3" s="911"/>
      <c r="AZ3" s="911"/>
      <c r="BA3" s="525"/>
      <c r="BB3" s="525"/>
      <c r="BC3" s="911" t="str">
        <f>AE3</f>
        <v>ACTUAL 2019 RETIREMENTS</v>
      </c>
      <c r="BD3" s="911"/>
      <c r="BE3" s="911"/>
      <c r="BF3" s="911"/>
      <c r="BG3" s="911"/>
      <c r="BH3" s="911"/>
      <c r="BI3" s="911"/>
      <c r="BJ3" s="911"/>
      <c r="BK3" s="911"/>
      <c r="BL3" s="911"/>
      <c r="BM3" s="911"/>
      <c r="BN3" s="911"/>
      <c r="BO3" s="911"/>
      <c r="BP3" s="911"/>
      <c r="BQ3" s="911"/>
      <c r="BR3" s="911"/>
      <c r="BS3" s="911"/>
      <c r="BT3" s="911"/>
      <c r="BU3" s="911"/>
    </row>
    <row r="5" spans="1:73" ht="15.75">
      <c r="A5" s="247" t="s">
        <v>169</v>
      </c>
      <c r="B5" s="527" t="s">
        <v>72</v>
      </c>
      <c r="C5" s="526">
        <v>3741</v>
      </c>
      <c r="D5" s="242" t="s">
        <v>170</v>
      </c>
      <c r="E5" s="243">
        <v>375</v>
      </c>
      <c r="F5" s="242" t="s">
        <v>170</v>
      </c>
      <c r="G5" s="243">
        <v>3761</v>
      </c>
      <c r="H5" s="242" t="s">
        <v>170</v>
      </c>
      <c r="I5" s="243">
        <v>3762</v>
      </c>
      <c r="J5" s="242" t="s">
        <v>170</v>
      </c>
      <c r="K5" s="243" t="s">
        <v>87</v>
      </c>
      <c r="L5" s="242" t="s">
        <v>170</v>
      </c>
      <c r="M5" s="243">
        <v>378</v>
      </c>
      <c r="N5" s="242" t="s">
        <v>170</v>
      </c>
      <c r="O5" s="243">
        <v>379</v>
      </c>
      <c r="P5" s="242" t="s">
        <v>170</v>
      </c>
      <c r="Q5" s="243">
        <v>3801</v>
      </c>
      <c r="R5" s="242" t="s">
        <v>170</v>
      </c>
      <c r="S5" s="243">
        <v>3802</v>
      </c>
      <c r="T5" s="242" t="s">
        <v>170</v>
      </c>
      <c r="U5" s="243" t="s">
        <v>95</v>
      </c>
      <c r="V5" s="242" t="s">
        <v>170</v>
      </c>
      <c r="W5" s="245">
        <v>381</v>
      </c>
      <c r="X5" s="242" t="s">
        <v>170</v>
      </c>
      <c r="Y5" s="245">
        <v>3811</v>
      </c>
      <c r="Z5" s="242" t="s">
        <v>170</v>
      </c>
      <c r="AA5" s="243">
        <v>382</v>
      </c>
      <c r="AB5" s="242" t="s">
        <v>170</v>
      </c>
      <c r="AC5" s="243">
        <v>3821</v>
      </c>
      <c r="AD5" s="242" t="s">
        <v>170</v>
      </c>
      <c r="AE5" s="243">
        <v>383</v>
      </c>
      <c r="AF5" s="242" t="s">
        <v>170</v>
      </c>
      <c r="AG5" s="243">
        <v>384</v>
      </c>
      <c r="AH5" s="242" t="s">
        <v>170</v>
      </c>
      <c r="AI5" s="243">
        <v>385</v>
      </c>
      <c r="AJ5" s="242" t="s">
        <v>170</v>
      </c>
      <c r="AK5" s="243">
        <v>387</v>
      </c>
      <c r="AL5" s="242" t="s">
        <v>170</v>
      </c>
      <c r="AM5" s="243">
        <v>390</v>
      </c>
      <c r="AN5" s="242" t="s">
        <v>170</v>
      </c>
      <c r="AO5" s="243">
        <v>3910</v>
      </c>
      <c r="AP5" s="242" t="s">
        <v>170</v>
      </c>
      <c r="AQ5" s="243">
        <v>3912</v>
      </c>
      <c r="AR5" s="242" t="s">
        <v>170</v>
      </c>
      <c r="AS5" s="243">
        <v>3913</v>
      </c>
      <c r="AT5" s="242" t="s">
        <v>170</v>
      </c>
      <c r="AU5" s="243">
        <v>3914</v>
      </c>
      <c r="AV5" s="242" t="s">
        <v>170</v>
      </c>
      <c r="AW5" s="243">
        <v>3921</v>
      </c>
      <c r="AX5" s="242" t="s">
        <v>170</v>
      </c>
      <c r="AY5" s="243">
        <v>3922</v>
      </c>
      <c r="AZ5" s="242" t="s">
        <v>170</v>
      </c>
      <c r="BA5" s="243">
        <v>3923</v>
      </c>
      <c r="BB5" s="242" t="s">
        <v>170</v>
      </c>
      <c r="BC5" s="243">
        <v>3924</v>
      </c>
      <c r="BD5" s="242" t="s">
        <v>170</v>
      </c>
      <c r="BE5" s="243">
        <v>3930</v>
      </c>
      <c r="BF5" s="242" t="s">
        <v>170</v>
      </c>
      <c r="BG5" s="243">
        <v>3940</v>
      </c>
      <c r="BH5" s="242" t="s">
        <v>170</v>
      </c>
      <c r="BI5" s="243">
        <v>3950</v>
      </c>
      <c r="BJ5" s="242" t="s">
        <v>170</v>
      </c>
      <c r="BK5" s="243">
        <v>3960</v>
      </c>
      <c r="BL5" s="242" t="s">
        <v>170</v>
      </c>
      <c r="BM5" s="243">
        <v>3970</v>
      </c>
      <c r="BN5" s="242" t="s">
        <v>170</v>
      </c>
      <c r="BO5" s="243">
        <v>398</v>
      </c>
      <c r="BP5" s="242" t="s">
        <v>170</v>
      </c>
      <c r="BQ5" s="243">
        <v>399</v>
      </c>
      <c r="BR5" s="242" t="s">
        <v>170</v>
      </c>
      <c r="BS5" s="244"/>
      <c r="BT5" s="243" t="s">
        <v>171</v>
      </c>
      <c r="BU5" s="242" t="s">
        <v>170</v>
      </c>
    </row>
    <row r="6" spans="1:73" ht="14.25">
      <c r="A6" s="241">
        <v>1930</v>
      </c>
      <c r="B6" s="528">
        <f>$A$74-A6+0.5</f>
        <v>89.5</v>
      </c>
      <c r="C6" s="193"/>
      <c r="D6" s="238">
        <f>+C6*$B6</f>
        <v>0</v>
      </c>
      <c r="E6" s="193">
        <v>0</v>
      </c>
      <c r="F6" s="238">
        <f>+E6*$B6</f>
        <v>0</v>
      </c>
      <c r="G6" s="193">
        <v>0</v>
      </c>
      <c r="H6" s="238">
        <f>+G6*$B6</f>
        <v>0</v>
      </c>
      <c r="I6" s="193">
        <v>0</v>
      </c>
      <c r="J6" s="238">
        <f>+I6*$B6</f>
        <v>0</v>
      </c>
      <c r="K6" s="193">
        <v>0</v>
      </c>
      <c r="L6" s="238">
        <f>+K6*$B6</f>
        <v>0</v>
      </c>
      <c r="M6" s="193">
        <v>0</v>
      </c>
      <c r="N6" s="238">
        <f>+M6*$B6</f>
        <v>0</v>
      </c>
      <c r="O6" s="193">
        <v>0</v>
      </c>
      <c r="P6" s="238">
        <f>+O6*$B6</f>
        <v>0</v>
      </c>
      <c r="Q6" s="193">
        <v>0</v>
      </c>
      <c r="R6" s="238">
        <f>+Q6*$B6</f>
        <v>0</v>
      </c>
      <c r="S6" s="193">
        <v>0</v>
      </c>
      <c r="T6" s="238">
        <f>+S6*$B6</f>
        <v>0</v>
      </c>
      <c r="U6" s="193">
        <v>0</v>
      </c>
      <c r="V6" s="238">
        <f>+U6*$B6</f>
        <v>0</v>
      </c>
      <c r="W6" s="193">
        <v>0</v>
      </c>
      <c r="X6" s="238">
        <f>+W6*$B6</f>
        <v>0</v>
      </c>
      <c r="Y6" s="193">
        <v>0</v>
      </c>
      <c r="Z6" s="238">
        <f>+Y6*$B6</f>
        <v>0</v>
      </c>
      <c r="AA6" s="193">
        <v>16447.5</v>
      </c>
      <c r="AB6" s="238">
        <f>+AA6*$B6</f>
        <v>1472051.25</v>
      </c>
      <c r="AC6" s="193">
        <v>0</v>
      </c>
      <c r="AD6" s="238">
        <f>+AC6*$B6</f>
        <v>0</v>
      </c>
      <c r="AE6" s="193">
        <v>0</v>
      </c>
      <c r="AF6" s="238">
        <f>+AE6*$B6</f>
        <v>0</v>
      </c>
      <c r="AG6" s="193">
        <v>0</v>
      </c>
      <c r="AH6" s="238">
        <f>+AG6*$B6</f>
        <v>0</v>
      </c>
      <c r="AI6" s="193">
        <v>0</v>
      </c>
      <c r="AJ6" s="238">
        <f>+AI6*$B6</f>
        <v>0</v>
      </c>
      <c r="AK6" s="193">
        <v>0</v>
      </c>
      <c r="AL6" s="238">
        <f>+AK6*$B6</f>
        <v>0</v>
      </c>
      <c r="AM6" s="193">
        <v>0</v>
      </c>
      <c r="AN6" s="238">
        <f>+AM6*$B6</f>
        <v>0</v>
      </c>
      <c r="AO6" s="193">
        <v>0</v>
      </c>
      <c r="AP6" s="238">
        <f>+AO6*$B6</f>
        <v>0</v>
      </c>
      <c r="AQ6" s="193">
        <v>0</v>
      </c>
      <c r="AR6" s="238">
        <f>+AQ6*$B6</f>
        <v>0</v>
      </c>
      <c r="AS6" s="193">
        <v>0</v>
      </c>
      <c r="AT6" s="238">
        <f>+AS6*$B6</f>
        <v>0</v>
      </c>
      <c r="AU6" s="193">
        <v>0</v>
      </c>
      <c r="AV6" s="238">
        <f>+AU6*$B6</f>
        <v>0</v>
      </c>
      <c r="AW6" s="193">
        <v>0</v>
      </c>
      <c r="AX6" s="238">
        <f>+AW6*$B6</f>
        <v>0</v>
      </c>
      <c r="AY6" s="193">
        <v>0</v>
      </c>
      <c r="AZ6" s="238">
        <f>+AY6*$B6</f>
        <v>0</v>
      </c>
      <c r="BA6" s="193">
        <v>0</v>
      </c>
      <c r="BB6" s="238">
        <f>+BA6*$B6</f>
        <v>0</v>
      </c>
      <c r="BC6" s="193">
        <v>0</v>
      </c>
      <c r="BD6" s="238">
        <f>+BC6*$B6</f>
        <v>0</v>
      </c>
      <c r="BE6" s="193">
        <v>0</v>
      </c>
      <c r="BF6" s="238">
        <f>+BE6*$B6</f>
        <v>0</v>
      </c>
      <c r="BG6" s="193">
        <v>0</v>
      </c>
      <c r="BH6" s="238">
        <f>+BG6*$B6</f>
        <v>0</v>
      </c>
      <c r="BI6" s="193">
        <v>0</v>
      </c>
      <c r="BJ6" s="238">
        <f>+BI6*$B6</f>
        <v>0</v>
      </c>
      <c r="BK6" s="193">
        <v>0</v>
      </c>
      <c r="BL6" s="238">
        <f>+BK6*$B6</f>
        <v>0</v>
      </c>
      <c r="BM6" s="193">
        <v>0</v>
      </c>
      <c r="BN6" s="238">
        <f>+BM6*$B6</f>
        <v>0</v>
      </c>
      <c r="BO6" s="193">
        <v>0</v>
      </c>
      <c r="BP6" s="238">
        <f>+BO6*$B6</f>
        <v>0</v>
      </c>
      <c r="BQ6" s="193">
        <v>0</v>
      </c>
      <c r="BR6" s="238">
        <f>+BQ6*$B6</f>
        <v>0</v>
      </c>
      <c r="BS6" s="225"/>
      <c r="BT6" s="239">
        <f>+BO6+BM6+BK6+BG6+BE6+BC6+AY6+AW6+AS6+AQ6+AO6+AM6+AK6+AI6+AG6+AE6+AA6+C6+E6+G6+I6+M6+O6+Q6+S6+W6+BQ6+AC6+Y6+BI6+BA6+K6+U6+AU6</f>
        <v>16447.5</v>
      </c>
      <c r="BU6" s="238">
        <f t="shared" si="0" ref="BU6:BU37">+BT6*$B6</f>
        <v>1472051.25</v>
      </c>
    </row>
    <row r="7" spans="1:73" ht="14.25">
      <c r="A7" s="241">
        <v>1940</v>
      </c>
      <c r="B7" s="528">
        <f t="shared" si="1" ref="B7:B37">$A$74-A7+0.5</f>
        <v>79.5</v>
      </c>
      <c r="C7" s="193">
        <v>0</v>
      </c>
      <c r="D7" s="238">
        <f t="shared" si="2" ref="D7:D70">+C7*$B7</f>
        <v>0</v>
      </c>
      <c r="E7" s="193">
        <v>0</v>
      </c>
      <c r="F7" s="238">
        <f t="shared" si="3" ref="F7:F70">+E7*$B7</f>
        <v>0</v>
      </c>
      <c r="G7" s="193">
        <v>0</v>
      </c>
      <c r="H7" s="238">
        <f t="shared" si="4" ref="H7:H70">+G7*$B7</f>
        <v>0</v>
      </c>
      <c r="I7" s="193">
        <v>9049.7199999999993</v>
      </c>
      <c r="J7" s="238">
        <f t="shared" si="5" ref="J7:J70">+I7*$B7</f>
        <v>719452.73999999999</v>
      </c>
      <c r="K7" s="193">
        <v>0</v>
      </c>
      <c r="L7" s="238">
        <f t="shared" si="6" ref="L7:L70">+K7*$B7</f>
        <v>0</v>
      </c>
      <c r="M7" s="193">
        <v>0</v>
      </c>
      <c r="N7" s="238">
        <f t="shared" si="7" ref="N7:N70">+M7*$B7</f>
        <v>0</v>
      </c>
      <c r="O7" s="193">
        <v>0</v>
      </c>
      <c r="P7" s="238">
        <f t="shared" si="8" ref="P7:P70">+O7*$B7</f>
        <v>0</v>
      </c>
      <c r="Q7" s="193">
        <v>0</v>
      </c>
      <c r="R7" s="238">
        <f t="shared" si="9" ref="R7:R70">+Q7*$B7</f>
        <v>0</v>
      </c>
      <c r="S7" s="193">
        <v>311.12</v>
      </c>
      <c r="T7" s="238">
        <f t="shared" si="10" ref="T7:T70">+S7*$B7</f>
        <v>24734.040000000001</v>
      </c>
      <c r="U7" s="193">
        <v>0</v>
      </c>
      <c r="V7" s="238">
        <f t="shared" si="11" ref="V7:V70">+U7*$B7</f>
        <v>0</v>
      </c>
      <c r="W7" s="193">
        <v>0</v>
      </c>
      <c r="X7" s="238">
        <f t="shared" si="12" ref="X7:X70">+W7*$B7</f>
        <v>0</v>
      </c>
      <c r="Y7" s="193">
        <v>0</v>
      </c>
      <c r="Z7" s="238">
        <f t="shared" si="13" ref="Z7:Z70">+Y7*$B7</f>
        <v>0</v>
      </c>
      <c r="AA7" s="193">
        <v>0</v>
      </c>
      <c r="AB7" s="238">
        <f t="shared" si="14" ref="AB7:AB70">+AA7*$B7</f>
        <v>0</v>
      </c>
      <c r="AC7" s="193">
        <v>0</v>
      </c>
      <c r="AD7" s="238">
        <f t="shared" si="15" ref="AD7:AD70">+AC7*$B7</f>
        <v>0</v>
      </c>
      <c r="AE7" s="193">
        <v>0</v>
      </c>
      <c r="AF7" s="238">
        <f t="shared" si="16" ref="AF7:AF70">+AE7*$B7</f>
        <v>0</v>
      </c>
      <c r="AG7" s="193">
        <v>0</v>
      </c>
      <c r="AH7" s="238">
        <f t="shared" si="17" ref="AH7:AH70">+AG7*$B7</f>
        <v>0</v>
      </c>
      <c r="AI7" s="193">
        <v>0</v>
      </c>
      <c r="AJ7" s="238">
        <f t="shared" si="18" ref="AJ7:AJ70">+AI7*$B7</f>
        <v>0</v>
      </c>
      <c r="AK7" s="193">
        <v>0</v>
      </c>
      <c r="AL7" s="238">
        <f t="shared" si="19" ref="AL7:AL70">+AK7*$B7</f>
        <v>0</v>
      </c>
      <c r="AM7" s="193">
        <v>0</v>
      </c>
      <c r="AN7" s="238">
        <f t="shared" si="20" ref="AN7:AN70">+AM7*$B7</f>
        <v>0</v>
      </c>
      <c r="AO7" s="193">
        <v>0</v>
      </c>
      <c r="AP7" s="238">
        <f t="shared" si="21" ref="AP7:AP70">+AO7*$B7</f>
        <v>0</v>
      </c>
      <c r="AQ7" s="193">
        <v>0</v>
      </c>
      <c r="AR7" s="238">
        <f t="shared" si="22" ref="AR7:AR70">+AQ7*$B7</f>
        <v>0</v>
      </c>
      <c r="AS7" s="193">
        <v>0</v>
      </c>
      <c r="AT7" s="238">
        <f t="shared" si="23" ref="AT7:AT70">+AS7*$B7</f>
        <v>0</v>
      </c>
      <c r="AU7" s="193">
        <v>0</v>
      </c>
      <c r="AV7" s="238">
        <f t="shared" si="24" ref="AV7:AV70">+AU7*$B7</f>
        <v>0</v>
      </c>
      <c r="AW7" s="193">
        <v>0</v>
      </c>
      <c r="AX7" s="238">
        <f t="shared" si="25" ref="AX7:AX70">+AW7*$B7</f>
        <v>0</v>
      </c>
      <c r="AY7" s="193">
        <v>0</v>
      </c>
      <c r="AZ7" s="238">
        <f t="shared" si="26" ref="AZ7:AZ70">+AY7*$B7</f>
        <v>0</v>
      </c>
      <c r="BA7" s="193">
        <v>0</v>
      </c>
      <c r="BB7" s="238">
        <f t="shared" si="27" ref="BB7:BB70">+BA7*$B7</f>
        <v>0</v>
      </c>
      <c r="BC7" s="193">
        <v>0</v>
      </c>
      <c r="BD7" s="238">
        <f t="shared" si="28" ref="BD7:BD70">+BC7*$B7</f>
        <v>0</v>
      </c>
      <c r="BE7" s="193">
        <v>0</v>
      </c>
      <c r="BF7" s="238">
        <f t="shared" si="29" ref="BF7:BF70">+BE7*$B7</f>
        <v>0</v>
      </c>
      <c r="BG7" s="193">
        <v>0</v>
      </c>
      <c r="BH7" s="238">
        <f t="shared" si="30" ref="BH7:BH70">+BG7*$B7</f>
        <v>0</v>
      </c>
      <c r="BI7" s="193">
        <v>0</v>
      </c>
      <c r="BJ7" s="238">
        <f t="shared" si="31" ref="BJ7:BJ70">+BI7*$B7</f>
        <v>0</v>
      </c>
      <c r="BK7" s="193">
        <v>0</v>
      </c>
      <c r="BL7" s="238">
        <f t="shared" si="32" ref="BL7:BL70">+BK7*$B7</f>
        <v>0</v>
      </c>
      <c r="BM7" s="193">
        <v>0</v>
      </c>
      <c r="BN7" s="238">
        <f t="shared" si="33" ref="BN7:BN70">+BM7*$B7</f>
        <v>0</v>
      </c>
      <c r="BO7" s="193">
        <v>0</v>
      </c>
      <c r="BP7" s="238">
        <f t="shared" si="34" ref="BP7:BP70">+BO7*$B7</f>
        <v>0</v>
      </c>
      <c r="BQ7" s="193">
        <v>0</v>
      </c>
      <c r="BR7" s="238">
        <f t="shared" si="35" ref="BR7:BR70">+BQ7*$B7</f>
        <v>0</v>
      </c>
      <c r="BS7" s="225"/>
      <c r="BT7" s="239">
        <f t="shared" si="36" ref="BT7:BT70">+BO7+BM7+BK7+BG7+BE7+BC7+AY7+AW7+AS7+AQ7+AO7+AM7+AK7+AI7+AG7+AE7+AA7+C7+E7+G7+I7+M7+O7+Q7+S7+W7+BQ7+AC7+Y7+BI7+BA7+K7+U7+AU7</f>
        <v>9360.8400000000001</v>
      </c>
      <c r="BU7" s="238">
        <f t="shared" si="0"/>
        <v>744186.78000000003</v>
      </c>
    </row>
    <row r="8" spans="1:73" ht="14.25">
      <c r="A8" s="241">
        <v>1947</v>
      </c>
      <c r="B8" s="528">
        <f t="shared" si="1"/>
        <v>72.5</v>
      </c>
      <c r="C8" s="193">
        <v>0</v>
      </c>
      <c r="D8" s="238">
        <f t="shared" si="2"/>
        <v>0</v>
      </c>
      <c r="E8" s="193">
        <v>0</v>
      </c>
      <c r="F8" s="238">
        <f t="shared" si="3"/>
        <v>0</v>
      </c>
      <c r="G8" s="193">
        <v>0</v>
      </c>
      <c r="H8" s="238">
        <f t="shared" si="4"/>
        <v>0</v>
      </c>
      <c r="I8" s="193">
        <v>0</v>
      </c>
      <c r="J8" s="238">
        <f t="shared" si="5"/>
        <v>0</v>
      </c>
      <c r="K8" s="193">
        <v>0</v>
      </c>
      <c r="L8" s="238">
        <f t="shared" si="6"/>
        <v>0</v>
      </c>
      <c r="M8" s="193">
        <v>0</v>
      </c>
      <c r="N8" s="238">
        <f t="shared" si="7"/>
        <v>0</v>
      </c>
      <c r="O8" s="193">
        <v>0</v>
      </c>
      <c r="P8" s="238">
        <f t="shared" si="8"/>
        <v>0</v>
      </c>
      <c r="Q8" s="193">
        <v>0</v>
      </c>
      <c r="R8" s="238">
        <f t="shared" si="9"/>
        <v>0</v>
      </c>
      <c r="S8" s="193">
        <v>862.17999999999995</v>
      </c>
      <c r="T8" s="238">
        <f t="shared" si="10"/>
        <v>62508.049999999996</v>
      </c>
      <c r="U8" s="193">
        <v>0</v>
      </c>
      <c r="V8" s="238">
        <f t="shared" si="11"/>
        <v>0</v>
      </c>
      <c r="W8" s="193">
        <v>0</v>
      </c>
      <c r="X8" s="238">
        <f t="shared" si="12"/>
        <v>0</v>
      </c>
      <c r="Y8" s="193">
        <v>0</v>
      </c>
      <c r="Z8" s="238">
        <f t="shared" si="13"/>
        <v>0</v>
      </c>
      <c r="AA8" s="193">
        <v>0</v>
      </c>
      <c r="AB8" s="238">
        <f t="shared" si="14"/>
        <v>0</v>
      </c>
      <c r="AC8" s="193">
        <v>0</v>
      </c>
      <c r="AD8" s="238">
        <f t="shared" si="15"/>
        <v>0</v>
      </c>
      <c r="AE8" s="193">
        <v>0</v>
      </c>
      <c r="AF8" s="238">
        <f t="shared" si="16"/>
        <v>0</v>
      </c>
      <c r="AG8" s="193">
        <v>0</v>
      </c>
      <c r="AH8" s="238">
        <f t="shared" si="17"/>
        <v>0</v>
      </c>
      <c r="AI8" s="193">
        <v>0</v>
      </c>
      <c r="AJ8" s="238">
        <f t="shared" si="18"/>
        <v>0</v>
      </c>
      <c r="AK8" s="193">
        <v>0</v>
      </c>
      <c r="AL8" s="238">
        <f t="shared" si="19"/>
        <v>0</v>
      </c>
      <c r="AM8" s="193">
        <v>0</v>
      </c>
      <c r="AN8" s="238">
        <f t="shared" si="20"/>
        <v>0</v>
      </c>
      <c r="AO8" s="193">
        <v>0</v>
      </c>
      <c r="AP8" s="238">
        <f t="shared" si="21"/>
        <v>0</v>
      </c>
      <c r="AQ8" s="193">
        <v>0</v>
      </c>
      <c r="AR8" s="238">
        <f t="shared" si="22"/>
        <v>0</v>
      </c>
      <c r="AS8" s="193">
        <v>0</v>
      </c>
      <c r="AT8" s="238">
        <f t="shared" si="23"/>
        <v>0</v>
      </c>
      <c r="AU8" s="193">
        <v>0</v>
      </c>
      <c r="AV8" s="238">
        <f t="shared" si="24"/>
        <v>0</v>
      </c>
      <c r="AW8" s="193">
        <v>0</v>
      </c>
      <c r="AX8" s="238">
        <f t="shared" si="25"/>
        <v>0</v>
      </c>
      <c r="AY8" s="193">
        <v>0</v>
      </c>
      <c r="AZ8" s="238">
        <f t="shared" si="26"/>
        <v>0</v>
      </c>
      <c r="BA8" s="193">
        <v>0</v>
      </c>
      <c r="BB8" s="238">
        <f t="shared" si="27"/>
        <v>0</v>
      </c>
      <c r="BC8" s="193">
        <v>0</v>
      </c>
      <c r="BD8" s="238">
        <f t="shared" si="28"/>
        <v>0</v>
      </c>
      <c r="BE8" s="193">
        <v>0</v>
      </c>
      <c r="BF8" s="238">
        <f t="shared" si="29"/>
        <v>0</v>
      </c>
      <c r="BG8" s="193">
        <v>0</v>
      </c>
      <c r="BH8" s="238">
        <f t="shared" si="30"/>
        <v>0</v>
      </c>
      <c r="BI8" s="193">
        <v>0</v>
      </c>
      <c r="BJ8" s="238">
        <f t="shared" si="31"/>
        <v>0</v>
      </c>
      <c r="BK8" s="193">
        <v>0</v>
      </c>
      <c r="BL8" s="238">
        <f t="shared" si="32"/>
        <v>0</v>
      </c>
      <c r="BM8" s="193">
        <v>0</v>
      </c>
      <c r="BN8" s="238">
        <f t="shared" si="33"/>
        <v>0</v>
      </c>
      <c r="BO8" s="193">
        <v>0</v>
      </c>
      <c r="BP8" s="238">
        <f t="shared" si="34"/>
        <v>0</v>
      </c>
      <c r="BQ8" s="193">
        <v>0</v>
      </c>
      <c r="BR8" s="238">
        <f t="shared" si="35"/>
        <v>0</v>
      </c>
      <c r="BS8" s="225"/>
      <c r="BT8" s="239">
        <f t="shared" si="36"/>
        <v>862.17999999999995</v>
      </c>
      <c r="BU8" s="238">
        <f t="shared" si="0"/>
        <v>62508.049999999996</v>
      </c>
    </row>
    <row r="9" spans="1:73" ht="14.25">
      <c r="A9" s="241">
        <v>1948</v>
      </c>
      <c r="B9" s="528">
        <f t="shared" si="1"/>
        <v>71.5</v>
      </c>
      <c r="C9" s="193">
        <v>0</v>
      </c>
      <c r="D9" s="238">
        <f t="shared" si="2"/>
        <v>0</v>
      </c>
      <c r="E9" s="193">
        <v>0</v>
      </c>
      <c r="F9" s="238">
        <f t="shared" si="3"/>
        <v>0</v>
      </c>
      <c r="G9" s="193">
        <v>0</v>
      </c>
      <c r="H9" s="238">
        <f t="shared" si="4"/>
        <v>0</v>
      </c>
      <c r="I9" s="193">
        <v>0</v>
      </c>
      <c r="J9" s="238">
        <f t="shared" si="5"/>
        <v>0</v>
      </c>
      <c r="K9" s="193">
        <v>0</v>
      </c>
      <c r="L9" s="238">
        <f t="shared" si="6"/>
        <v>0</v>
      </c>
      <c r="M9" s="193">
        <v>0</v>
      </c>
      <c r="N9" s="238">
        <f t="shared" si="7"/>
        <v>0</v>
      </c>
      <c r="O9" s="193">
        <v>0</v>
      </c>
      <c r="P9" s="238">
        <f t="shared" si="8"/>
        <v>0</v>
      </c>
      <c r="Q9" s="193">
        <v>0</v>
      </c>
      <c r="R9" s="238">
        <f t="shared" si="9"/>
        <v>0</v>
      </c>
      <c r="S9" s="193">
        <v>1214.03</v>
      </c>
      <c r="T9" s="238">
        <f t="shared" si="10"/>
        <v>86803.145000000004</v>
      </c>
      <c r="U9" s="193">
        <v>0</v>
      </c>
      <c r="V9" s="238">
        <f t="shared" si="11"/>
        <v>0</v>
      </c>
      <c r="W9" s="193">
        <v>0</v>
      </c>
      <c r="X9" s="238">
        <f t="shared" si="12"/>
        <v>0</v>
      </c>
      <c r="Y9" s="193">
        <v>0</v>
      </c>
      <c r="Z9" s="238">
        <f t="shared" si="13"/>
        <v>0</v>
      </c>
      <c r="AA9" s="193">
        <v>0</v>
      </c>
      <c r="AB9" s="238">
        <f t="shared" si="14"/>
        <v>0</v>
      </c>
      <c r="AC9" s="193">
        <v>0</v>
      </c>
      <c r="AD9" s="238">
        <f t="shared" si="15"/>
        <v>0</v>
      </c>
      <c r="AE9" s="193">
        <v>0</v>
      </c>
      <c r="AF9" s="238">
        <f t="shared" si="16"/>
        <v>0</v>
      </c>
      <c r="AG9" s="193">
        <v>0</v>
      </c>
      <c r="AH9" s="238">
        <f t="shared" si="17"/>
        <v>0</v>
      </c>
      <c r="AI9" s="193">
        <v>0</v>
      </c>
      <c r="AJ9" s="238">
        <f t="shared" si="18"/>
        <v>0</v>
      </c>
      <c r="AK9" s="193">
        <v>0</v>
      </c>
      <c r="AL9" s="238">
        <f t="shared" si="19"/>
        <v>0</v>
      </c>
      <c r="AM9" s="193">
        <v>0</v>
      </c>
      <c r="AN9" s="238">
        <f t="shared" si="20"/>
        <v>0</v>
      </c>
      <c r="AO9" s="193">
        <v>0</v>
      </c>
      <c r="AP9" s="238">
        <f t="shared" si="21"/>
        <v>0</v>
      </c>
      <c r="AQ9" s="193">
        <v>0</v>
      </c>
      <c r="AR9" s="238">
        <f t="shared" si="22"/>
        <v>0</v>
      </c>
      <c r="AS9" s="193">
        <v>0</v>
      </c>
      <c r="AT9" s="238">
        <f t="shared" si="23"/>
        <v>0</v>
      </c>
      <c r="AU9" s="193">
        <v>0</v>
      </c>
      <c r="AV9" s="238">
        <f t="shared" si="24"/>
        <v>0</v>
      </c>
      <c r="AW9" s="193">
        <v>0</v>
      </c>
      <c r="AX9" s="238">
        <f t="shared" si="25"/>
        <v>0</v>
      </c>
      <c r="AY9" s="193">
        <v>0</v>
      </c>
      <c r="AZ9" s="238">
        <f t="shared" si="26"/>
        <v>0</v>
      </c>
      <c r="BA9" s="193">
        <v>0</v>
      </c>
      <c r="BB9" s="238">
        <f t="shared" si="27"/>
        <v>0</v>
      </c>
      <c r="BC9" s="193">
        <v>0</v>
      </c>
      <c r="BD9" s="238">
        <f t="shared" si="28"/>
        <v>0</v>
      </c>
      <c r="BE9" s="193">
        <v>0</v>
      </c>
      <c r="BF9" s="238">
        <f t="shared" si="29"/>
        <v>0</v>
      </c>
      <c r="BG9" s="193">
        <v>0</v>
      </c>
      <c r="BH9" s="238">
        <f t="shared" si="30"/>
        <v>0</v>
      </c>
      <c r="BI9" s="193">
        <v>0</v>
      </c>
      <c r="BJ9" s="238">
        <f t="shared" si="31"/>
        <v>0</v>
      </c>
      <c r="BK9" s="193">
        <v>0</v>
      </c>
      <c r="BL9" s="238">
        <f t="shared" si="32"/>
        <v>0</v>
      </c>
      <c r="BM9" s="193">
        <v>0</v>
      </c>
      <c r="BN9" s="238">
        <f t="shared" si="33"/>
        <v>0</v>
      </c>
      <c r="BO9" s="193">
        <v>0</v>
      </c>
      <c r="BP9" s="238">
        <f t="shared" si="34"/>
        <v>0</v>
      </c>
      <c r="BQ9" s="193">
        <v>0</v>
      </c>
      <c r="BR9" s="238">
        <f t="shared" si="35"/>
        <v>0</v>
      </c>
      <c r="BS9" s="225"/>
      <c r="BT9" s="239">
        <f t="shared" si="36"/>
        <v>1214.03</v>
      </c>
      <c r="BU9" s="238">
        <f t="shared" si="0"/>
        <v>86803.145000000004</v>
      </c>
    </row>
    <row r="10" spans="1:73" ht="14.25">
      <c r="A10" s="241">
        <v>1949</v>
      </c>
      <c r="B10" s="528">
        <f t="shared" si="1"/>
        <v>70.5</v>
      </c>
      <c r="C10" s="193">
        <v>0</v>
      </c>
      <c r="D10" s="238">
        <f t="shared" si="2"/>
        <v>0</v>
      </c>
      <c r="E10" s="193">
        <v>0</v>
      </c>
      <c r="F10" s="238">
        <f t="shared" si="3"/>
        <v>0</v>
      </c>
      <c r="G10" s="193">
        <v>0</v>
      </c>
      <c r="H10" s="238">
        <f t="shared" si="4"/>
        <v>0</v>
      </c>
      <c r="I10" s="193">
        <v>48.359999999999999</v>
      </c>
      <c r="J10" s="238">
        <f t="shared" si="5"/>
        <v>3409.3800000000001</v>
      </c>
      <c r="K10" s="193">
        <v>0</v>
      </c>
      <c r="L10" s="238">
        <f t="shared" si="6"/>
        <v>0</v>
      </c>
      <c r="M10" s="193">
        <v>0</v>
      </c>
      <c r="N10" s="238">
        <f t="shared" si="7"/>
        <v>0</v>
      </c>
      <c r="O10" s="193">
        <v>0</v>
      </c>
      <c r="P10" s="238">
        <f t="shared" si="8"/>
        <v>0</v>
      </c>
      <c r="Q10" s="193">
        <v>0</v>
      </c>
      <c r="R10" s="238">
        <f t="shared" si="9"/>
        <v>0</v>
      </c>
      <c r="S10" s="193">
        <v>239.94999999999999</v>
      </c>
      <c r="T10" s="238">
        <f t="shared" si="10"/>
        <v>16916.474999999999</v>
      </c>
      <c r="U10" s="193">
        <v>0</v>
      </c>
      <c r="V10" s="238">
        <f t="shared" si="11"/>
        <v>0</v>
      </c>
      <c r="W10" s="193">
        <v>0</v>
      </c>
      <c r="X10" s="238">
        <f t="shared" si="12"/>
        <v>0</v>
      </c>
      <c r="Y10" s="193">
        <v>0</v>
      </c>
      <c r="Z10" s="238">
        <f t="shared" si="13"/>
        <v>0</v>
      </c>
      <c r="AA10" s="193">
        <v>0</v>
      </c>
      <c r="AB10" s="238">
        <f t="shared" si="14"/>
        <v>0</v>
      </c>
      <c r="AC10" s="193">
        <v>0</v>
      </c>
      <c r="AD10" s="238">
        <f t="shared" si="15"/>
        <v>0</v>
      </c>
      <c r="AE10" s="193">
        <v>0</v>
      </c>
      <c r="AF10" s="238">
        <f t="shared" si="16"/>
        <v>0</v>
      </c>
      <c r="AG10" s="193">
        <v>0</v>
      </c>
      <c r="AH10" s="238">
        <f t="shared" si="17"/>
        <v>0</v>
      </c>
      <c r="AI10" s="193">
        <v>0</v>
      </c>
      <c r="AJ10" s="238">
        <f t="shared" si="18"/>
        <v>0</v>
      </c>
      <c r="AK10" s="193">
        <v>0</v>
      </c>
      <c r="AL10" s="238">
        <f t="shared" si="19"/>
        <v>0</v>
      </c>
      <c r="AM10" s="193">
        <v>0</v>
      </c>
      <c r="AN10" s="238">
        <f t="shared" si="20"/>
        <v>0</v>
      </c>
      <c r="AO10" s="193">
        <v>0</v>
      </c>
      <c r="AP10" s="238">
        <f t="shared" si="21"/>
        <v>0</v>
      </c>
      <c r="AQ10" s="193">
        <v>0</v>
      </c>
      <c r="AR10" s="238">
        <f t="shared" si="22"/>
        <v>0</v>
      </c>
      <c r="AS10" s="193">
        <v>0</v>
      </c>
      <c r="AT10" s="238">
        <f t="shared" si="23"/>
        <v>0</v>
      </c>
      <c r="AU10" s="193">
        <v>0</v>
      </c>
      <c r="AV10" s="238">
        <f t="shared" si="24"/>
        <v>0</v>
      </c>
      <c r="AW10" s="193">
        <v>0</v>
      </c>
      <c r="AX10" s="238">
        <f t="shared" si="25"/>
        <v>0</v>
      </c>
      <c r="AY10" s="193">
        <v>0</v>
      </c>
      <c r="AZ10" s="238">
        <f t="shared" si="26"/>
        <v>0</v>
      </c>
      <c r="BA10" s="193">
        <v>0</v>
      </c>
      <c r="BB10" s="238">
        <f t="shared" si="27"/>
        <v>0</v>
      </c>
      <c r="BC10" s="193">
        <v>0</v>
      </c>
      <c r="BD10" s="238">
        <f t="shared" si="28"/>
        <v>0</v>
      </c>
      <c r="BE10" s="193">
        <v>0</v>
      </c>
      <c r="BF10" s="238">
        <f t="shared" si="29"/>
        <v>0</v>
      </c>
      <c r="BG10" s="193">
        <v>0</v>
      </c>
      <c r="BH10" s="238">
        <f t="shared" si="30"/>
        <v>0</v>
      </c>
      <c r="BI10" s="193">
        <v>0</v>
      </c>
      <c r="BJ10" s="238">
        <f t="shared" si="31"/>
        <v>0</v>
      </c>
      <c r="BK10" s="193">
        <v>0</v>
      </c>
      <c r="BL10" s="238">
        <f t="shared" si="32"/>
        <v>0</v>
      </c>
      <c r="BM10" s="193">
        <v>0</v>
      </c>
      <c r="BN10" s="238">
        <f t="shared" si="33"/>
        <v>0</v>
      </c>
      <c r="BO10" s="193">
        <v>0</v>
      </c>
      <c r="BP10" s="238">
        <f t="shared" si="34"/>
        <v>0</v>
      </c>
      <c r="BQ10" s="193">
        <v>0</v>
      </c>
      <c r="BR10" s="238">
        <f t="shared" si="35"/>
        <v>0</v>
      </c>
      <c r="BS10" s="225"/>
      <c r="BT10" s="239">
        <f t="shared" si="36"/>
        <v>288.31</v>
      </c>
      <c r="BU10" s="238">
        <f t="shared" si="0"/>
        <v>20325.855</v>
      </c>
    </row>
    <row r="11" spans="1:73" ht="14.25">
      <c r="A11" s="241">
        <v>1950</v>
      </c>
      <c r="B11" s="528">
        <f t="shared" si="1"/>
        <v>69.5</v>
      </c>
      <c r="C11" s="193">
        <v>0</v>
      </c>
      <c r="D11" s="238">
        <f t="shared" si="2"/>
        <v>0</v>
      </c>
      <c r="E11" s="193">
        <v>0</v>
      </c>
      <c r="F11" s="238">
        <f t="shared" si="3"/>
        <v>0</v>
      </c>
      <c r="G11" s="193">
        <v>0</v>
      </c>
      <c r="H11" s="238">
        <f t="shared" si="4"/>
        <v>0</v>
      </c>
      <c r="I11" s="193">
        <v>0</v>
      </c>
      <c r="J11" s="238">
        <f t="shared" si="5"/>
        <v>0</v>
      </c>
      <c r="K11" s="193">
        <v>0</v>
      </c>
      <c r="L11" s="238">
        <f t="shared" si="6"/>
        <v>0</v>
      </c>
      <c r="M11" s="193">
        <v>0</v>
      </c>
      <c r="N11" s="238">
        <f t="shared" si="7"/>
        <v>0</v>
      </c>
      <c r="O11" s="193">
        <v>0</v>
      </c>
      <c r="P11" s="238">
        <f t="shared" si="8"/>
        <v>0</v>
      </c>
      <c r="Q11" s="193">
        <v>0</v>
      </c>
      <c r="R11" s="238">
        <f t="shared" si="9"/>
        <v>0</v>
      </c>
      <c r="S11" s="193">
        <v>143.5</v>
      </c>
      <c r="T11" s="238">
        <f t="shared" si="10"/>
        <v>9973.25</v>
      </c>
      <c r="U11" s="193">
        <v>0</v>
      </c>
      <c r="V11" s="238">
        <f t="shared" si="11"/>
        <v>0</v>
      </c>
      <c r="W11" s="193">
        <v>0</v>
      </c>
      <c r="X11" s="238">
        <f t="shared" si="12"/>
        <v>0</v>
      </c>
      <c r="Y11" s="193">
        <v>0</v>
      </c>
      <c r="Z11" s="238">
        <f t="shared" si="13"/>
        <v>0</v>
      </c>
      <c r="AA11" s="193">
        <v>0</v>
      </c>
      <c r="AB11" s="238">
        <f t="shared" si="14"/>
        <v>0</v>
      </c>
      <c r="AC11" s="193">
        <v>0</v>
      </c>
      <c r="AD11" s="238">
        <f t="shared" si="15"/>
        <v>0</v>
      </c>
      <c r="AE11" s="193">
        <v>0</v>
      </c>
      <c r="AF11" s="238">
        <f t="shared" si="16"/>
        <v>0</v>
      </c>
      <c r="AG11" s="193">
        <v>0</v>
      </c>
      <c r="AH11" s="238">
        <f t="shared" si="17"/>
        <v>0</v>
      </c>
      <c r="AI11" s="193">
        <v>0</v>
      </c>
      <c r="AJ11" s="238">
        <f t="shared" si="18"/>
        <v>0</v>
      </c>
      <c r="AK11" s="193">
        <v>0</v>
      </c>
      <c r="AL11" s="238">
        <f t="shared" si="19"/>
        <v>0</v>
      </c>
      <c r="AM11" s="193">
        <v>0</v>
      </c>
      <c r="AN11" s="238">
        <f t="shared" si="20"/>
        <v>0</v>
      </c>
      <c r="AO11" s="193">
        <v>0</v>
      </c>
      <c r="AP11" s="238">
        <f t="shared" si="21"/>
        <v>0</v>
      </c>
      <c r="AQ11" s="193">
        <v>0</v>
      </c>
      <c r="AR11" s="238">
        <f t="shared" si="22"/>
        <v>0</v>
      </c>
      <c r="AS11" s="193">
        <v>0</v>
      </c>
      <c r="AT11" s="238">
        <f t="shared" si="23"/>
        <v>0</v>
      </c>
      <c r="AU11" s="193">
        <v>0</v>
      </c>
      <c r="AV11" s="238">
        <f t="shared" si="24"/>
        <v>0</v>
      </c>
      <c r="AW11" s="193">
        <v>0</v>
      </c>
      <c r="AX11" s="238">
        <f t="shared" si="25"/>
        <v>0</v>
      </c>
      <c r="AY11" s="193">
        <v>0</v>
      </c>
      <c r="AZ11" s="238">
        <f t="shared" si="26"/>
        <v>0</v>
      </c>
      <c r="BA11" s="193">
        <v>0</v>
      </c>
      <c r="BB11" s="238">
        <f t="shared" si="27"/>
        <v>0</v>
      </c>
      <c r="BC11" s="193">
        <v>0</v>
      </c>
      <c r="BD11" s="238">
        <f t="shared" si="28"/>
        <v>0</v>
      </c>
      <c r="BE11" s="193">
        <v>0</v>
      </c>
      <c r="BF11" s="238">
        <f t="shared" si="29"/>
        <v>0</v>
      </c>
      <c r="BG11" s="193">
        <v>0</v>
      </c>
      <c r="BH11" s="238">
        <f t="shared" si="30"/>
        <v>0</v>
      </c>
      <c r="BI11" s="193">
        <v>0</v>
      </c>
      <c r="BJ11" s="238">
        <f t="shared" si="31"/>
        <v>0</v>
      </c>
      <c r="BK11" s="193">
        <v>0</v>
      </c>
      <c r="BL11" s="238">
        <f t="shared" si="32"/>
        <v>0</v>
      </c>
      <c r="BM11" s="193">
        <v>0</v>
      </c>
      <c r="BN11" s="238">
        <f t="shared" si="33"/>
        <v>0</v>
      </c>
      <c r="BO11" s="193">
        <v>0</v>
      </c>
      <c r="BP11" s="238">
        <f t="shared" si="34"/>
        <v>0</v>
      </c>
      <c r="BQ11" s="193">
        <v>0</v>
      </c>
      <c r="BR11" s="238">
        <f t="shared" si="35"/>
        <v>0</v>
      </c>
      <c r="BS11" s="225"/>
      <c r="BT11" s="239">
        <f t="shared" si="36"/>
        <v>143.5</v>
      </c>
      <c r="BU11" s="238">
        <f t="shared" si="0"/>
        <v>9973.25</v>
      </c>
    </row>
    <row r="12" spans="1:73" ht="14.25">
      <c r="A12" s="241">
        <v>1957</v>
      </c>
      <c r="B12" s="528">
        <f t="shared" si="1"/>
        <v>62.5</v>
      </c>
      <c r="C12" s="193">
        <v>0</v>
      </c>
      <c r="D12" s="238">
        <f t="shared" si="2"/>
        <v>0</v>
      </c>
      <c r="E12" s="193">
        <v>0</v>
      </c>
      <c r="F12" s="238">
        <f t="shared" si="3"/>
        <v>0</v>
      </c>
      <c r="G12" s="193">
        <v>0</v>
      </c>
      <c r="H12" s="238">
        <f t="shared" si="4"/>
        <v>0</v>
      </c>
      <c r="I12" s="193">
        <v>0</v>
      </c>
      <c r="J12" s="238">
        <f t="shared" si="5"/>
        <v>0</v>
      </c>
      <c r="K12" s="193">
        <v>0</v>
      </c>
      <c r="L12" s="238">
        <f t="shared" si="6"/>
        <v>0</v>
      </c>
      <c r="M12" s="193">
        <v>0</v>
      </c>
      <c r="N12" s="238">
        <f t="shared" si="7"/>
        <v>0</v>
      </c>
      <c r="O12" s="193">
        <v>0</v>
      </c>
      <c r="P12" s="238">
        <f t="shared" si="8"/>
        <v>0</v>
      </c>
      <c r="Q12" s="193">
        <v>0</v>
      </c>
      <c r="R12" s="238">
        <f t="shared" si="9"/>
        <v>0</v>
      </c>
      <c r="S12" s="193">
        <v>160.05000000000001</v>
      </c>
      <c r="T12" s="238">
        <f t="shared" si="10"/>
        <v>10003.125</v>
      </c>
      <c r="U12" s="193">
        <v>0</v>
      </c>
      <c r="V12" s="238">
        <f t="shared" si="11"/>
        <v>0</v>
      </c>
      <c r="W12" s="193">
        <v>0</v>
      </c>
      <c r="X12" s="238">
        <f t="shared" si="12"/>
        <v>0</v>
      </c>
      <c r="Y12" s="193">
        <v>0</v>
      </c>
      <c r="Z12" s="238">
        <f t="shared" si="13"/>
        <v>0</v>
      </c>
      <c r="AA12" s="193">
        <v>0</v>
      </c>
      <c r="AB12" s="238">
        <f t="shared" si="14"/>
        <v>0</v>
      </c>
      <c r="AC12" s="193">
        <v>0</v>
      </c>
      <c r="AD12" s="238">
        <f t="shared" si="15"/>
        <v>0</v>
      </c>
      <c r="AE12" s="193">
        <v>0</v>
      </c>
      <c r="AF12" s="238">
        <f t="shared" si="16"/>
        <v>0</v>
      </c>
      <c r="AG12" s="193">
        <v>0</v>
      </c>
      <c r="AH12" s="238">
        <f t="shared" si="17"/>
        <v>0</v>
      </c>
      <c r="AI12" s="193">
        <v>0</v>
      </c>
      <c r="AJ12" s="238">
        <f t="shared" si="18"/>
        <v>0</v>
      </c>
      <c r="AK12" s="193">
        <v>0</v>
      </c>
      <c r="AL12" s="238">
        <f t="shared" si="19"/>
        <v>0</v>
      </c>
      <c r="AM12" s="193">
        <v>0</v>
      </c>
      <c r="AN12" s="238">
        <f t="shared" si="20"/>
        <v>0</v>
      </c>
      <c r="AO12" s="193">
        <v>0</v>
      </c>
      <c r="AP12" s="238">
        <f t="shared" si="21"/>
        <v>0</v>
      </c>
      <c r="AQ12" s="193">
        <v>0</v>
      </c>
      <c r="AR12" s="238">
        <f t="shared" si="22"/>
        <v>0</v>
      </c>
      <c r="AS12" s="193">
        <v>0</v>
      </c>
      <c r="AT12" s="238">
        <f t="shared" si="23"/>
        <v>0</v>
      </c>
      <c r="AU12" s="193">
        <v>0</v>
      </c>
      <c r="AV12" s="238">
        <f t="shared" si="24"/>
        <v>0</v>
      </c>
      <c r="AW12" s="193">
        <v>0</v>
      </c>
      <c r="AX12" s="238">
        <f t="shared" si="25"/>
        <v>0</v>
      </c>
      <c r="AY12" s="193">
        <v>0</v>
      </c>
      <c r="AZ12" s="238">
        <f t="shared" si="26"/>
        <v>0</v>
      </c>
      <c r="BA12" s="193">
        <v>0</v>
      </c>
      <c r="BB12" s="238">
        <f t="shared" si="27"/>
        <v>0</v>
      </c>
      <c r="BC12" s="193">
        <v>0</v>
      </c>
      <c r="BD12" s="238">
        <f t="shared" si="28"/>
        <v>0</v>
      </c>
      <c r="BE12" s="193">
        <v>0</v>
      </c>
      <c r="BF12" s="238">
        <f t="shared" si="29"/>
        <v>0</v>
      </c>
      <c r="BG12" s="193">
        <v>0</v>
      </c>
      <c r="BH12" s="238">
        <f t="shared" si="30"/>
        <v>0</v>
      </c>
      <c r="BI12" s="193">
        <v>0</v>
      </c>
      <c r="BJ12" s="238">
        <f t="shared" si="31"/>
        <v>0</v>
      </c>
      <c r="BK12" s="193">
        <v>0</v>
      </c>
      <c r="BL12" s="238">
        <f t="shared" si="32"/>
        <v>0</v>
      </c>
      <c r="BM12" s="193">
        <v>0</v>
      </c>
      <c r="BN12" s="238">
        <f t="shared" si="33"/>
        <v>0</v>
      </c>
      <c r="BO12" s="193">
        <v>0</v>
      </c>
      <c r="BP12" s="238">
        <f t="shared" si="34"/>
        <v>0</v>
      </c>
      <c r="BQ12" s="193">
        <v>0</v>
      </c>
      <c r="BR12" s="238">
        <f t="shared" si="35"/>
        <v>0</v>
      </c>
      <c r="BS12" s="225"/>
      <c r="BT12" s="239">
        <f t="shared" si="36"/>
        <v>160.05000000000001</v>
      </c>
      <c r="BU12" s="238">
        <f t="shared" si="0"/>
        <v>10003.125</v>
      </c>
    </row>
    <row r="13" spans="1:73" ht="14.25">
      <c r="A13" s="241">
        <v>1958</v>
      </c>
      <c r="B13" s="528">
        <f>$A$74-A13+0.5</f>
        <v>61.5</v>
      </c>
      <c r="C13" s="193">
        <v>0</v>
      </c>
      <c r="D13" s="238">
        <f t="shared" si="2"/>
        <v>0</v>
      </c>
      <c r="E13" s="193">
        <v>0</v>
      </c>
      <c r="F13" s="238">
        <f t="shared" si="3"/>
        <v>0</v>
      </c>
      <c r="G13" s="193">
        <v>0</v>
      </c>
      <c r="H13" s="238">
        <f t="shared" si="4"/>
        <v>0</v>
      </c>
      <c r="I13" s="193">
        <v>127.09999999999999</v>
      </c>
      <c r="J13" s="238">
        <f t="shared" si="5"/>
        <v>7816.6499999999996</v>
      </c>
      <c r="K13" s="193">
        <v>0</v>
      </c>
      <c r="L13" s="238">
        <f t="shared" si="6"/>
        <v>0</v>
      </c>
      <c r="M13" s="193">
        <v>0</v>
      </c>
      <c r="N13" s="238">
        <f t="shared" si="7"/>
        <v>0</v>
      </c>
      <c r="O13" s="193">
        <v>0</v>
      </c>
      <c r="P13" s="238">
        <f t="shared" si="8"/>
        <v>0</v>
      </c>
      <c r="Q13" s="193">
        <v>0</v>
      </c>
      <c r="R13" s="238">
        <f t="shared" si="9"/>
        <v>0</v>
      </c>
      <c r="S13" s="193">
        <v>0</v>
      </c>
      <c r="T13" s="238">
        <f t="shared" si="10"/>
        <v>0</v>
      </c>
      <c r="U13" s="193">
        <v>0</v>
      </c>
      <c r="V13" s="238">
        <f t="shared" si="11"/>
        <v>0</v>
      </c>
      <c r="W13" s="193">
        <v>0</v>
      </c>
      <c r="X13" s="238">
        <f t="shared" si="12"/>
        <v>0</v>
      </c>
      <c r="Y13" s="193">
        <v>0</v>
      </c>
      <c r="Z13" s="238">
        <f t="shared" si="13"/>
        <v>0</v>
      </c>
      <c r="AA13" s="193">
        <v>0</v>
      </c>
      <c r="AB13" s="238">
        <f t="shared" si="14"/>
        <v>0</v>
      </c>
      <c r="AC13" s="193">
        <v>0</v>
      </c>
      <c r="AD13" s="238">
        <f t="shared" si="15"/>
        <v>0</v>
      </c>
      <c r="AE13" s="193">
        <v>0</v>
      </c>
      <c r="AF13" s="238">
        <f t="shared" si="16"/>
        <v>0</v>
      </c>
      <c r="AG13" s="193">
        <v>0</v>
      </c>
      <c r="AH13" s="238">
        <f t="shared" si="17"/>
        <v>0</v>
      </c>
      <c r="AI13" s="193">
        <v>0</v>
      </c>
      <c r="AJ13" s="238">
        <f t="shared" si="18"/>
        <v>0</v>
      </c>
      <c r="AK13" s="193">
        <v>0</v>
      </c>
      <c r="AL13" s="238">
        <f t="shared" si="19"/>
        <v>0</v>
      </c>
      <c r="AM13" s="193">
        <v>0</v>
      </c>
      <c r="AN13" s="238">
        <f t="shared" si="20"/>
        <v>0</v>
      </c>
      <c r="AO13" s="193">
        <v>0</v>
      </c>
      <c r="AP13" s="238">
        <f t="shared" si="21"/>
        <v>0</v>
      </c>
      <c r="AQ13" s="193">
        <v>0</v>
      </c>
      <c r="AR13" s="238">
        <f t="shared" si="22"/>
        <v>0</v>
      </c>
      <c r="AS13" s="193">
        <v>0</v>
      </c>
      <c r="AT13" s="238">
        <f t="shared" si="23"/>
        <v>0</v>
      </c>
      <c r="AU13" s="193">
        <v>0</v>
      </c>
      <c r="AV13" s="238">
        <f t="shared" si="24"/>
        <v>0</v>
      </c>
      <c r="AW13" s="193">
        <v>0</v>
      </c>
      <c r="AX13" s="238">
        <f t="shared" si="25"/>
        <v>0</v>
      </c>
      <c r="AY13" s="193">
        <v>0</v>
      </c>
      <c r="AZ13" s="238">
        <f t="shared" si="26"/>
        <v>0</v>
      </c>
      <c r="BA13" s="193">
        <v>0</v>
      </c>
      <c r="BB13" s="238">
        <f t="shared" si="27"/>
        <v>0</v>
      </c>
      <c r="BC13" s="193">
        <v>0</v>
      </c>
      <c r="BD13" s="238">
        <f t="shared" si="28"/>
        <v>0</v>
      </c>
      <c r="BE13" s="193">
        <v>0</v>
      </c>
      <c r="BF13" s="238">
        <f t="shared" si="29"/>
        <v>0</v>
      </c>
      <c r="BG13" s="193">
        <v>0</v>
      </c>
      <c r="BH13" s="238">
        <f t="shared" si="30"/>
        <v>0</v>
      </c>
      <c r="BI13" s="193">
        <v>0</v>
      </c>
      <c r="BJ13" s="238">
        <f t="shared" si="31"/>
        <v>0</v>
      </c>
      <c r="BK13" s="193">
        <v>0</v>
      </c>
      <c r="BL13" s="238">
        <f t="shared" si="32"/>
        <v>0</v>
      </c>
      <c r="BM13" s="193">
        <v>0</v>
      </c>
      <c r="BN13" s="238">
        <f t="shared" si="33"/>
        <v>0</v>
      </c>
      <c r="BO13" s="193">
        <v>0</v>
      </c>
      <c r="BP13" s="238">
        <f t="shared" si="34"/>
        <v>0</v>
      </c>
      <c r="BQ13" s="193">
        <v>0</v>
      </c>
      <c r="BR13" s="238">
        <f t="shared" si="35"/>
        <v>0</v>
      </c>
      <c r="BS13" s="225"/>
      <c r="BT13" s="239">
        <f t="shared" si="36"/>
        <v>127.09999999999999</v>
      </c>
      <c r="BU13" s="238">
        <f t="shared" si="0"/>
        <v>7816.6499999999996</v>
      </c>
    </row>
    <row r="14" spans="1:73" ht="14.25">
      <c r="A14" s="241">
        <v>1959</v>
      </c>
      <c r="B14" s="528">
        <f t="shared" si="1"/>
        <v>60.5</v>
      </c>
      <c r="C14" s="193">
        <v>0</v>
      </c>
      <c r="D14" s="238">
        <f t="shared" si="2"/>
        <v>0</v>
      </c>
      <c r="E14" s="193">
        <v>0</v>
      </c>
      <c r="F14" s="238">
        <f t="shared" si="3"/>
        <v>0</v>
      </c>
      <c r="G14" s="193">
        <v>0</v>
      </c>
      <c r="H14" s="238">
        <f t="shared" si="4"/>
        <v>0</v>
      </c>
      <c r="I14" s="193">
        <v>585.60000000000002</v>
      </c>
      <c r="J14" s="238">
        <f t="shared" si="5"/>
        <v>35428.800000000003</v>
      </c>
      <c r="K14" s="193">
        <v>0</v>
      </c>
      <c r="L14" s="238">
        <f t="shared" si="6"/>
        <v>0</v>
      </c>
      <c r="M14" s="193">
        <v>0</v>
      </c>
      <c r="N14" s="238">
        <f t="shared" si="7"/>
        <v>0</v>
      </c>
      <c r="O14" s="193">
        <v>0</v>
      </c>
      <c r="P14" s="238">
        <f t="shared" si="8"/>
        <v>0</v>
      </c>
      <c r="Q14" s="193">
        <v>0</v>
      </c>
      <c r="R14" s="238">
        <f t="shared" si="9"/>
        <v>0</v>
      </c>
      <c r="S14" s="193">
        <v>807.58000000000004</v>
      </c>
      <c r="T14" s="238">
        <f t="shared" si="10"/>
        <v>48858.590000000004</v>
      </c>
      <c r="U14" s="193">
        <v>0</v>
      </c>
      <c r="V14" s="238">
        <f t="shared" si="11"/>
        <v>0</v>
      </c>
      <c r="W14" s="193">
        <v>0</v>
      </c>
      <c r="X14" s="238">
        <f t="shared" si="12"/>
        <v>0</v>
      </c>
      <c r="Y14" s="193">
        <v>0</v>
      </c>
      <c r="Z14" s="238">
        <f t="shared" si="13"/>
        <v>0</v>
      </c>
      <c r="AA14" s="193">
        <v>0</v>
      </c>
      <c r="AB14" s="238">
        <f t="shared" si="14"/>
        <v>0</v>
      </c>
      <c r="AC14" s="193">
        <v>0</v>
      </c>
      <c r="AD14" s="238">
        <f t="shared" si="15"/>
        <v>0</v>
      </c>
      <c r="AE14" s="193">
        <v>0</v>
      </c>
      <c r="AF14" s="238">
        <f t="shared" si="16"/>
        <v>0</v>
      </c>
      <c r="AG14" s="193">
        <v>0</v>
      </c>
      <c r="AH14" s="238">
        <f t="shared" si="17"/>
        <v>0</v>
      </c>
      <c r="AI14" s="193">
        <v>0</v>
      </c>
      <c r="AJ14" s="238">
        <f t="shared" si="18"/>
        <v>0</v>
      </c>
      <c r="AK14" s="193">
        <v>0</v>
      </c>
      <c r="AL14" s="238">
        <f t="shared" si="19"/>
        <v>0</v>
      </c>
      <c r="AM14" s="193">
        <v>0</v>
      </c>
      <c r="AN14" s="238">
        <f t="shared" si="20"/>
        <v>0</v>
      </c>
      <c r="AO14" s="193">
        <v>0</v>
      </c>
      <c r="AP14" s="238">
        <f t="shared" si="21"/>
        <v>0</v>
      </c>
      <c r="AQ14" s="193">
        <v>0</v>
      </c>
      <c r="AR14" s="238">
        <f t="shared" si="22"/>
        <v>0</v>
      </c>
      <c r="AS14" s="193">
        <v>0</v>
      </c>
      <c r="AT14" s="238">
        <f t="shared" si="23"/>
        <v>0</v>
      </c>
      <c r="AU14" s="193">
        <v>0</v>
      </c>
      <c r="AV14" s="238">
        <f t="shared" si="24"/>
        <v>0</v>
      </c>
      <c r="AW14" s="193">
        <v>0</v>
      </c>
      <c r="AX14" s="238">
        <f t="shared" si="25"/>
        <v>0</v>
      </c>
      <c r="AY14" s="193">
        <v>0</v>
      </c>
      <c r="AZ14" s="238">
        <f t="shared" si="26"/>
        <v>0</v>
      </c>
      <c r="BA14" s="193">
        <v>0</v>
      </c>
      <c r="BB14" s="238">
        <f t="shared" si="27"/>
        <v>0</v>
      </c>
      <c r="BC14" s="193">
        <v>0</v>
      </c>
      <c r="BD14" s="238">
        <f t="shared" si="28"/>
        <v>0</v>
      </c>
      <c r="BE14" s="193">
        <v>0</v>
      </c>
      <c r="BF14" s="238">
        <f t="shared" si="29"/>
        <v>0</v>
      </c>
      <c r="BG14" s="193">
        <v>0</v>
      </c>
      <c r="BH14" s="238">
        <f t="shared" si="30"/>
        <v>0</v>
      </c>
      <c r="BI14" s="193">
        <v>0</v>
      </c>
      <c r="BJ14" s="238">
        <f t="shared" si="31"/>
        <v>0</v>
      </c>
      <c r="BK14" s="193">
        <v>0</v>
      </c>
      <c r="BL14" s="238">
        <f t="shared" si="32"/>
        <v>0</v>
      </c>
      <c r="BM14" s="193">
        <v>0</v>
      </c>
      <c r="BN14" s="238">
        <f t="shared" si="33"/>
        <v>0</v>
      </c>
      <c r="BO14" s="193">
        <v>0</v>
      </c>
      <c r="BP14" s="238">
        <f t="shared" si="34"/>
        <v>0</v>
      </c>
      <c r="BQ14" s="193">
        <v>0</v>
      </c>
      <c r="BR14" s="238">
        <f t="shared" si="35"/>
        <v>0</v>
      </c>
      <c r="BS14" s="225"/>
      <c r="BT14" s="239">
        <f t="shared" si="36"/>
        <v>1393.1800000000001</v>
      </c>
      <c r="BU14" s="238">
        <f t="shared" si="0"/>
        <v>84287.389999999999</v>
      </c>
    </row>
    <row r="15" spans="1:73" ht="14.25">
      <c r="A15" s="241">
        <v>1960</v>
      </c>
      <c r="B15" s="528">
        <f t="shared" si="1"/>
        <v>59.5</v>
      </c>
      <c r="C15" s="193">
        <v>0</v>
      </c>
      <c r="D15" s="238">
        <f t="shared" si="2"/>
        <v>0</v>
      </c>
      <c r="E15" s="193">
        <v>0</v>
      </c>
      <c r="F15" s="238">
        <f t="shared" si="3"/>
        <v>0</v>
      </c>
      <c r="G15" s="193">
        <v>0</v>
      </c>
      <c r="H15" s="238">
        <f t="shared" si="4"/>
        <v>0</v>
      </c>
      <c r="I15" s="193">
        <v>1110.22</v>
      </c>
      <c r="J15" s="238">
        <f t="shared" si="5"/>
        <v>66058.089999999997</v>
      </c>
      <c r="K15" s="193">
        <v>0</v>
      </c>
      <c r="L15" s="238">
        <f t="shared" si="6"/>
        <v>0</v>
      </c>
      <c r="M15" s="193">
        <v>0</v>
      </c>
      <c r="N15" s="238">
        <f t="shared" si="7"/>
        <v>0</v>
      </c>
      <c r="O15" s="193">
        <v>0</v>
      </c>
      <c r="P15" s="238">
        <f t="shared" si="8"/>
        <v>0</v>
      </c>
      <c r="Q15" s="193">
        <v>0</v>
      </c>
      <c r="R15" s="238">
        <f t="shared" si="9"/>
        <v>0</v>
      </c>
      <c r="S15" s="193">
        <v>1183.26</v>
      </c>
      <c r="T15" s="238">
        <f t="shared" si="10"/>
        <v>70403.970000000001</v>
      </c>
      <c r="U15" s="193">
        <v>0</v>
      </c>
      <c r="V15" s="238">
        <f t="shared" si="11"/>
        <v>0</v>
      </c>
      <c r="W15" s="193">
        <v>0</v>
      </c>
      <c r="X15" s="238">
        <f t="shared" si="12"/>
        <v>0</v>
      </c>
      <c r="Y15" s="193">
        <v>0</v>
      </c>
      <c r="Z15" s="238">
        <f t="shared" si="13"/>
        <v>0</v>
      </c>
      <c r="AA15" s="193">
        <v>0</v>
      </c>
      <c r="AB15" s="238">
        <f t="shared" si="14"/>
        <v>0</v>
      </c>
      <c r="AC15" s="193">
        <v>0</v>
      </c>
      <c r="AD15" s="238">
        <f t="shared" si="15"/>
        <v>0</v>
      </c>
      <c r="AE15" s="193">
        <v>0</v>
      </c>
      <c r="AF15" s="238">
        <f t="shared" si="16"/>
        <v>0</v>
      </c>
      <c r="AG15" s="193">
        <v>0</v>
      </c>
      <c r="AH15" s="238">
        <f t="shared" si="17"/>
        <v>0</v>
      </c>
      <c r="AI15" s="193">
        <v>0</v>
      </c>
      <c r="AJ15" s="238">
        <f t="shared" si="18"/>
        <v>0</v>
      </c>
      <c r="AK15" s="193">
        <v>0</v>
      </c>
      <c r="AL15" s="238">
        <f t="shared" si="19"/>
        <v>0</v>
      </c>
      <c r="AM15" s="193">
        <v>0</v>
      </c>
      <c r="AN15" s="238">
        <f t="shared" si="20"/>
        <v>0</v>
      </c>
      <c r="AO15" s="193">
        <v>0</v>
      </c>
      <c r="AP15" s="238">
        <f t="shared" si="21"/>
        <v>0</v>
      </c>
      <c r="AQ15" s="193">
        <v>0</v>
      </c>
      <c r="AR15" s="238">
        <f t="shared" si="22"/>
        <v>0</v>
      </c>
      <c r="AS15" s="193">
        <v>0</v>
      </c>
      <c r="AT15" s="238">
        <f t="shared" si="23"/>
        <v>0</v>
      </c>
      <c r="AU15" s="193">
        <v>0</v>
      </c>
      <c r="AV15" s="238">
        <f t="shared" si="24"/>
        <v>0</v>
      </c>
      <c r="AW15" s="193">
        <v>0</v>
      </c>
      <c r="AX15" s="238">
        <f t="shared" si="25"/>
        <v>0</v>
      </c>
      <c r="AY15" s="193">
        <v>0</v>
      </c>
      <c r="AZ15" s="238">
        <f t="shared" si="26"/>
        <v>0</v>
      </c>
      <c r="BA15" s="193">
        <v>0</v>
      </c>
      <c r="BB15" s="238">
        <f t="shared" si="27"/>
        <v>0</v>
      </c>
      <c r="BC15" s="193">
        <v>0</v>
      </c>
      <c r="BD15" s="238">
        <f t="shared" si="28"/>
        <v>0</v>
      </c>
      <c r="BE15" s="193">
        <v>0</v>
      </c>
      <c r="BF15" s="238">
        <f t="shared" si="29"/>
        <v>0</v>
      </c>
      <c r="BG15" s="193">
        <v>1484.1300000000001</v>
      </c>
      <c r="BH15" s="238">
        <f t="shared" si="30"/>
        <v>88305.735000000001</v>
      </c>
      <c r="BI15" s="193">
        <v>0</v>
      </c>
      <c r="BJ15" s="238">
        <f t="shared" si="31"/>
        <v>0</v>
      </c>
      <c r="BK15" s="193">
        <v>0</v>
      </c>
      <c r="BL15" s="238">
        <f t="shared" si="32"/>
        <v>0</v>
      </c>
      <c r="BM15" s="193">
        <v>0</v>
      </c>
      <c r="BN15" s="238">
        <f t="shared" si="33"/>
        <v>0</v>
      </c>
      <c r="BO15" s="193">
        <v>0</v>
      </c>
      <c r="BP15" s="238">
        <f t="shared" si="34"/>
        <v>0</v>
      </c>
      <c r="BQ15" s="193">
        <v>0</v>
      </c>
      <c r="BR15" s="238">
        <f t="shared" si="35"/>
        <v>0</v>
      </c>
      <c r="BS15" s="225"/>
      <c r="BT15" s="239">
        <f t="shared" si="36"/>
        <v>3777.6100000000006</v>
      </c>
      <c r="BU15" s="238">
        <f t="shared" si="0"/>
        <v>224767.79500000004</v>
      </c>
    </row>
    <row r="16" spans="1:73" ht="14.25">
      <c r="A16" s="241">
        <v>1961</v>
      </c>
      <c r="B16" s="528">
        <f t="shared" si="1"/>
        <v>58.5</v>
      </c>
      <c r="C16" s="193">
        <v>0</v>
      </c>
      <c r="D16" s="238">
        <f t="shared" si="2"/>
        <v>0</v>
      </c>
      <c r="E16" s="193">
        <v>0</v>
      </c>
      <c r="F16" s="238">
        <f t="shared" si="3"/>
        <v>0</v>
      </c>
      <c r="G16" s="193">
        <v>0</v>
      </c>
      <c r="H16" s="238">
        <f t="shared" si="4"/>
        <v>0</v>
      </c>
      <c r="I16" s="193">
        <v>211.30000000000001</v>
      </c>
      <c r="J16" s="238">
        <f t="shared" si="5"/>
        <v>12361.050000000001</v>
      </c>
      <c r="K16" s="193">
        <v>0</v>
      </c>
      <c r="L16" s="238">
        <f t="shared" si="6"/>
        <v>0</v>
      </c>
      <c r="M16" s="193">
        <v>0</v>
      </c>
      <c r="N16" s="238">
        <f t="shared" si="7"/>
        <v>0</v>
      </c>
      <c r="O16" s="193">
        <v>0</v>
      </c>
      <c r="P16" s="238">
        <f t="shared" si="8"/>
        <v>0</v>
      </c>
      <c r="Q16" s="193">
        <v>0</v>
      </c>
      <c r="R16" s="238">
        <f t="shared" si="9"/>
        <v>0</v>
      </c>
      <c r="S16" s="193">
        <v>82.439999999999998</v>
      </c>
      <c r="T16" s="238">
        <f t="shared" si="10"/>
        <v>4822.7399999999998</v>
      </c>
      <c r="U16" s="193">
        <v>0</v>
      </c>
      <c r="V16" s="238">
        <f t="shared" si="11"/>
        <v>0</v>
      </c>
      <c r="W16" s="193">
        <v>0</v>
      </c>
      <c r="X16" s="238">
        <f t="shared" si="12"/>
        <v>0</v>
      </c>
      <c r="Y16" s="193">
        <v>0</v>
      </c>
      <c r="Z16" s="238">
        <f t="shared" si="13"/>
        <v>0</v>
      </c>
      <c r="AA16" s="193">
        <v>0</v>
      </c>
      <c r="AB16" s="238">
        <f t="shared" si="14"/>
        <v>0</v>
      </c>
      <c r="AC16" s="193">
        <v>0</v>
      </c>
      <c r="AD16" s="238">
        <f t="shared" si="15"/>
        <v>0</v>
      </c>
      <c r="AE16" s="193">
        <v>0</v>
      </c>
      <c r="AF16" s="238">
        <f t="shared" si="16"/>
        <v>0</v>
      </c>
      <c r="AG16" s="193">
        <v>0</v>
      </c>
      <c r="AH16" s="238">
        <f t="shared" si="17"/>
        <v>0</v>
      </c>
      <c r="AI16" s="193">
        <v>0</v>
      </c>
      <c r="AJ16" s="238">
        <f t="shared" si="18"/>
        <v>0</v>
      </c>
      <c r="AK16" s="193">
        <v>0</v>
      </c>
      <c r="AL16" s="238">
        <f t="shared" si="19"/>
        <v>0</v>
      </c>
      <c r="AM16" s="193">
        <v>0</v>
      </c>
      <c r="AN16" s="238">
        <f t="shared" si="20"/>
        <v>0</v>
      </c>
      <c r="AO16" s="193">
        <v>0</v>
      </c>
      <c r="AP16" s="238">
        <f t="shared" si="21"/>
        <v>0</v>
      </c>
      <c r="AQ16" s="193">
        <v>0</v>
      </c>
      <c r="AR16" s="238">
        <f t="shared" si="22"/>
        <v>0</v>
      </c>
      <c r="AS16" s="193">
        <v>0</v>
      </c>
      <c r="AT16" s="238">
        <f t="shared" si="23"/>
        <v>0</v>
      </c>
      <c r="AU16" s="193">
        <v>0</v>
      </c>
      <c r="AV16" s="238">
        <f t="shared" si="24"/>
        <v>0</v>
      </c>
      <c r="AW16" s="193">
        <v>0</v>
      </c>
      <c r="AX16" s="238">
        <f t="shared" si="25"/>
        <v>0</v>
      </c>
      <c r="AY16" s="193">
        <v>0</v>
      </c>
      <c r="AZ16" s="238">
        <f t="shared" si="26"/>
        <v>0</v>
      </c>
      <c r="BA16" s="193">
        <v>0</v>
      </c>
      <c r="BB16" s="238">
        <f t="shared" si="27"/>
        <v>0</v>
      </c>
      <c r="BC16" s="193">
        <v>0</v>
      </c>
      <c r="BD16" s="238">
        <f t="shared" si="28"/>
        <v>0</v>
      </c>
      <c r="BE16" s="193">
        <v>0</v>
      </c>
      <c r="BF16" s="238">
        <f t="shared" si="29"/>
        <v>0</v>
      </c>
      <c r="BG16" s="193">
        <v>0</v>
      </c>
      <c r="BH16" s="238">
        <f t="shared" si="30"/>
        <v>0</v>
      </c>
      <c r="BI16" s="193">
        <v>0</v>
      </c>
      <c r="BJ16" s="238">
        <f t="shared" si="31"/>
        <v>0</v>
      </c>
      <c r="BK16" s="193">
        <v>0</v>
      </c>
      <c r="BL16" s="238">
        <f t="shared" si="32"/>
        <v>0</v>
      </c>
      <c r="BM16" s="193">
        <v>0</v>
      </c>
      <c r="BN16" s="238">
        <f t="shared" si="33"/>
        <v>0</v>
      </c>
      <c r="BO16" s="193">
        <v>0</v>
      </c>
      <c r="BP16" s="238">
        <f t="shared" si="34"/>
        <v>0</v>
      </c>
      <c r="BQ16" s="193">
        <v>0</v>
      </c>
      <c r="BR16" s="238">
        <f t="shared" si="35"/>
        <v>0</v>
      </c>
      <c r="BS16" s="225"/>
      <c r="BT16" s="239">
        <f t="shared" si="36"/>
        <v>293.74000000000001</v>
      </c>
      <c r="BU16" s="238">
        <f t="shared" si="0"/>
        <v>17183.790000000001</v>
      </c>
    </row>
    <row r="17" spans="1:73" ht="14.25">
      <c r="A17" s="241">
        <v>1962</v>
      </c>
      <c r="B17" s="528">
        <f t="shared" si="1"/>
        <v>57.5</v>
      </c>
      <c r="C17" s="193">
        <v>0</v>
      </c>
      <c r="D17" s="238">
        <f t="shared" si="2"/>
        <v>0</v>
      </c>
      <c r="E17" s="193">
        <v>0</v>
      </c>
      <c r="F17" s="238">
        <f t="shared" si="3"/>
        <v>0</v>
      </c>
      <c r="G17" s="193">
        <v>0</v>
      </c>
      <c r="H17" s="238">
        <f t="shared" si="4"/>
        <v>0</v>
      </c>
      <c r="I17" s="193">
        <v>702</v>
      </c>
      <c r="J17" s="238">
        <f t="shared" si="5"/>
        <v>40365</v>
      </c>
      <c r="K17" s="193">
        <v>0</v>
      </c>
      <c r="L17" s="238">
        <f t="shared" si="6"/>
        <v>0</v>
      </c>
      <c r="M17" s="193">
        <v>0</v>
      </c>
      <c r="N17" s="238">
        <f t="shared" si="7"/>
        <v>0</v>
      </c>
      <c r="O17" s="193">
        <v>0</v>
      </c>
      <c r="P17" s="238">
        <f t="shared" si="8"/>
        <v>0</v>
      </c>
      <c r="Q17" s="193">
        <v>0</v>
      </c>
      <c r="R17" s="238">
        <f t="shared" si="9"/>
        <v>0</v>
      </c>
      <c r="S17" s="193">
        <v>0</v>
      </c>
      <c r="T17" s="238">
        <f t="shared" si="10"/>
        <v>0</v>
      </c>
      <c r="U17" s="193">
        <v>0</v>
      </c>
      <c r="V17" s="238">
        <f t="shared" si="11"/>
        <v>0</v>
      </c>
      <c r="W17" s="193">
        <v>0</v>
      </c>
      <c r="X17" s="238">
        <f t="shared" si="12"/>
        <v>0</v>
      </c>
      <c r="Y17" s="193">
        <v>0</v>
      </c>
      <c r="Z17" s="238">
        <f t="shared" si="13"/>
        <v>0</v>
      </c>
      <c r="AA17" s="193">
        <v>0</v>
      </c>
      <c r="AB17" s="238">
        <f t="shared" si="14"/>
        <v>0</v>
      </c>
      <c r="AC17" s="193">
        <v>0</v>
      </c>
      <c r="AD17" s="238">
        <f t="shared" si="15"/>
        <v>0</v>
      </c>
      <c r="AE17" s="193">
        <v>0</v>
      </c>
      <c r="AF17" s="238">
        <f t="shared" si="16"/>
        <v>0</v>
      </c>
      <c r="AG17" s="193">
        <v>0</v>
      </c>
      <c r="AH17" s="238">
        <f t="shared" si="17"/>
        <v>0</v>
      </c>
      <c r="AI17" s="193">
        <v>0</v>
      </c>
      <c r="AJ17" s="238">
        <f t="shared" si="18"/>
        <v>0</v>
      </c>
      <c r="AK17" s="193">
        <v>0</v>
      </c>
      <c r="AL17" s="238">
        <f t="shared" si="19"/>
        <v>0</v>
      </c>
      <c r="AM17" s="193">
        <v>0</v>
      </c>
      <c r="AN17" s="238">
        <f t="shared" si="20"/>
        <v>0</v>
      </c>
      <c r="AO17" s="193">
        <v>0</v>
      </c>
      <c r="AP17" s="238">
        <f t="shared" si="21"/>
        <v>0</v>
      </c>
      <c r="AQ17" s="193">
        <v>0</v>
      </c>
      <c r="AR17" s="238">
        <f t="shared" si="22"/>
        <v>0</v>
      </c>
      <c r="AS17" s="193">
        <v>0</v>
      </c>
      <c r="AT17" s="238">
        <f t="shared" si="23"/>
        <v>0</v>
      </c>
      <c r="AU17" s="193">
        <v>0</v>
      </c>
      <c r="AV17" s="238">
        <f t="shared" si="24"/>
        <v>0</v>
      </c>
      <c r="AW17" s="193">
        <v>0</v>
      </c>
      <c r="AX17" s="238">
        <f t="shared" si="25"/>
        <v>0</v>
      </c>
      <c r="AY17" s="193">
        <v>0</v>
      </c>
      <c r="AZ17" s="238">
        <f t="shared" si="26"/>
        <v>0</v>
      </c>
      <c r="BA17" s="193">
        <v>0</v>
      </c>
      <c r="BB17" s="238">
        <f t="shared" si="27"/>
        <v>0</v>
      </c>
      <c r="BC17" s="193">
        <v>0</v>
      </c>
      <c r="BD17" s="238">
        <f t="shared" si="28"/>
        <v>0</v>
      </c>
      <c r="BE17" s="193">
        <v>0</v>
      </c>
      <c r="BF17" s="238">
        <f t="shared" si="29"/>
        <v>0</v>
      </c>
      <c r="BG17" s="193">
        <v>0</v>
      </c>
      <c r="BH17" s="238">
        <f t="shared" si="30"/>
        <v>0</v>
      </c>
      <c r="BI17" s="193">
        <v>0</v>
      </c>
      <c r="BJ17" s="238">
        <f t="shared" si="31"/>
        <v>0</v>
      </c>
      <c r="BK17" s="193">
        <v>0</v>
      </c>
      <c r="BL17" s="238">
        <f t="shared" si="32"/>
        <v>0</v>
      </c>
      <c r="BM17" s="193">
        <v>0</v>
      </c>
      <c r="BN17" s="238">
        <f t="shared" si="33"/>
        <v>0</v>
      </c>
      <c r="BO17" s="193">
        <v>0</v>
      </c>
      <c r="BP17" s="238">
        <f t="shared" si="34"/>
        <v>0</v>
      </c>
      <c r="BQ17" s="193">
        <v>0</v>
      </c>
      <c r="BR17" s="238">
        <f t="shared" si="35"/>
        <v>0</v>
      </c>
      <c r="BS17" s="225"/>
      <c r="BT17" s="239">
        <f t="shared" si="36"/>
        <v>702</v>
      </c>
      <c r="BU17" s="238">
        <f t="shared" si="0"/>
        <v>40365</v>
      </c>
    </row>
    <row r="18" spans="1:73" ht="14.25">
      <c r="A18" s="241">
        <v>1963</v>
      </c>
      <c r="B18" s="528">
        <f t="shared" si="1"/>
        <v>56.5</v>
      </c>
      <c r="C18" s="193">
        <v>0</v>
      </c>
      <c r="D18" s="238">
        <f t="shared" si="2"/>
        <v>0</v>
      </c>
      <c r="E18" s="193">
        <v>0</v>
      </c>
      <c r="F18" s="238">
        <f t="shared" si="3"/>
        <v>0</v>
      </c>
      <c r="G18" s="193">
        <v>0</v>
      </c>
      <c r="H18" s="238">
        <f t="shared" si="4"/>
        <v>0</v>
      </c>
      <c r="I18" s="193">
        <v>1961.8599999999999</v>
      </c>
      <c r="J18" s="238">
        <f t="shared" si="5"/>
        <v>110845.09</v>
      </c>
      <c r="K18" s="193">
        <v>0</v>
      </c>
      <c r="L18" s="238">
        <f t="shared" si="6"/>
        <v>0</v>
      </c>
      <c r="M18" s="193">
        <v>0</v>
      </c>
      <c r="N18" s="238">
        <f t="shared" si="7"/>
        <v>0</v>
      </c>
      <c r="O18" s="193">
        <v>0</v>
      </c>
      <c r="P18" s="238">
        <f t="shared" si="8"/>
        <v>0</v>
      </c>
      <c r="Q18" s="193">
        <v>0</v>
      </c>
      <c r="R18" s="238">
        <f t="shared" si="9"/>
        <v>0</v>
      </c>
      <c r="S18" s="193">
        <v>0</v>
      </c>
      <c r="T18" s="238">
        <f t="shared" si="10"/>
        <v>0</v>
      </c>
      <c r="U18" s="193">
        <v>0</v>
      </c>
      <c r="V18" s="238">
        <f t="shared" si="11"/>
        <v>0</v>
      </c>
      <c r="W18" s="193">
        <v>0</v>
      </c>
      <c r="X18" s="238">
        <f t="shared" si="12"/>
        <v>0</v>
      </c>
      <c r="Y18" s="193">
        <v>0</v>
      </c>
      <c r="Z18" s="238">
        <f t="shared" si="13"/>
        <v>0</v>
      </c>
      <c r="AA18" s="193">
        <v>0</v>
      </c>
      <c r="AB18" s="238">
        <f t="shared" si="14"/>
        <v>0</v>
      </c>
      <c r="AC18" s="193">
        <v>0</v>
      </c>
      <c r="AD18" s="238">
        <f t="shared" si="15"/>
        <v>0</v>
      </c>
      <c r="AE18" s="193">
        <v>0</v>
      </c>
      <c r="AF18" s="238">
        <f t="shared" si="16"/>
        <v>0</v>
      </c>
      <c r="AG18" s="193">
        <v>0</v>
      </c>
      <c r="AH18" s="238">
        <f t="shared" si="17"/>
        <v>0</v>
      </c>
      <c r="AI18" s="193">
        <v>0</v>
      </c>
      <c r="AJ18" s="238">
        <f t="shared" si="18"/>
        <v>0</v>
      </c>
      <c r="AK18" s="193">
        <v>0</v>
      </c>
      <c r="AL18" s="238">
        <f t="shared" si="19"/>
        <v>0</v>
      </c>
      <c r="AM18" s="193">
        <v>0</v>
      </c>
      <c r="AN18" s="238">
        <f t="shared" si="20"/>
        <v>0</v>
      </c>
      <c r="AO18" s="193">
        <v>0</v>
      </c>
      <c r="AP18" s="238">
        <f t="shared" si="21"/>
        <v>0</v>
      </c>
      <c r="AQ18" s="193">
        <v>0</v>
      </c>
      <c r="AR18" s="238">
        <f t="shared" si="22"/>
        <v>0</v>
      </c>
      <c r="AS18" s="193">
        <v>0</v>
      </c>
      <c r="AT18" s="238">
        <f t="shared" si="23"/>
        <v>0</v>
      </c>
      <c r="AU18" s="193">
        <v>0</v>
      </c>
      <c r="AV18" s="238">
        <f t="shared" si="24"/>
        <v>0</v>
      </c>
      <c r="AW18" s="193">
        <v>0</v>
      </c>
      <c r="AX18" s="238">
        <f t="shared" si="25"/>
        <v>0</v>
      </c>
      <c r="AY18" s="193">
        <v>0</v>
      </c>
      <c r="AZ18" s="238">
        <f t="shared" si="26"/>
        <v>0</v>
      </c>
      <c r="BA18" s="193">
        <v>0</v>
      </c>
      <c r="BB18" s="238">
        <f t="shared" si="27"/>
        <v>0</v>
      </c>
      <c r="BC18" s="193">
        <v>0</v>
      </c>
      <c r="BD18" s="238">
        <f t="shared" si="28"/>
        <v>0</v>
      </c>
      <c r="BE18" s="193">
        <v>0</v>
      </c>
      <c r="BF18" s="238">
        <f t="shared" si="29"/>
        <v>0</v>
      </c>
      <c r="BG18" s="193">
        <v>0</v>
      </c>
      <c r="BH18" s="238">
        <f t="shared" si="30"/>
        <v>0</v>
      </c>
      <c r="BI18" s="193">
        <v>0</v>
      </c>
      <c r="BJ18" s="238">
        <f t="shared" si="31"/>
        <v>0</v>
      </c>
      <c r="BK18" s="193">
        <v>0</v>
      </c>
      <c r="BL18" s="238">
        <f t="shared" si="32"/>
        <v>0</v>
      </c>
      <c r="BM18" s="193">
        <v>0</v>
      </c>
      <c r="BN18" s="238">
        <f t="shared" si="33"/>
        <v>0</v>
      </c>
      <c r="BO18" s="193">
        <v>0</v>
      </c>
      <c r="BP18" s="238">
        <f t="shared" si="34"/>
        <v>0</v>
      </c>
      <c r="BQ18" s="193">
        <v>0</v>
      </c>
      <c r="BR18" s="238">
        <f t="shared" si="35"/>
        <v>0</v>
      </c>
      <c r="BS18" s="225"/>
      <c r="BT18" s="239">
        <f t="shared" si="36"/>
        <v>1961.8599999999999</v>
      </c>
      <c r="BU18" s="238">
        <f t="shared" si="0"/>
        <v>110845.09</v>
      </c>
    </row>
    <row r="19" spans="1:73" ht="14.25">
      <c r="A19" s="241">
        <v>1964</v>
      </c>
      <c r="B19" s="528">
        <f t="shared" si="1"/>
        <v>55.5</v>
      </c>
      <c r="C19" s="193">
        <v>0</v>
      </c>
      <c r="D19" s="238">
        <f t="shared" si="2"/>
        <v>0</v>
      </c>
      <c r="E19" s="193">
        <v>0</v>
      </c>
      <c r="F19" s="238">
        <f t="shared" si="3"/>
        <v>0</v>
      </c>
      <c r="G19" s="193">
        <v>0</v>
      </c>
      <c r="H19" s="238">
        <f t="shared" si="4"/>
        <v>0</v>
      </c>
      <c r="I19" s="193">
        <v>425.24000000000001</v>
      </c>
      <c r="J19" s="238">
        <f t="shared" si="5"/>
        <v>23600.82</v>
      </c>
      <c r="K19" s="193">
        <v>0</v>
      </c>
      <c r="L19" s="238">
        <f t="shared" si="6"/>
        <v>0</v>
      </c>
      <c r="M19" s="193">
        <v>0</v>
      </c>
      <c r="N19" s="238">
        <f t="shared" si="7"/>
        <v>0</v>
      </c>
      <c r="O19" s="193">
        <v>0</v>
      </c>
      <c r="P19" s="238">
        <f t="shared" si="8"/>
        <v>0</v>
      </c>
      <c r="Q19" s="193">
        <v>0</v>
      </c>
      <c r="R19" s="238">
        <f t="shared" si="9"/>
        <v>0</v>
      </c>
      <c r="S19" s="193">
        <v>73.799999999999997</v>
      </c>
      <c r="T19" s="238">
        <f t="shared" si="10"/>
        <v>4095.8999999999996</v>
      </c>
      <c r="U19" s="193">
        <v>0</v>
      </c>
      <c r="V19" s="238">
        <f t="shared" si="11"/>
        <v>0</v>
      </c>
      <c r="W19" s="193">
        <v>0</v>
      </c>
      <c r="X19" s="238">
        <f t="shared" si="12"/>
        <v>0</v>
      </c>
      <c r="Y19" s="193">
        <v>0</v>
      </c>
      <c r="Z19" s="238">
        <f t="shared" si="13"/>
        <v>0</v>
      </c>
      <c r="AA19" s="193">
        <v>0</v>
      </c>
      <c r="AB19" s="238">
        <f t="shared" si="14"/>
        <v>0</v>
      </c>
      <c r="AC19" s="193">
        <v>0</v>
      </c>
      <c r="AD19" s="238">
        <f t="shared" si="15"/>
        <v>0</v>
      </c>
      <c r="AE19" s="193">
        <v>0</v>
      </c>
      <c r="AF19" s="238">
        <f t="shared" si="16"/>
        <v>0</v>
      </c>
      <c r="AG19" s="193">
        <v>0</v>
      </c>
      <c r="AH19" s="238">
        <f t="shared" si="17"/>
        <v>0</v>
      </c>
      <c r="AI19" s="193">
        <v>0</v>
      </c>
      <c r="AJ19" s="238">
        <f t="shared" si="18"/>
        <v>0</v>
      </c>
      <c r="AK19" s="193">
        <v>0</v>
      </c>
      <c r="AL19" s="238">
        <f t="shared" si="19"/>
        <v>0</v>
      </c>
      <c r="AM19" s="193">
        <v>0</v>
      </c>
      <c r="AN19" s="238">
        <f t="shared" si="20"/>
        <v>0</v>
      </c>
      <c r="AO19" s="193">
        <v>0</v>
      </c>
      <c r="AP19" s="238">
        <f t="shared" si="21"/>
        <v>0</v>
      </c>
      <c r="AQ19" s="193">
        <v>0</v>
      </c>
      <c r="AR19" s="238">
        <f t="shared" si="22"/>
        <v>0</v>
      </c>
      <c r="AS19" s="193">
        <v>0</v>
      </c>
      <c r="AT19" s="238">
        <f t="shared" si="23"/>
        <v>0</v>
      </c>
      <c r="AU19" s="193">
        <v>0</v>
      </c>
      <c r="AV19" s="238">
        <f t="shared" si="24"/>
        <v>0</v>
      </c>
      <c r="AW19" s="193">
        <v>0</v>
      </c>
      <c r="AX19" s="238">
        <f t="shared" si="25"/>
        <v>0</v>
      </c>
      <c r="AY19" s="193">
        <v>0</v>
      </c>
      <c r="AZ19" s="238">
        <f t="shared" si="26"/>
        <v>0</v>
      </c>
      <c r="BA19" s="193">
        <v>0</v>
      </c>
      <c r="BB19" s="238">
        <f t="shared" si="27"/>
        <v>0</v>
      </c>
      <c r="BC19" s="193">
        <v>0</v>
      </c>
      <c r="BD19" s="238">
        <f t="shared" si="28"/>
        <v>0</v>
      </c>
      <c r="BE19" s="193">
        <v>0</v>
      </c>
      <c r="BF19" s="238">
        <f t="shared" si="29"/>
        <v>0</v>
      </c>
      <c r="BG19" s="193">
        <v>0</v>
      </c>
      <c r="BH19" s="238">
        <f t="shared" si="30"/>
        <v>0</v>
      </c>
      <c r="BI19" s="193">
        <v>0</v>
      </c>
      <c r="BJ19" s="238">
        <f t="shared" si="31"/>
        <v>0</v>
      </c>
      <c r="BK19" s="193">
        <v>0</v>
      </c>
      <c r="BL19" s="238">
        <f t="shared" si="32"/>
        <v>0</v>
      </c>
      <c r="BM19" s="193">
        <v>0</v>
      </c>
      <c r="BN19" s="238">
        <f t="shared" si="33"/>
        <v>0</v>
      </c>
      <c r="BO19" s="193">
        <v>0</v>
      </c>
      <c r="BP19" s="238">
        <f t="shared" si="34"/>
        <v>0</v>
      </c>
      <c r="BQ19" s="193">
        <v>0</v>
      </c>
      <c r="BR19" s="238">
        <f t="shared" si="35"/>
        <v>0</v>
      </c>
      <c r="BS19" s="225"/>
      <c r="BT19" s="239">
        <f t="shared" si="36"/>
        <v>499.04000000000002</v>
      </c>
      <c r="BU19" s="238">
        <f t="shared" si="0"/>
        <v>27696.720000000001</v>
      </c>
    </row>
    <row r="20" spans="1:73" ht="14.25">
      <c r="A20" s="241">
        <v>1965</v>
      </c>
      <c r="B20" s="528">
        <f t="shared" si="1"/>
        <v>54.5</v>
      </c>
      <c r="C20" s="193">
        <v>0</v>
      </c>
      <c r="D20" s="238">
        <f t="shared" si="2"/>
        <v>0</v>
      </c>
      <c r="E20" s="193">
        <v>0</v>
      </c>
      <c r="F20" s="238">
        <f t="shared" si="3"/>
        <v>0</v>
      </c>
      <c r="G20" s="193">
        <v>0</v>
      </c>
      <c r="H20" s="238">
        <f t="shared" si="4"/>
        <v>0</v>
      </c>
      <c r="I20" s="193">
        <v>49.600000000000001</v>
      </c>
      <c r="J20" s="238">
        <f t="shared" si="5"/>
        <v>2703.2000000000003</v>
      </c>
      <c r="K20" s="193">
        <v>0</v>
      </c>
      <c r="L20" s="238">
        <f t="shared" si="6"/>
        <v>0</v>
      </c>
      <c r="M20" s="193">
        <v>0</v>
      </c>
      <c r="N20" s="238">
        <f t="shared" si="7"/>
        <v>0</v>
      </c>
      <c r="O20" s="193">
        <v>0</v>
      </c>
      <c r="P20" s="238">
        <f t="shared" si="8"/>
        <v>0</v>
      </c>
      <c r="Q20" s="193">
        <v>0</v>
      </c>
      <c r="R20" s="238">
        <f t="shared" si="9"/>
        <v>0</v>
      </c>
      <c r="S20" s="193">
        <v>0</v>
      </c>
      <c r="T20" s="238">
        <f t="shared" si="10"/>
        <v>0</v>
      </c>
      <c r="U20" s="193">
        <v>0</v>
      </c>
      <c r="V20" s="238">
        <f t="shared" si="11"/>
        <v>0</v>
      </c>
      <c r="W20" s="193">
        <v>0</v>
      </c>
      <c r="X20" s="238">
        <f t="shared" si="12"/>
        <v>0</v>
      </c>
      <c r="Y20" s="193">
        <v>0</v>
      </c>
      <c r="Z20" s="238">
        <f t="shared" si="13"/>
        <v>0</v>
      </c>
      <c r="AA20" s="193">
        <v>0</v>
      </c>
      <c r="AB20" s="238">
        <f t="shared" si="14"/>
        <v>0</v>
      </c>
      <c r="AC20" s="193">
        <v>0</v>
      </c>
      <c r="AD20" s="238">
        <f t="shared" si="15"/>
        <v>0</v>
      </c>
      <c r="AE20" s="193">
        <v>0</v>
      </c>
      <c r="AF20" s="238">
        <f t="shared" si="16"/>
        <v>0</v>
      </c>
      <c r="AG20" s="193">
        <v>0</v>
      </c>
      <c r="AH20" s="238">
        <f t="shared" si="17"/>
        <v>0</v>
      </c>
      <c r="AI20" s="193">
        <v>0</v>
      </c>
      <c r="AJ20" s="238">
        <f t="shared" si="18"/>
        <v>0</v>
      </c>
      <c r="AK20" s="193">
        <v>0</v>
      </c>
      <c r="AL20" s="238">
        <f t="shared" si="19"/>
        <v>0</v>
      </c>
      <c r="AM20" s="193">
        <v>0</v>
      </c>
      <c r="AN20" s="238">
        <f t="shared" si="20"/>
        <v>0</v>
      </c>
      <c r="AO20" s="193">
        <v>0</v>
      </c>
      <c r="AP20" s="238">
        <f t="shared" si="21"/>
        <v>0</v>
      </c>
      <c r="AQ20" s="193">
        <v>0</v>
      </c>
      <c r="AR20" s="238">
        <f t="shared" si="22"/>
        <v>0</v>
      </c>
      <c r="AS20" s="193">
        <v>0</v>
      </c>
      <c r="AT20" s="238">
        <f t="shared" si="23"/>
        <v>0</v>
      </c>
      <c r="AU20" s="193">
        <v>0</v>
      </c>
      <c r="AV20" s="238">
        <f t="shared" si="24"/>
        <v>0</v>
      </c>
      <c r="AW20" s="193">
        <v>0</v>
      </c>
      <c r="AX20" s="238">
        <f t="shared" si="25"/>
        <v>0</v>
      </c>
      <c r="AY20" s="193">
        <v>0</v>
      </c>
      <c r="AZ20" s="238">
        <f t="shared" si="26"/>
        <v>0</v>
      </c>
      <c r="BA20" s="193">
        <v>0</v>
      </c>
      <c r="BB20" s="238">
        <f t="shared" si="27"/>
        <v>0</v>
      </c>
      <c r="BC20" s="193">
        <v>0</v>
      </c>
      <c r="BD20" s="238">
        <f t="shared" si="28"/>
        <v>0</v>
      </c>
      <c r="BE20" s="193">
        <v>0</v>
      </c>
      <c r="BF20" s="238">
        <f t="shared" si="29"/>
        <v>0</v>
      </c>
      <c r="BG20" s="193">
        <v>0</v>
      </c>
      <c r="BH20" s="238">
        <f t="shared" si="30"/>
        <v>0</v>
      </c>
      <c r="BI20" s="193">
        <v>0</v>
      </c>
      <c r="BJ20" s="238">
        <f t="shared" si="31"/>
        <v>0</v>
      </c>
      <c r="BK20" s="193">
        <v>0</v>
      </c>
      <c r="BL20" s="238">
        <f t="shared" si="32"/>
        <v>0</v>
      </c>
      <c r="BM20" s="193">
        <v>0</v>
      </c>
      <c r="BN20" s="238">
        <f t="shared" si="33"/>
        <v>0</v>
      </c>
      <c r="BO20" s="193">
        <v>0</v>
      </c>
      <c r="BP20" s="238">
        <f t="shared" si="34"/>
        <v>0</v>
      </c>
      <c r="BQ20" s="193">
        <v>0</v>
      </c>
      <c r="BR20" s="238">
        <f t="shared" si="35"/>
        <v>0</v>
      </c>
      <c r="BS20" s="225"/>
      <c r="BT20" s="239">
        <f t="shared" si="36"/>
        <v>49.600000000000001</v>
      </c>
      <c r="BU20" s="238">
        <f t="shared" si="0"/>
        <v>2703.2000000000003</v>
      </c>
    </row>
    <row r="21" spans="1:73" ht="14.25" hidden="1">
      <c r="A21" s="241">
        <v>1966</v>
      </c>
      <c r="B21" s="528">
        <f t="shared" si="1"/>
        <v>53.5</v>
      </c>
      <c r="C21" s="193">
        <v>0</v>
      </c>
      <c r="D21" s="238">
        <f t="shared" si="2"/>
        <v>0</v>
      </c>
      <c r="E21" s="193">
        <v>0</v>
      </c>
      <c r="F21" s="238">
        <f t="shared" si="3"/>
        <v>0</v>
      </c>
      <c r="G21" s="193">
        <v>0</v>
      </c>
      <c r="H21" s="238">
        <f t="shared" si="4"/>
        <v>0</v>
      </c>
      <c r="I21" s="193">
        <v>0</v>
      </c>
      <c r="J21" s="238">
        <f t="shared" si="5"/>
        <v>0</v>
      </c>
      <c r="K21" s="193">
        <v>0</v>
      </c>
      <c r="L21" s="238">
        <f t="shared" si="6"/>
        <v>0</v>
      </c>
      <c r="M21" s="193">
        <v>0</v>
      </c>
      <c r="N21" s="238">
        <f t="shared" si="7"/>
        <v>0</v>
      </c>
      <c r="O21" s="193">
        <v>0</v>
      </c>
      <c r="P21" s="238">
        <f t="shared" si="8"/>
        <v>0</v>
      </c>
      <c r="Q21" s="193">
        <v>0</v>
      </c>
      <c r="R21" s="238">
        <f t="shared" si="9"/>
        <v>0</v>
      </c>
      <c r="S21" s="193">
        <v>0</v>
      </c>
      <c r="T21" s="238">
        <f t="shared" si="10"/>
        <v>0</v>
      </c>
      <c r="U21" s="193">
        <v>0</v>
      </c>
      <c r="V21" s="238">
        <f t="shared" si="11"/>
        <v>0</v>
      </c>
      <c r="W21" s="193">
        <v>0</v>
      </c>
      <c r="X21" s="238">
        <f t="shared" si="12"/>
        <v>0</v>
      </c>
      <c r="Y21" s="193">
        <v>0</v>
      </c>
      <c r="Z21" s="238">
        <f t="shared" si="13"/>
        <v>0</v>
      </c>
      <c r="AA21" s="193">
        <v>0</v>
      </c>
      <c r="AB21" s="238">
        <f t="shared" si="14"/>
        <v>0</v>
      </c>
      <c r="AC21" s="193">
        <v>0</v>
      </c>
      <c r="AD21" s="238">
        <f t="shared" si="15"/>
        <v>0</v>
      </c>
      <c r="AE21" s="193">
        <v>0</v>
      </c>
      <c r="AF21" s="238">
        <f t="shared" si="16"/>
        <v>0</v>
      </c>
      <c r="AG21" s="193">
        <v>0</v>
      </c>
      <c r="AH21" s="238">
        <f t="shared" si="17"/>
        <v>0</v>
      </c>
      <c r="AI21" s="193">
        <v>0</v>
      </c>
      <c r="AJ21" s="238">
        <f t="shared" si="18"/>
        <v>0</v>
      </c>
      <c r="AK21" s="193">
        <v>0</v>
      </c>
      <c r="AL21" s="238">
        <f t="shared" si="19"/>
        <v>0</v>
      </c>
      <c r="AM21" s="193">
        <v>0</v>
      </c>
      <c r="AN21" s="238">
        <f t="shared" si="20"/>
        <v>0</v>
      </c>
      <c r="AO21" s="193">
        <v>0</v>
      </c>
      <c r="AP21" s="238">
        <f t="shared" si="21"/>
        <v>0</v>
      </c>
      <c r="AQ21" s="193">
        <v>0</v>
      </c>
      <c r="AR21" s="238">
        <f t="shared" si="22"/>
        <v>0</v>
      </c>
      <c r="AS21" s="193">
        <v>0</v>
      </c>
      <c r="AT21" s="238">
        <f t="shared" si="23"/>
        <v>0</v>
      </c>
      <c r="AU21" s="193">
        <v>0</v>
      </c>
      <c r="AV21" s="238">
        <f t="shared" si="24"/>
        <v>0</v>
      </c>
      <c r="AW21" s="193">
        <v>0</v>
      </c>
      <c r="AX21" s="238">
        <f t="shared" si="25"/>
        <v>0</v>
      </c>
      <c r="AY21" s="193">
        <v>0</v>
      </c>
      <c r="AZ21" s="238">
        <f t="shared" si="26"/>
        <v>0</v>
      </c>
      <c r="BA21" s="193">
        <v>0</v>
      </c>
      <c r="BB21" s="238">
        <f t="shared" si="27"/>
        <v>0</v>
      </c>
      <c r="BC21" s="193">
        <v>0</v>
      </c>
      <c r="BD21" s="238">
        <f t="shared" si="28"/>
        <v>0</v>
      </c>
      <c r="BE21" s="193">
        <v>0</v>
      </c>
      <c r="BF21" s="238">
        <f t="shared" si="29"/>
        <v>0</v>
      </c>
      <c r="BG21" s="193">
        <v>0</v>
      </c>
      <c r="BH21" s="238">
        <f t="shared" si="30"/>
        <v>0</v>
      </c>
      <c r="BI21" s="193">
        <v>0</v>
      </c>
      <c r="BJ21" s="238">
        <f t="shared" si="31"/>
        <v>0</v>
      </c>
      <c r="BK21" s="193">
        <v>0</v>
      </c>
      <c r="BL21" s="238">
        <f t="shared" si="32"/>
        <v>0</v>
      </c>
      <c r="BM21" s="193">
        <v>0</v>
      </c>
      <c r="BN21" s="238">
        <f t="shared" si="33"/>
        <v>0</v>
      </c>
      <c r="BO21" s="193">
        <v>0</v>
      </c>
      <c r="BP21" s="238">
        <f t="shared" si="34"/>
        <v>0</v>
      </c>
      <c r="BQ21" s="193">
        <v>0</v>
      </c>
      <c r="BR21" s="238">
        <f t="shared" si="35"/>
        <v>0</v>
      </c>
      <c r="BS21" s="225"/>
      <c r="BT21" s="239">
        <f t="shared" si="36"/>
        <v>0</v>
      </c>
      <c r="BU21" s="238">
        <f t="shared" si="0"/>
        <v>0</v>
      </c>
    </row>
    <row r="22" spans="1:73" ht="14.25">
      <c r="A22" s="241">
        <v>1967</v>
      </c>
      <c r="B22" s="528">
        <f t="shared" si="1"/>
        <v>52.5</v>
      </c>
      <c r="C22" s="193">
        <v>0</v>
      </c>
      <c r="D22" s="238">
        <f t="shared" si="2"/>
        <v>0</v>
      </c>
      <c r="E22" s="193">
        <v>0</v>
      </c>
      <c r="F22" s="238">
        <f t="shared" si="3"/>
        <v>0</v>
      </c>
      <c r="G22" s="193">
        <v>0</v>
      </c>
      <c r="H22" s="238">
        <f t="shared" si="4"/>
        <v>0</v>
      </c>
      <c r="I22" s="193">
        <v>0</v>
      </c>
      <c r="J22" s="238">
        <f t="shared" si="5"/>
        <v>0</v>
      </c>
      <c r="K22" s="193">
        <v>0</v>
      </c>
      <c r="L22" s="238">
        <f t="shared" si="6"/>
        <v>0</v>
      </c>
      <c r="M22" s="193">
        <v>0</v>
      </c>
      <c r="N22" s="238">
        <f t="shared" si="7"/>
        <v>0</v>
      </c>
      <c r="O22" s="193">
        <v>0</v>
      </c>
      <c r="P22" s="238">
        <f t="shared" si="8"/>
        <v>0</v>
      </c>
      <c r="Q22" s="193">
        <v>0</v>
      </c>
      <c r="R22" s="238">
        <f t="shared" si="9"/>
        <v>0</v>
      </c>
      <c r="S22" s="193">
        <v>292.19</v>
      </c>
      <c r="T22" s="238">
        <f t="shared" si="10"/>
        <v>15339.975</v>
      </c>
      <c r="U22" s="193">
        <v>0</v>
      </c>
      <c r="V22" s="238">
        <f t="shared" si="11"/>
        <v>0</v>
      </c>
      <c r="W22" s="193">
        <v>618.88999999999874</v>
      </c>
      <c r="X22" s="238">
        <f t="shared" si="12"/>
        <v>32491.724999999933</v>
      </c>
      <c r="Y22" s="193">
        <v>0</v>
      </c>
      <c r="Z22" s="238">
        <f t="shared" si="13"/>
        <v>0</v>
      </c>
      <c r="AA22" s="193">
        <v>0</v>
      </c>
      <c r="AB22" s="238">
        <f t="shared" si="14"/>
        <v>0</v>
      </c>
      <c r="AC22" s="193">
        <v>0</v>
      </c>
      <c r="AD22" s="238">
        <f t="shared" si="15"/>
        <v>0</v>
      </c>
      <c r="AE22" s="193">
        <v>0</v>
      </c>
      <c r="AF22" s="238">
        <f t="shared" si="16"/>
        <v>0</v>
      </c>
      <c r="AG22" s="193">
        <v>0</v>
      </c>
      <c r="AH22" s="238">
        <f t="shared" si="17"/>
        <v>0</v>
      </c>
      <c r="AI22" s="193">
        <v>0</v>
      </c>
      <c r="AJ22" s="238">
        <f t="shared" si="18"/>
        <v>0</v>
      </c>
      <c r="AK22" s="193">
        <v>0</v>
      </c>
      <c r="AL22" s="238">
        <f t="shared" si="19"/>
        <v>0</v>
      </c>
      <c r="AM22" s="193">
        <v>0</v>
      </c>
      <c r="AN22" s="238">
        <f t="shared" si="20"/>
        <v>0</v>
      </c>
      <c r="AO22" s="193">
        <v>0</v>
      </c>
      <c r="AP22" s="238">
        <f t="shared" si="21"/>
        <v>0</v>
      </c>
      <c r="AQ22" s="193">
        <v>0</v>
      </c>
      <c r="AR22" s="238">
        <f t="shared" si="22"/>
        <v>0</v>
      </c>
      <c r="AS22" s="193">
        <v>0</v>
      </c>
      <c r="AT22" s="238">
        <f t="shared" si="23"/>
        <v>0</v>
      </c>
      <c r="AU22" s="193">
        <v>0</v>
      </c>
      <c r="AV22" s="238">
        <f t="shared" si="24"/>
        <v>0</v>
      </c>
      <c r="AW22" s="193">
        <v>0</v>
      </c>
      <c r="AX22" s="238">
        <f t="shared" si="25"/>
        <v>0</v>
      </c>
      <c r="AY22" s="193">
        <v>0</v>
      </c>
      <c r="AZ22" s="238">
        <f t="shared" si="26"/>
        <v>0</v>
      </c>
      <c r="BA22" s="193">
        <v>0</v>
      </c>
      <c r="BB22" s="238">
        <f t="shared" si="27"/>
        <v>0</v>
      </c>
      <c r="BC22" s="193">
        <v>0</v>
      </c>
      <c r="BD22" s="238">
        <f t="shared" si="28"/>
        <v>0</v>
      </c>
      <c r="BE22" s="193">
        <v>0</v>
      </c>
      <c r="BF22" s="238">
        <f t="shared" si="29"/>
        <v>0</v>
      </c>
      <c r="BG22" s="193">
        <v>0</v>
      </c>
      <c r="BH22" s="238">
        <f t="shared" si="30"/>
        <v>0</v>
      </c>
      <c r="BI22" s="193">
        <v>0</v>
      </c>
      <c r="BJ22" s="238">
        <f t="shared" si="31"/>
        <v>0</v>
      </c>
      <c r="BK22" s="193">
        <v>0</v>
      </c>
      <c r="BL22" s="238">
        <f t="shared" si="32"/>
        <v>0</v>
      </c>
      <c r="BM22" s="193">
        <v>0</v>
      </c>
      <c r="BN22" s="238">
        <f t="shared" si="33"/>
        <v>0</v>
      </c>
      <c r="BO22" s="193">
        <v>0</v>
      </c>
      <c r="BP22" s="238">
        <f t="shared" si="34"/>
        <v>0</v>
      </c>
      <c r="BQ22" s="193">
        <v>0</v>
      </c>
      <c r="BR22" s="238">
        <f t="shared" si="35"/>
        <v>0</v>
      </c>
      <c r="BS22" s="225"/>
      <c r="BT22" s="239">
        <f t="shared" si="36"/>
        <v>911.07999999999879</v>
      </c>
      <c r="BU22" s="238">
        <f t="shared" si="0"/>
        <v>47831.699999999939</v>
      </c>
    </row>
    <row r="23" spans="1:73" ht="14.25">
      <c r="A23" s="241">
        <v>1968</v>
      </c>
      <c r="B23" s="528">
        <f t="shared" si="1"/>
        <v>51.5</v>
      </c>
      <c r="C23" s="193">
        <v>0</v>
      </c>
      <c r="D23" s="238">
        <f t="shared" si="2"/>
        <v>0</v>
      </c>
      <c r="E23" s="193">
        <v>0</v>
      </c>
      <c r="F23" s="238">
        <f t="shared" si="3"/>
        <v>0</v>
      </c>
      <c r="G23" s="193">
        <v>0</v>
      </c>
      <c r="H23" s="238">
        <f t="shared" si="4"/>
        <v>0</v>
      </c>
      <c r="I23" s="193">
        <v>1633.5</v>
      </c>
      <c r="J23" s="238">
        <f t="shared" si="5"/>
        <v>84125.25</v>
      </c>
      <c r="K23" s="193">
        <v>0</v>
      </c>
      <c r="L23" s="238">
        <f t="shared" si="6"/>
        <v>0</v>
      </c>
      <c r="M23" s="193">
        <v>0</v>
      </c>
      <c r="N23" s="238">
        <f t="shared" si="7"/>
        <v>0</v>
      </c>
      <c r="O23" s="193">
        <v>0</v>
      </c>
      <c r="P23" s="238">
        <f t="shared" si="8"/>
        <v>0</v>
      </c>
      <c r="Q23" s="193">
        <v>13967.1</v>
      </c>
      <c r="R23" s="238">
        <f t="shared" si="9"/>
        <v>719305.65000000002</v>
      </c>
      <c r="S23" s="193">
        <v>37827.919999999998</v>
      </c>
      <c r="T23" s="238">
        <f t="shared" si="10"/>
        <v>1948137.8799999999</v>
      </c>
      <c r="U23" s="193">
        <v>0</v>
      </c>
      <c r="V23" s="238">
        <f t="shared" si="11"/>
        <v>0</v>
      </c>
      <c r="W23" s="193">
        <v>351.35000000000036</v>
      </c>
      <c r="X23" s="238">
        <f t="shared" si="12"/>
        <v>18094.52500000002</v>
      </c>
      <c r="Y23" s="193">
        <v>0</v>
      </c>
      <c r="Z23" s="238">
        <f t="shared" si="13"/>
        <v>0</v>
      </c>
      <c r="AA23" s="193">
        <v>0</v>
      </c>
      <c r="AB23" s="238">
        <f t="shared" si="14"/>
        <v>0</v>
      </c>
      <c r="AC23" s="193">
        <v>0</v>
      </c>
      <c r="AD23" s="238">
        <f t="shared" si="15"/>
        <v>0</v>
      </c>
      <c r="AE23" s="193">
        <v>0</v>
      </c>
      <c r="AF23" s="238">
        <f t="shared" si="16"/>
        <v>0</v>
      </c>
      <c r="AG23" s="193">
        <v>0</v>
      </c>
      <c r="AH23" s="238">
        <f t="shared" si="17"/>
        <v>0</v>
      </c>
      <c r="AI23" s="193">
        <v>0</v>
      </c>
      <c r="AJ23" s="238">
        <f t="shared" si="18"/>
        <v>0</v>
      </c>
      <c r="AK23" s="193">
        <v>0</v>
      </c>
      <c r="AL23" s="238">
        <f t="shared" si="19"/>
        <v>0</v>
      </c>
      <c r="AM23" s="193">
        <v>0</v>
      </c>
      <c r="AN23" s="238">
        <f t="shared" si="20"/>
        <v>0</v>
      </c>
      <c r="AO23" s="193">
        <v>0</v>
      </c>
      <c r="AP23" s="238">
        <f t="shared" si="21"/>
        <v>0</v>
      </c>
      <c r="AQ23" s="193">
        <v>0</v>
      </c>
      <c r="AR23" s="238">
        <f t="shared" si="22"/>
        <v>0</v>
      </c>
      <c r="AS23" s="193">
        <v>0</v>
      </c>
      <c r="AT23" s="238">
        <f t="shared" si="23"/>
        <v>0</v>
      </c>
      <c r="AU23" s="193">
        <v>0</v>
      </c>
      <c r="AV23" s="238">
        <f t="shared" si="24"/>
        <v>0</v>
      </c>
      <c r="AW23" s="193">
        <v>0</v>
      </c>
      <c r="AX23" s="238">
        <f t="shared" si="25"/>
        <v>0</v>
      </c>
      <c r="AY23" s="193">
        <v>0</v>
      </c>
      <c r="AZ23" s="238">
        <f t="shared" si="26"/>
        <v>0</v>
      </c>
      <c r="BA23" s="193">
        <v>0</v>
      </c>
      <c r="BB23" s="238">
        <f t="shared" si="27"/>
        <v>0</v>
      </c>
      <c r="BC23" s="193">
        <v>0</v>
      </c>
      <c r="BD23" s="238">
        <f t="shared" si="28"/>
        <v>0</v>
      </c>
      <c r="BE23" s="193">
        <v>0</v>
      </c>
      <c r="BF23" s="238">
        <f t="shared" si="29"/>
        <v>0</v>
      </c>
      <c r="BG23" s="193">
        <v>0</v>
      </c>
      <c r="BH23" s="238">
        <f t="shared" si="30"/>
        <v>0</v>
      </c>
      <c r="BI23" s="193">
        <v>0</v>
      </c>
      <c r="BJ23" s="238">
        <f t="shared" si="31"/>
        <v>0</v>
      </c>
      <c r="BK23" s="193">
        <v>0</v>
      </c>
      <c r="BL23" s="238">
        <f t="shared" si="32"/>
        <v>0</v>
      </c>
      <c r="BM23" s="193">
        <v>0</v>
      </c>
      <c r="BN23" s="238">
        <f t="shared" si="33"/>
        <v>0</v>
      </c>
      <c r="BO23" s="193">
        <v>0</v>
      </c>
      <c r="BP23" s="238">
        <f t="shared" si="34"/>
        <v>0</v>
      </c>
      <c r="BQ23" s="193">
        <v>0</v>
      </c>
      <c r="BR23" s="238">
        <f t="shared" si="35"/>
        <v>0</v>
      </c>
      <c r="BS23" s="225"/>
      <c r="BT23" s="239">
        <f t="shared" si="36"/>
        <v>53779.869999999995</v>
      </c>
      <c r="BU23" s="238">
        <f t="shared" si="0"/>
        <v>2769663.3049999997</v>
      </c>
    </row>
    <row r="24" spans="1:73" ht="14.25">
      <c r="A24" s="241">
        <v>1969</v>
      </c>
      <c r="B24" s="528">
        <f t="shared" si="1"/>
        <v>50.5</v>
      </c>
      <c r="C24" s="193">
        <v>0</v>
      </c>
      <c r="D24" s="238">
        <f t="shared" si="2"/>
        <v>0</v>
      </c>
      <c r="E24" s="193">
        <v>0</v>
      </c>
      <c r="F24" s="238">
        <f t="shared" si="3"/>
        <v>0</v>
      </c>
      <c r="G24" s="193">
        <v>0</v>
      </c>
      <c r="H24" s="238">
        <f t="shared" si="4"/>
        <v>0</v>
      </c>
      <c r="I24" s="193">
        <v>0</v>
      </c>
      <c r="J24" s="238">
        <f t="shared" si="5"/>
        <v>0</v>
      </c>
      <c r="K24" s="193">
        <v>0</v>
      </c>
      <c r="L24" s="238">
        <f t="shared" si="6"/>
        <v>0</v>
      </c>
      <c r="M24" s="193">
        <v>0</v>
      </c>
      <c r="N24" s="238">
        <f t="shared" si="7"/>
        <v>0</v>
      </c>
      <c r="O24" s="193">
        <v>0</v>
      </c>
      <c r="P24" s="238">
        <f t="shared" si="8"/>
        <v>0</v>
      </c>
      <c r="Q24" s="193">
        <v>0</v>
      </c>
      <c r="R24" s="238">
        <f t="shared" si="9"/>
        <v>0</v>
      </c>
      <c r="S24" s="193">
        <v>0</v>
      </c>
      <c r="T24" s="238">
        <f t="shared" si="10"/>
        <v>0</v>
      </c>
      <c r="U24" s="193">
        <v>0</v>
      </c>
      <c r="V24" s="238">
        <f t="shared" si="11"/>
        <v>0</v>
      </c>
      <c r="W24" s="193">
        <v>1923.4900000000002</v>
      </c>
      <c r="X24" s="238">
        <f t="shared" si="12"/>
        <v>97136.24500000001</v>
      </c>
      <c r="Y24" s="193">
        <v>0</v>
      </c>
      <c r="Z24" s="238">
        <f t="shared" si="13"/>
        <v>0</v>
      </c>
      <c r="AA24" s="193">
        <v>0</v>
      </c>
      <c r="AB24" s="238">
        <f t="shared" si="14"/>
        <v>0</v>
      </c>
      <c r="AC24" s="193">
        <v>0</v>
      </c>
      <c r="AD24" s="238">
        <f t="shared" si="15"/>
        <v>0</v>
      </c>
      <c r="AE24" s="193">
        <v>0</v>
      </c>
      <c r="AF24" s="238">
        <f t="shared" si="16"/>
        <v>0</v>
      </c>
      <c r="AG24" s="193">
        <v>0</v>
      </c>
      <c r="AH24" s="238">
        <f t="shared" si="17"/>
        <v>0</v>
      </c>
      <c r="AI24" s="193">
        <v>0</v>
      </c>
      <c r="AJ24" s="238">
        <f t="shared" si="18"/>
        <v>0</v>
      </c>
      <c r="AK24" s="193">
        <v>0</v>
      </c>
      <c r="AL24" s="238">
        <f t="shared" si="19"/>
        <v>0</v>
      </c>
      <c r="AM24" s="193">
        <v>0</v>
      </c>
      <c r="AN24" s="238">
        <f t="shared" si="20"/>
        <v>0</v>
      </c>
      <c r="AO24" s="193">
        <v>0</v>
      </c>
      <c r="AP24" s="238">
        <f t="shared" si="21"/>
        <v>0</v>
      </c>
      <c r="AQ24" s="193">
        <v>0</v>
      </c>
      <c r="AR24" s="238">
        <f t="shared" si="22"/>
        <v>0</v>
      </c>
      <c r="AS24" s="193">
        <v>0</v>
      </c>
      <c r="AT24" s="238">
        <f t="shared" si="23"/>
        <v>0</v>
      </c>
      <c r="AU24" s="193">
        <v>0</v>
      </c>
      <c r="AV24" s="238">
        <f t="shared" si="24"/>
        <v>0</v>
      </c>
      <c r="AW24" s="193">
        <v>0</v>
      </c>
      <c r="AX24" s="238">
        <f t="shared" si="25"/>
        <v>0</v>
      </c>
      <c r="AY24" s="193">
        <v>0</v>
      </c>
      <c r="AZ24" s="238">
        <f t="shared" si="26"/>
        <v>0</v>
      </c>
      <c r="BA24" s="193">
        <v>0</v>
      </c>
      <c r="BB24" s="238">
        <f t="shared" si="27"/>
        <v>0</v>
      </c>
      <c r="BC24" s="193">
        <v>0</v>
      </c>
      <c r="BD24" s="238">
        <f t="shared" si="28"/>
        <v>0</v>
      </c>
      <c r="BE24" s="193">
        <v>0</v>
      </c>
      <c r="BF24" s="238">
        <f t="shared" si="29"/>
        <v>0</v>
      </c>
      <c r="BG24" s="193">
        <v>0</v>
      </c>
      <c r="BH24" s="238">
        <f t="shared" si="30"/>
        <v>0</v>
      </c>
      <c r="BI24" s="193">
        <v>0</v>
      </c>
      <c r="BJ24" s="238">
        <f t="shared" si="31"/>
        <v>0</v>
      </c>
      <c r="BK24" s="193">
        <v>0</v>
      </c>
      <c r="BL24" s="238">
        <f t="shared" si="32"/>
        <v>0</v>
      </c>
      <c r="BM24" s="193">
        <v>0</v>
      </c>
      <c r="BN24" s="238">
        <f t="shared" si="33"/>
        <v>0</v>
      </c>
      <c r="BO24" s="193">
        <v>0</v>
      </c>
      <c r="BP24" s="238">
        <f t="shared" si="34"/>
        <v>0</v>
      </c>
      <c r="BQ24" s="193">
        <v>0</v>
      </c>
      <c r="BR24" s="238">
        <f t="shared" si="35"/>
        <v>0</v>
      </c>
      <c r="BS24" s="225"/>
      <c r="BT24" s="239">
        <f t="shared" si="36"/>
        <v>1923.4900000000002</v>
      </c>
      <c r="BU24" s="238">
        <f t="shared" si="0"/>
        <v>97136.24500000001</v>
      </c>
    </row>
    <row r="25" spans="1:73" ht="14.25">
      <c r="A25" s="241">
        <v>1970</v>
      </c>
      <c r="B25" s="528">
        <f t="shared" si="1"/>
        <v>49.5</v>
      </c>
      <c r="C25" s="193">
        <v>0</v>
      </c>
      <c r="D25" s="238">
        <f t="shared" si="2"/>
        <v>0</v>
      </c>
      <c r="E25" s="193">
        <v>0</v>
      </c>
      <c r="F25" s="238">
        <f t="shared" si="3"/>
        <v>0</v>
      </c>
      <c r="G25" s="193">
        <v>0</v>
      </c>
      <c r="H25" s="238">
        <f t="shared" si="4"/>
        <v>0</v>
      </c>
      <c r="I25" s="193">
        <v>0</v>
      </c>
      <c r="J25" s="238">
        <f t="shared" si="5"/>
        <v>0</v>
      </c>
      <c r="K25" s="193">
        <v>0</v>
      </c>
      <c r="L25" s="238">
        <f t="shared" si="6"/>
        <v>0</v>
      </c>
      <c r="M25" s="193">
        <v>0</v>
      </c>
      <c r="N25" s="238">
        <f t="shared" si="7"/>
        <v>0</v>
      </c>
      <c r="O25" s="193">
        <v>0</v>
      </c>
      <c r="P25" s="238">
        <f t="shared" si="8"/>
        <v>0</v>
      </c>
      <c r="Q25" s="193">
        <v>0</v>
      </c>
      <c r="R25" s="238">
        <f t="shared" si="9"/>
        <v>0</v>
      </c>
      <c r="S25" s="193">
        <v>259.76999999999998</v>
      </c>
      <c r="T25" s="238">
        <f t="shared" si="10"/>
        <v>12858.615</v>
      </c>
      <c r="U25" s="193">
        <v>0</v>
      </c>
      <c r="V25" s="238">
        <f t="shared" si="11"/>
        <v>0</v>
      </c>
      <c r="W25" s="193">
        <v>0</v>
      </c>
      <c r="X25" s="238">
        <f t="shared" si="12"/>
        <v>0</v>
      </c>
      <c r="Y25" s="193">
        <v>0</v>
      </c>
      <c r="Z25" s="238">
        <f t="shared" si="13"/>
        <v>0</v>
      </c>
      <c r="AA25" s="193">
        <v>0</v>
      </c>
      <c r="AB25" s="238">
        <f t="shared" si="14"/>
        <v>0</v>
      </c>
      <c r="AC25" s="193">
        <v>0</v>
      </c>
      <c r="AD25" s="238">
        <f t="shared" si="15"/>
        <v>0</v>
      </c>
      <c r="AE25" s="193">
        <v>0</v>
      </c>
      <c r="AF25" s="238">
        <f t="shared" si="16"/>
        <v>0</v>
      </c>
      <c r="AG25" s="193">
        <v>0</v>
      </c>
      <c r="AH25" s="238">
        <f t="shared" si="17"/>
        <v>0</v>
      </c>
      <c r="AI25" s="193">
        <v>0</v>
      </c>
      <c r="AJ25" s="238">
        <f t="shared" si="18"/>
        <v>0</v>
      </c>
      <c r="AK25" s="193">
        <v>0</v>
      </c>
      <c r="AL25" s="238">
        <f t="shared" si="19"/>
        <v>0</v>
      </c>
      <c r="AM25" s="193">
        <v>0</v>
      </c>
      <c r="AN25" s="238">
        <f t="shared" si="20"/>
        <v>0</v>
      </c>
      <c r="AO25" s="193">
        <v>0</v>
      </c>
      <c r="AP25" s="238">
        <f t="shared" si="21"/>
        <v>0</v>
      </c>
      <c r="AQ25" s="193">
        <v>0</v>
      </c>
      <c r="AR25" s="238">
        <f t="shared" si="22"/>
        <v>0</v>
      </c>
      <c r="AS25" s="193">
        <v>0</v>
      </c>
      <c r="AT25" s="238">
        <f t="shared" si="23"/>
        <v>0</v>
      </c>
      <c r="AU25" s="193">
        <v>0</v>
      </c>
      <c r="AV25" s="238">
        <f t="shared" si="24"/>
        <v>0</v>
      </c>
      <c r="AW25" s="193">
        <v>0</v>
      </c>
      <c r="AX25" s="238">
        <f t="shared" si="25"/>
        <v>0</v>
      </c>
      <c r="AY25" s="193">
        <v>0</v>
      </c>
      <c r="AZ25" s="238">
        <f t="shared" si="26"/>
        <v>0</v>
      </c>
      <c r="BA25" s="193">
        <v>0</v>
      </c>
      <c r="BB25" s="238">
        <f t="shared" si="27"/>
        <v>0</v>
      </c>
      <c r="BC25" s="193">
        <v>0</v>
      </c>
      <c r="BD25" s="238">
        <f t="shared" si="28"/>
        <v>0</v>
      </c>
      <c r="BE25" s="193">
        <v>0</v>
      </c>
      <c r="BF25" s="238">
        <f t="shared" si="29"/>
        <v>0</v>
      </c>
      <c r="BG25" s="193">
        <v>0</v>
      </c>
      <c r="BH25" s="238">
        <f t="shared" si="30"/>
        <v>0</v>
      </c>
      <c r="BI25" s="193">
        <v>0</v>
      </c>
      <c r="BJ25" s="238">
        <f t="shared" si="31"/>
        <v>0</v>
      </c>
      <c r="BK25" s="193">
        <v>0</v>
      </c>
      <c r="BL25" s="238">
        <f t="shared" si="32"/>
        <v>0</v>
      </c>
      <c r="BM25" s="193">
        <v>0</v>
      </c>
      <c r="BN25" s="238">
        <f t="shared" si="33"/>
        <v>0</v>
      </c>
      <c r="BO25" s="193">
        <v>0</v>
      </c>
      <c r="BP25" s="238">
        <f t="shared" si="34"/>
        <v>0</v>
      </c>
      <c r="BQ25" s="193">
        <v>0</v>
      </c>
      <c r="BR25" s="238">
        <f t="shared" si="35"/>
        <v>0</v>
      </c>
      <c r="BS25" s="225"/>
      <c r="BT25" s="239">
        <f t="shared" si="36"/>
        <v>259.76999999999998</v>
      </c>
      <c r="BU25" s="238">
        <f t="shared" si="0"/>
        <v>12858.615</v>
      </c>
    </row>
    <row r="26" spans="1:73" ht="14.25">
      <c r="A26" s="241">
        <v>1971</v>
      </c>
      <c r="B26" s="528">
        <f t="shared" si="1"/>
        <v>48.5</v>
      </c>
      <c r="C26" s="193">
        <v>0</v>
      </c>
      <c r="D26" s="238">
        <f t="shared" si="2"/>
        <v>0</v>
      </c>
      <c r="E26" s="193">
        <v>0</v>
      </c>
      <c r="F26" s="238">
        <f t="shared" si="3"/>
        <v>0</v>
      </c>
      <c r="G26" s="193">
        <v>0</v>
      </c>
      <c r="H26" s="238">
        <f t="shared" si="4"/>
        <v>0</v>
      </c>
      <c r="I26" s="193">
        <v>0</v>
      </c>
      <c r="J26" s="238">
        <f t="shared" si="5"/>
        <v>0</v>
      </c>
      <c r="K26" s="193">
        <v>0</v>
      </c>
      <c r="L26" s="238">
        <f t="shared" si="6"/>
        <v>0</v>
      </c>
      <c r="M26" s="193">
        <v>0</v>
      </c>
      <c r="N26" s="238">
        <f t="shared" si="7"/>
        <v>0</v>
      </c>
      <c r="O26" s="193">
        <v>0</v>
      </c>
      <c r="P26" s="238">
        <f t="shared" si="8"/>
        <v>0</v>
      </c>
      <c r="Q26" s="193">
        <v>0</v>
      </c>
      <c r="R26" s="238">
        <f t="shared" si="9"/>
        <v>0</v>
      </c>
      <c r="S26" s="193">
        <v>150</v>
      </c>
      <c r="T26" s="238">
        <f t="shared" si="10"/>
        <v>7275</v>
      </c>
      <c r="U26" s="193">
        <v>0</v>
      </c>
      <c r="V26" s="238">
        <f t="shared" si="11"/>
        <v>0</v>
      </c>
      <c r="W26" s="193">
        <v>2347.3600000000006</v>
      </c>
      <c r="X26" s="238">
        <f t="shared" si="12"/>
        <v>113846.96000000002</v>
      </c>
      <c r="Y26" s="193">
        <v>0</v>
      </c>
      <c r="Z26" s="238">
        <f t="shared" si="13"/>
        <v>0</v>
      </c>
      <c r="AA26" s="193">
        <v>0</v>
      </c>
      <c r="AB26" s="238">
        <f t="shared" si="14"/>
        <v>0</v>
      </c>
      <c r="AC26" s="193">
        <v>0</v>
      </c>
      <c r="AD26" s="238">
        <f t="shared" si="15"/>
        <v>0</v>
      </c>
      <c r="AE26" s="193">
        <v>0</v>
      </c>
      <c r="AF26" s="238">
        <f t="shared" si="16"/>
        <v>0</v>
      </c>
      <c r="AG26" s="193">
        <v>0</v>
      </c>
      <c r="AH26" s="238">
        <f t="shared" si="17"/>
        <v>0</v>
      </c>
      <c r="AI26" s="193">
        <v>0</v>
      </c>
      <c r="AJ26" s="238">
        <f t="shared" si="18"/>
        <v>0</v>
      </c>
      <c r="AK26" s="193">
        <v>0</v>
      </c>
      <c r="AL26" s="238">
        <f t="shared" si="19"/>
        <v>0</v>
      </c>
      <c r="AM26" s="193">
        <v>0</v>
      </c>
      <c r="AN26" s="238">
        <f t="shared" si="20"/>
        <v>0</v>
      </c>
      <c r="AO26" s="193">
        <v>0</v>
      </c>
      <c r="AP26" s="238">
        <f t="shared" si="21"/>
        <v>0</v>
      </c>
      <c r="AQ26" s="193">
        <v>0</v>
      </c>
      <c r="AR26" s="238">
        <f t="shared" si="22"/>
        <v>0</v>
      </c>
      <c r="AS26" s="193">
        <v>0</v>
      </c>
      <c r="AT26" s="238">
        <f t="shared" si="23"/>
        <v>0</v>
      </c>
      <c r="AU26" s="193">
        <v>0</v>
      </c>
      <c r="AV26" s="238">
        <f t="shared" si="24"/>
        <v>0</v>
      </c>
      <c r="AW26" s="193">
        <v>0</v>
      </c>
      <c r="AX26" s="238">
        <f t="shared" si="25"/>
        <v>0</v>
      </c>
      <c r="AY26" s="193">
        <v>0</v>
      </c>
      <c r="AZ26" s="238">
        <f t="shared" si="26"/>
        <v>0</v>
      </c>
      <c r="BA26" s="193">
        <v>0</v>
      </c>
      <c r="BB26" s="238">
        <f t="shared" si="27"/>
        <v>0</v>
      </c>
      <c r="BC26" s="193">
        <v>0</v>
      </c>
      <c r="BD26" s="238">
        <f t="shared" si="28"/>
        <v>0</v>
      </c>
      <c r="BE26" s="193">
        <v>0</v>
      </c>
      <c r="BF26" s="238">
        <f t="shared" si="29"/>
        <v>0</v>
      </c>
      <c r="BG26" s="193">
        <v>0</v>
      </c>
      <c r="BH26" s="238">
        <f t="shared" si="30"/>
        <v>0</v>
      </c>
      <c r="BI26" s="193">
        <v>0</v>
      </c>
      <c r="BJ26" s="238">
        <f t="shared" si="31"/>
        <v>0</v>
      </c>
      <c r="BK26" s="193">
        <v>0</v>
      </c>
      <c r="BL26" s="238">
        <f t="shared" si="32"/>
        <v>0</v>
      </c>
      <c r="BM26" s="193">
        <v>0</v>
      </c>
      <c r="BN26" s="238">
        <f t="shared" si="33"/>
        <v>0</v>
      </c>
      <c r="BO26" s="193">
        <v>0</v>
      </c>
      <c r="BP26" s="238">
        <f t="shared" si="34"/>
        <v>0</v>
      </c>
      <c r="BQ26" s="193">
        <v>0</v>
      </c>
      <c r="BR26" s="238">
        <f t="shared" si="35"/>
        <v>0</v>
      </c>
      <c r="BS26" s="225"/>
      <c r="BT26" s="239">
        <f t="shared" si="36"/>
        <v>2497.3600000000006</v>
      </c>
      <c r="BU26" s="238">
        <f t="shared" si="0"/>
        <v>121121.96000000002</v>
      </c>
    </row>
    <row r="27" spans="1:73" ht="14.25">
      <c r="A27" s="241">
        <v>1972</v>
      </c>
      <c r="B27" s="528">
        <f t="shared" si="1"/>
        <v>47.5</v>
      </c>
      <c r="C27" s="193">
        <v>0</v>
      </c>
      <c r="D27" s="238">
        <f t="shared" si="2"/>
        <v>0</v>
      </c>
      <c r="E27" s="193">
        <v>0</v>
      </c>
      <c r="F27" s="238">
        <f t="shared" si="3"/>
        <v>0</v>
      </c>
      <c r="G27" s="193">
        <v>0</v>
      </c>
      <c r="H27" s="238">
        <f t="shared" si="4"/>
        <v>0</v>
      </c>
      <c r="I27" s="193">
        <v>0</v>
      </c>
      <c r="J27" s="238">
        <f t="shared" si="5"/>
        <v>0</v>
      </c>
      <c r="K27" s="193">
        <v>0</v>
      </c>
      <c r="L27" s="238">
        <f t="shared" si="6"/>
        <v>0</v>
      </c>
      <c r="M27" s="193">
        <v>0</v>
      </c>
      <c r="N27" s="238">
        <f t="shared" si="7"/>
        <v>0</v>
      </c>
      <c r="O27" s="193">
        <v>0</v>
      </c>
      <c r="P27" s="238">
        <f t="shared" si="8"/>
        <v>0</v>
      </c>
      <c r="Q27" s="193">
        <v>0</v>
      </c>
      <c r="R27" s="238">
        <f t="shared" si="9"/>
        <v>0</v>
      </c>
      <c r="S27" s="193">
        <v>416.67000000000002</v>
      </c>
      <c r="T27" s="238">
        <f t="shared" si="10"/>
        <v>19791.825000000001</v>
      </c>
      <c r="U27" s="193">
        <v>0</v>
      </c>
      <c r="V27" s="238">
        <f t="shared" si="11"/>
        <v>0</v>
      </c>
      <c r="W27" s="193">
        <v>709.30000000000018</v>
      </c>
      <c r="X27" s="238">
        <f t="shared" si="12"/>
        <v>33691.750000000007</v>
      </c>
      <c r="Y27" s="193">
        <v>0</v>
      </c>
      <c r="Z27" s="238">
        <f t="shared" si="13"/>
        <v>0</v>
      </c>
      <c r="AA27" s="193">
        <v>0</v>
      </c>
      <c r="AB27" s="238">
        <f t="shared" si="14"/>
        <v>0</v>
      </c>
      <c r="AC27" s="193">
        <v>0</v>
      </c>
      <c r="AD27" s="238">
        <f t="shared" si="15"/>
        <v>0</v>
      </c>
      <c r="AE27" s="193">
        <v>0</v>
      </c>
      <c r="AF27" s="238">
        <f t="shared" si="16"/>
        <v>0</v>
      </c>
      <c r="AG27" s="193">
        <v>0</v>
      </c>
      <c r="AH27" s="238">
        <f t="shared" si="17"/>
        <v>0</v>
      </c>
      <c r="AI27" s="193">
        <v>0</v>
      </c>
      <c r="AJ27" s="238">
        <f t="shared" si="18"/>
        <v>0</v>
      </c>
      <c r="AK27" s="193">
        <v>0</v>
      </c>
      <c r="AL27" s="238">
        <f t="shared" si="19"/>
        <v>0</v>
      </c>
      <c r="AM27" s="193">
        <v>0</v>
      </c>
      <c r="AN27" s="238">
        <f t="shared" si="20"/>
        <v>0</v>
      </c>
      <c r="AO27" s="193">
        <v>0</v>
      </c>
      <c r="AP27" s="238">
        <f t="shared" si="21"/>
        <v>0</v>
      </c>
      <c r="AQ27" s="193">
        <v>0</v>
      </c>
      <c r="AR27" s="238">
        <f t="shared" si="22"/>
        <v>0</v>
      </c>
      <c r="AS27" s="193">
        <v>0</v>
      </c>
      <c r="AT27" s="238">
        <f t="shared" si="23"/>
        <v>0</v>
      </c>
      <c r="AU27" s="193">
        <v>0</v>
      </c>
      <c r="AV27" s="238">
        <f t="shared" si="24"/>
        <v>0</v>
      </c>
      <c r="AW27" s="193">
        <v>0</v>
      </c>
      <c r="AX27" s="238">
        <f t="shared" si="25"/>
        <v>0</v>
      </c>
      <c r="AY27" s="193">
        <v>0</v>
      </c>
      <c r="AZ27" s="238">
        <f t="shared" si="26"/>
        <v>0</v>
      </c>
      <c r="BA27" s="193">
        <v>0</v>
      </c>
      <c r="BB27" s="238">
        <f t="shared" si="27"/>
        <v>0</v>
      </c>
      <c r="BC27" s="193">
        <v>0</v>
      </c>
      <c r="BD27" s="238">
        <f t="shared" si="28"/>
        <v>0</v>
      </c>
      <c r="BE27" s="193">
        <v>0</v>
      </c>
      <c r="BF27" s="238">
        <f t="shared" si="29"/>
        <v>0</v>
      </c>
      <c r="BG27" s="193">
        <v>0</v>
      </c>
      <c r="BH27" s="238">
        <f t="shared" si="30"/>
        <v>0</v>
      </c>
      <c r="BI27" s="193">
        <v>0</v>
      </c>
      <c r="BJ27" s="238">
        <f t="shared" si="31"/>
        <v>0</v>
      </c>
      <c r="BK27" s="193">
        <v>0</v>
      </c>
      <c r="BL27" s="238">
        <f t="shared" si="32"/>
        <v>0</v>
      </c>
      <c r="BM27" s="193">
        <v>0</v>
      </c>
      <c r="BN27" s="238">
        <f t="shared" si="33"/>
        <v>0</v>
      </c>
      <c r="BO27" s="193">
        <v>0</v>
      </c>
      <c r="BP27" s="238">
        <f t="shared" si="34"/>
        <v>0</v>
      </c>
      <c r="BQ27" s="193">
        <v>0</v>
      </c>
      <c r="BR27" s="238">
        <f t="shared" si="35"/>
        <v>0</v>
      </c>
      <c r="BS27" s="225"/>
      <c r="BT27" s="239">
        <f t="shared" si="36"/>
        <v>1125.9700000000003</v>
      </c>
      <c r="BU27" s="238">
        <f t="shared" si="0"/>
        <v>53483.575000000012</v>
      </c>
    </row>
    <row r="28" spans="1:73" ht="14.25">
      <c r="A28" s="241">
        <v>1973</v>
      </c>
      <c r="B28" s="528">
        <f t="shared" si="1"/>
        <v>46.5</v>
      </c>
      <c r="C28" s="193">
        <v>0</v>
      </c>
      <c r="D28" s="238">
        <f t="shared" si="2"/>
        <v>0</v>
      </c>
      <c r="E28" s="193">
        <v>0</v>
      </c>
      <c r="F28" s="238">
        <f t="shared" si="3"/>
        <v>0</v>
      </c>
      <c r="G28" s="193">
        <v>0</v>
      </c>
      <c r="H28" s="238">
        <f t="shared" si="4"/>
        <v>0</v>
      </c>
      <c r="I28" s="193">
        <v>19260</v>
      </c>
      <c r="J28" s="238">
        <f t="shared" si="5"/>
        <v>895590</v>
      </c>
      <c r="K28" s="193">
        <v>0</v>
      </c>
      <c r="L28" s="238">
        <f t="shared" si="6"/>
        <v>0</v>
      </c>
      <c r="M28" s="193">
        <v>0</v>
      </c>
      <c r="N28" s="238">
        <f t="shared" si="7"/>
        <v>0</v>
      </c>
      <c r="O28" s="193">
        <v>0</v>
      </c>
      <c r="P28" s="238">
        <f t="shared" si="8"/>
        <v>0</v>
      </c>
      <c r="Q28" s="193">
        <v>0</v>
      </c>
      <c r="R28" s="238">
        <f t="shared" si="9"/>
        <v>0</v>
      </c>
      <c r="S28" s="193">
        <v>1245.5</v>
      </c>
      <c r="T28" s="238">
        <f t="shared" si="10"/>
        <v>57915.75</v>
      </c>
      <c r="U28" s="193">
        <v>0</v>
      </c>
      <c r="V28" s="238">
        <f t="shared" si="11"/>
        <v>0</v>
      </c>
      <c r="W28" s="193">
        <v>819.53999999999951</v>
      </c>
      <c r="X28" s="238">
        <f t="shared" si="12"/>
        <v>38108.609999999979</v>
      </c>
      <c r="Y28" s="193">
        <v>0</v>
      </c>
      <c r="Z28" s="238">
        <f t="shared" si="13"/>
        <v>0</v>
      </c>
      <c r="AA28" s="193">
        <v>0</v>
      </c>
      <c r="AB28" s="238">
        <f t="shared" si="14"/>
        <v>0</v>
      </c>
      <c r="AC28" s="193">
        <v>0</v>
      </c>
      <c r="AD28" s="238">
        <f t="shared" si="15"/>
        <v>0</v>
      </c>
      <c r="AE28" s="193">
        <v>1033.1399999999996</v>
      </c>
      <c r="AF28" s="238">
        <f t="shared" si="16"/>
        <v>48041.00999999998</v>
      </c>
      <c r="AG28" s="193">
        <v>0</v>
      </c>
      <c r="AH28" s="238">
        <f t="shared" si="17"/>
        <v>0</v>
      </c>
      <c r="AI28" s="193">
        <v>0</v>
      </c>
      <c r="AJ28" s="238">
        <f t="shared" si="18"/>
        <v>0</v>
      </c>
      <c r="AK28" s="193">
        <v>0</v>
      </c>
      <c r="AL28" s="238">
        <f t="shared" si="19"/>
        <v>0</v>
      </c>
      <c r="AM28" s="193">
        <v>0</v>
      </c>
      <c r="AN28" s="238">
        <f t="shared" si="20"/>
        <v>0</v>
      </c>
      <c r="AO28" s="193">
        <v>0</v>
      </c>
      <c r="AP28" s="238">
        <f t="shared" si="21"/>
        <v>0</v>
      </c>
      <c r="AQ28" s="193">
        <v>0</v>
      </c>
      <c r="AR28" s="238">
        <f t="shared" si="22"/>
        <v>0</v>
      </c>
      <c r="AS28" s="193">
        <v>0</v>
      </c>
      <c r="AT28" s="238">
        <f t="shared" si="23"/>
        <v>0</v>
      </c>
      <c r="AU28" s="193">
        <v>0</v>
      </c>
      <c r="AV28" s="238">
        <f t="shared" si="24"/>
        <v>0</v>
      </c>
      <c r="AW28" s="193">
        <v>0</v>
      </c>
      <c r="AX28" s="238">
        <f t="shared" si="25"/>
        <v>0</v>
      </c>
      <c r="AY28" s="193">
        <v>0</v>
      </c>
      <c r="AZ28" s="238">
        <f t="shared" si="26"/>
        <v>0</v>
      </c>
      <c r="BA28" s="193">
        <v>0</v>
      </c>
      <c r="BB28" s="238">
        <f t="shared" si="27"/>
        <v>0</v>
      </c>
      <c r="BC28" s="193">
        <v>0</v>
      </c>
      <c r="BD28" s="238">
        <f t="shared" si="28"/>
        <v>0</v>
      </c>
      <c r="BE28" s="193">
        <v>7116.5900000000001</v>
      </c>
      <c r="BF28" s="238">
        <f t="shared" si="29"/>
        <v>330921.435</v>
      </c>
      <c r="BG28" s="193">
        <v>0</v>
      </c>
      <c r="BH28" s="238">
        <f t="shared" si="30"/>
        <v>0</v>
      </c>
      <c r="BI28" s="193">
        <v>0</v>
      </c>
      <c r="BJ28" s="238">
        <f t="shared" si="31"/>
        <v>0</v>
      </c>
      <c r="BK28" s="193">
        <v>0</v>
      </c>
      <c r="BL28" s="238">
        <f t="shared" si="32"/>
        <v>0</v>
      </c>
      <c r="BM28" s="193">
        <v>0</v>
      </c>
      <c r="BN28" s="238">
        <f t="shared" si="33"/>
        <v>0</v>
      </c>
      <c r="BO28" s="193">
        <v>0</v>
      </c>
      <c r="BP28" s="238">
        <f t="shared" si="34"/>
        <v>0</v>
      </c>
      <c r="BQ28" s="193">
        <v>0</v>
      </c>
      <c r="BR28" s="238">
        <f t="shared" si="35"/>
        <v>0</v>
      </c>
      <c r="BS28" s="225"/>
      <c r="BT28" s="239">
        <f t="shared" si="36"/>
        <v>29474.77</v>
      </c>
      <c r="BU28" s="238">
        <f t="shared" si="0"/>
        <v>1370576.8049999999</v>
      </c>
    </row>
    <row r="29" spans="1:73" ht="14.25">
      <c r="A29" s="241">
        <v>1974</v>
      </c>
      <c r="B29" s="528">
        <f t="shared" si="1"/>
        <v>45.5</v>
      </c>
      <c r="C29" s="193">
        <v>0</v>
      </c>
      <c r="D29" s="238">
        <f t="shared" si="2"/>
        <v>0</v>
      </c>
      <c r="E29" s="193">
        <v>0</v>
      </c>
      <c r="F29" s="238">
        <f t="shared" si="3"/>
        <v>0</v>
      </c>
      <c r="G29" s="193">
        <v>0</v>
      </c>
      <c r="H29" s="238">
        <f t="shared" si="4"/>
        <v>0</v>
      </c>
      <c r="I29" s="193">
        <v>0</v>
      </c>
      <c r="J29" s="238">
        <f t="shared" si="5"/>
        <v>0</v>
      </c>
      <c r="K29" s="193">
        <v>0</v>
      </c>
      <c r="L29" s="238">
        <f t="shared" si="6"/>
        <v>0</v>
      </c>
      <c r="M29" s="193">
        <v>0</v>
      </c>
      <c r="N29" s="238">
        <f t="shared" si="7"/>
        <v>0</v>
      </c>
      <c r="O29" s="193">
        <v>0</v>
      </c>
      <c r="P29" s="238">
        <f t="shared" si="8"/>
        <v>0</v>
      </c>
      <c r="Q29" s="193">
        <v>0</v>
      </c>
      <c r="R29" s="238">
        <f t="shared" si="9"/>
        <v>0</v>
      </c>
      <c r="S29" s="193">
        <v>631.45000000000005</v>
      </c>
      <c r="T29" s="238">
        <f t="shared" si="10"/>
        <v>28730.975000000002</v>
      </c>
      <c r="U29" s="193">
        <v>0</v>
      </c>
      <c r="V29" s="238">
        <f t="shared" si="11"/>
        <v>0</v>
      </c>
      <c r="W29" s="193">
        <v>0</v>
      </c>
      <c r="X29" s="238">
        <f t="shared" si="12"/>
        <v>0</v>
      </c>
      <c r="Y29" s="193">
        <v>0</v>
      </c>
      <c r="Z29" s="238">
        <f t="shared" si="13"/>
        <v>0</v>
      </c>
      <c r="AA29" s="193">
        <v>0</v>
      </c>
      <c r="AB29" s="238">
        <f t="shared" si="14"/>
        <v>0</v>
      </c>
      <c r="AC29" s="193">
        <v>0</v>
      </c>
      <c r="AD29" s="238">
        <f t="shared" si="15"/>
        <v>0</v>
      </c>
      <c r="AE29" s="193">
        <v>0</v>
      </c>
      <c r="AF29" s="238">
        <f t="shared" si="16"/>
        <v>0</v>
      </c>
      <c r="AG29" s="193">
        <v>0</v>
      </c>
      <c r="AH29" s="238">
        <f t="shared" si="17"/>
        <v>0</v>
      </c>
      <c r="AI29" s="193">
        <v>0</v>
      </c>
      <c r="AJ29" s="238">
        <f t="shared" si="18"/>
        <v>0</v>
      </c>
      <c r="AK29" s="193">
        <v>0</v>
      </c>
      <c r="AL29" s="238">
        <f t="shared" si="19"/>
        <v>0</v>
      </c>
      <c r="AM29" s="193">
        <v>0</v>
      </c>
      <c r="AN29" s="238">
        <f t="shared" si="20"/>
        <v>0</v>
      </c>
      <c r="AO29" s="193">
        <v>0</v>
      </c>
      <c r="AP29" s="238">
        <f t="shared" si="21"/>
        <v>0</v>
      </c>
      <c r="AQ29" s="193">
        <v>0</v>
      </c>
      <c r="AR29" s="238">
        <f t="shared" si="22"/>
        <v>0</v>
      </c>
      <c r="AS29" s="193">
        <v>0</v>
      </c>
      <c r="AT29" s="238">
        <f t="shared" si="23"/>
        <v>0</v>
      </c>
      <c r="AU29" s="193">
        <v>0</v>
      </c>
      <c r="AV29" s="238">
        <f t="shared" si="24"/>
        <v>0</v>
      </c>
      <c r="AW29" s="193">
        <v>0</v>
      </c>
      <c r="AX29" s="238">
        <f t="shared" si="25"/>
        <v>0</v>
      </c>
      <c r="AY29" s="193">
        <v>0</v>
      </c>
      <c r="AZ29" s="238">
        <f t="shared" si="26"/>
        <v>0</v>
      </c>
      <c r="BA29" s="193">
        <v>0</v>
      </c>
      <c r="BB29" s="238">
        <f t="shared" si="27"/>
        <v>0</v>
      </c>
      <c r="BC29" s="193">
        <v>0</v>
      </c>
      <c r="BD29" s="238">
        <f t="shared" si="28"/>
        <v>0</v>
      </c>
      <c r="BE29" s="193">
        <v>0</v>
      </c>
      <c r="BF29" s="238">
        <f t="shared" si="29"/>
        <v>0</v>
      </c>
      <c r="BG29" s="193">
        <v>0</v>
      </c>
      <c r="BH29" s="238">
        <f t="shared" si="30"/>
        <v>0</v>
      </c>
      <c r="BI29" s="193">
        <v>0</v>
      </c>
      <c r="BJ29" s="238">
        <f t="shared" si="31"/>
        <v>0</v>
      </c>
      <c r="BK29" s="193">
        <v>0</v>
      </c>
      <c r="BL29" s="238">
        <f t="shared" si="32"/>
        <v>0</v>
      </c>
      <c r="BM29" s="193">
        <v>0</v>
      </c>
      <c r="BN29" s="238">
        <f t="shared" si="33"/>
        <v>0</v>
      </c>
      <c r="BO29" s="193">
        <v>0</v>
      </c>
      <c r="BP29" s="238">
        <f t="shared" si="34"/>
        <v>0</v>
      </c>
      <c r="BQ29" s="193">
        <v>0</v>
      </c>
      <c r="BR29" s="238">
        <f t="shared" si="35"/>
        <v>0</v>
      </c>
      <c r="BS29" s="225"/>
      <c r="BT29" s="239">
        <f t="shared" si="36"/>
        <v>631.45000000000005</v>
      </c>
      <c r="BU29" s="238">
        <f t="shared" si="0"/>
        <v>28730.975000000002</v>
      </c>
    </row>
    <row r="30" spans="1:73" ht="14.25">
      <c r="A30" s="241">
        <v>1975</v>
      </c>
      <c r="B30" s="528">
        <f t="shared" si="1"/>
        <v>44.5</v>
      </c>
      <c r="C30" s="193">
        <v>0</v>
      </c>
      <c r="D30" s="238">
        <f t="shared" si="2"/>
        <v>0</v>
      </c>
      <c r="E30" s="193">
        <v>0</v>
      </c>
      <c r="F30" s="238">
        <f t="shared" si="3"/>
        <v>0</v>
      </c>
      <c r="G30" s="193">
        <v>0</v>
      </c>
      <c r="H30" s="238">
        <f t="shared" si="4"/>
        <v>0</v>
      </c>
      <c r="I30" s="193">
        <v>0</v>
      </c>
      <c r="J30" s="238">
        <f t="shared" si="5"/>
        <v>0</v>
      </c>
      <c r="K30" s="193">
        <v>0</v>
      </c>
      <c r="L30" s="238">
        <f t="shared" si="6"/>
        <v>0</v>
      </c>
      <c r="M30" s="193">
        <v>0</v>
      </c>
      <c r="N30" s="238">
        <f t="shared" si="7"/>
        <v>0</v>
      </c>
      <c r="O30" s="193">
        <v>0</v>
      </c>
      <c r="P30" s="238">
        <f t="shared" si="8"/>
        <v>0</v>
      </c>
      <c r="Q30" s="193">
        <v>0</v>
      </c>
      <c r="R30" s="238">
        <f t="shared" si="9"/>
        <v>0</v>
      </c>
      <c r="S30" s="193">
        <v>358.86000000000001</v>
      </c>
      <c r="T30" s="238">
        <f t="shared" si="10"/>
        <v>15969.27</v>
      </c>
      <c r="U30" s="193">
        <v>0</v>
      </c>
      <c r="V30" s="238">
        <f t="shared" si="11"/>
        <v>0</v>
      </c>
      <c r="W30" s="193">
        <v>2783.1900000000001</v>
      </c>
      <c r="X30" s="238">
        <f t="shared" si="12"/>
        <v>123851.955</v>
      </c>
      <c r="Y30" s="193">
        <v>0</v>
      </c>
      <c r="Z30" s="238">
        <f t="shared" si="13"/>
        <v>0</v>
      </c>
      <c r="AA30" s="193">
        <v>0</v>
      </c>
      <c r="AB30" s="238">
        <f t="shared" si="14"/>
        <v>0</v>
      </c>
      <c r="AC30" s="193">
        <v>0</v>
      </c>
      <c r="AD30" s="238">
        <f t="shared" si="15"/>
        <v>0</v>
      </c>
      <c r="AE30" s="193">
        <v>3925.6200000000003</v>
      </c>
      <c r="AF30" s="238">
        <f t="shared" si="16"/>
        <v>174690.09000000003</v>
      </c>
      <c r="AG30" s="193">
        <v>0</v>
      </c>
      <c r="AH30" s="238">
        <f t="shared" si="17"/>
        <v>0</v>
      </c>
      <c r="AI30" s="193">
        <v>0</v>
      </c>
      <c r="AJ30" s="238">
        <f t="shared" si="18"/>
        <v>0</v>
      </c>
      <c r="AK30" s="193">
        <v>0</v>
      </c>
      <c r="AL30" s="238">
        <f t="shared" si="19"/>
        <v>0</v>
      </c>
      <c r="AM30" s="193">
        <v>0</v>
      </c>
      <c r="AN30" s="238">
        <f t="shared" si="20"/>
        <v>0</v>
      </c>
      <c r="AO30" s="193">
        <v>0</v>
      </c>
      <c r="AP30" s="238">
        <f t="shared" si="21"/>
        <v>0</v>
      </c>
      <c r="AQ30" s="193">
        <v>0</v>
      </c>
      <c r="AR30" s="238">
        <f t="shared" si="22"/>
        <v>0</v>
      </c>
      <c r="AS30" s="193">
        <v>0</v>
      </c>
      <c r="AT30" s="238">
        <f t="shared" si="23"/>
        <v>0</v>
      </c>
      <c r="AU30" s="193">
        <v>0</v>
      </c>
      <c r="AV30" s="238">
        <f t="shared" si="24"/>
        <v>0</v>
      </c>
      <c r="AW30" s="193">
        <v>0</v>
      </c>
      <c r="AX30" s="238">
        <f t="shared" si="25"/>
        <v>0</v>
      </c>
      <c r="AY30" s="193">
        <v>0</v>
      </c>
      <c r="AZ30" s="238">
        <f t="shared" si="26"/>
        <v>0</v>
      </c>
      <c r="BA30" s="193">
        <v>0</v>
      </c>
      <c r="BB30" s="238">
        <f t="shared" si="27"/>
        <v>0</v>
      </c>
      <c r="BC30" s="193">
        <v>0</v>
      </c>
      <c r="BD30" s="238">
        <f t="shared" si="28"/>
        <v>0</v>
      </c>
      <c r="BE30" s="193">
        <v>0</v>
      </c>
      <c r="BF30" s="238">
        <f t="shared" si="29"/>
        <v>0</v>
      </c>
      <c r="BG30" s="193">
        <v>0</v>
      </c>
      <c r="BH30" s="238">
        <f t="shared" si="30"/>
        <v>0</v>
      </c>
      <c r="BI30" s="193">
        <v>0</v>
      </c>
      <c r="BJ30" s="238">
        <f t="shared" si="31"/>
        <v>0</v>
      </c>
      <c r="BK30" s="193">
        <v>0</v>
      </c>
      <c r="BL30" s="238">
        <f t="shared" si="32"/>
        <v>0</v>
      </c>
      <c r="BM30" s="193">
        <v>0</v>
      </c>
      <c r="BN30" s="238">
        <f t="shared" si="33"/>
        <v>0</v>
      </c>
      <c r="BO30" s="193">
        <v>0</v>
      </c>
      <c r="BP30" s="238">
        <f t="shared" si="34"/>
        <v>0</v>
      </c>
      <c r="BQ30" s="193">
        <v>0</v>
      </c>
      <c r="BR30" s="238">
        <f t="shared" si="35"/>
        <v>0</v>
      </c>
      <c r="BS30" s="225"/>
      <c r="BT30" s="239">
        <f t="shared" si="36"/>
        <v>7067.6700000000001</v>
      </c>
      <c r="BU30" s="238">
        <f t="shared" si="0"/>
        <v>314511.315</v>
      </c>
    </row>
    <row r="31" spans="1:73" ht="14.25">
      <c r="A31" s="241">
        <v>1976</v>
      </c>
      <c r="B31" s="528">
        <f t="shared" si="1"/>
        <v>43.5</v>
      </c>
      <c r="C31" s="193">
        <v>0</v>
      </c>
      <c r="D31" s="238">
        <f t="shared" si="2"/>
        <v>0</v>
      </c>
      <c r="E31" s="193">
        <v>0</v>
      </c>
      <c r="F31" s="238">
        <f t="shared" si="3"/>
        <v>0</v>
      </c>
      <c r="G31" s="193">
        <v>0</v>
      </c>
      <c r="H31" s="238">
        <f t="shared" si="4"/>
        <v>0</v>
      </c>
      <c r="I31" s="193">
        <v>18.5</v>
      </c>
      <c r="J31" s="238">
        <f t="shared" si="5"/>
        <v>804.75</v>
      </c>
      <c r="K31" s="193">
        <v>0</v>
      </c>
      <c r="L31" s="238">
        <f t="shared" si="6"/>
        <v>0</v>
      </c>
      <c r="M31" s="193">
        <v>0</v>
      </c>
      <c r="N31" s="238">
        <f t="shared" si="7"/>
        <v>0</v>
      </c>
      <c r="O31" s="193">
        <v>0</v>
      </c>
      <c r="P31" s="238">
        <f t="shared" si="8"/>
        <v>0</v>
      </c>
      <c r="Q31" s="193">
        <v>37.619999999999997</v>
      </c>
      <c r="R31" s="238">
        <f t="shared" si="9"/>
        <v>1636.4699999999998</v>
      </c>
      <c r="S31" s="193">
        <v>318.08999999999997</v>
      </c>
      <c r="T31" s="238">
        <f t="shared" si="10"/>
        <v>13836.914999999999</v>
      </c>
      <c r="U31" s="193">
        <v>0</v>
      </c>
      <c r="V31" s="238">
        <f t="shared" si="11"/>
        <v>0</v>
      </c>
      <c r="W31" s="193">
        <v>84.469999999999999</v>
      </c>
      <c r="X31" s="238">
        <f t="shared" si="12"/>
        <v>3674.4450000000002</v>
      </c>
      <c r="Y31" s="193">
        <v>0</v>
      </c>
      <c r="Z31" s="238">
        <f t="shared" si="13"/>
        <v>0</v>
      </c>
      <c r="AA31" s="193">
        <v>0</v>
      </c>
      <c r="AB31" s="238">
        <f t="shared" si="14"/>
        <v>0</v>
      </c>
      <c r="AC31" s="193">
        <v>0</v>
      </c>
      <c r="AD31" s="238">
        <f t="shared" si="15"/>
        <v>0</v>
      </c>
      <c r="AE31" s="193">
        <v>0</v>
      </c>
      <c r="AF31" s="238">
        <f t="shared" si="16"/>
        <v>0</v>
      </c>
      <c r="AG31" s="193">
        <v>0</v>
      </c>
      <c r="AH31" s="238">
        <f t="shared" si="17"/>
        <v>0</v>
      </c>
      <c r="AI31" s="193">
        <v>0</v>
      </c>
      <c r="AJ31" s="238">
        <f t="shared" si="18"/>
        <v>0</v>
      </c>
      <c r="AK31" s="193">
        <v>0</v>
      </c>
      <c r="AL31" s="238">
        <f t="shared" si="19"/>
        <v>0</v>
      </c>
      <c r="AM31" s="193">
        <v>0</v>
      </c>
      <c r="AN31" s="238">
        <f t="shared" si="20"/>
        <v>0</v>
      </c>
      <c r="AO31" s="193">
        <v>0</v>
      </c>
      <c r="AP31" s="238">
        <f t="shared" si="21"/>
        <v>0</v>
      </c>
      <c r="AQ31" s="193">
        <v>0</v>
      </c>
      <c r="AR31" s="238">
        <f t="shared" si="22"/>
        <v>0</v>
      </c>
      <c r="AS31" s="193">
        <v>0</v>
      </c>
      <c r="AT31" s="238">
        <f t="shared" si="23"/>
        <v>0</v>
      </c>
      <c r="AU31" s="193">
        <v>0</v>
      </c>
      <c r="AV31" s="238">
        <f t="shared" si="24"/>
        <v>0</v>
      </c>
      <c r="AW31" s="193">
        <v>0</v>
      </c>
      <c r="AX31" s="238">
        <f t="shared" si="25"/>
        <v>0</v>
      </c>
      <c r="AY31" s="193">
        <v>0</v>
      </c>
      <c r="AZ31" s="238">
        <f t="shared" si="26"/>
        <v>0</v>
      </c>
      <c r="BA31" s="193">
        <v>0</v>
      </c>
      <c r="BB31" s="238">
        <f t="shared" si="27"/>
        <v>0</v>
      </c>
      <c r="BC31" s="193">
        <v>0</v>
      </c>
      <c r="BD31" s="238">
        <f t="shared" si="28"/>
        <v>0</v>
      </c>
      <c r="BE31" s="193">
        <v>0</v>
      </c>
      <c r="BF31" s="238">
        <f t="shared" si="29"/>
        <v>0</v>
      </c>
      <c r="BG31" s="193">
        <v>0</v>
      </c>
      <c r="BH31" s="238">
        <f t="shared" si="30"/>
        <v>0</v>
      </c>
      <c r="BI31" s="193">
        <v>0</v>
      </c>
      <c r="BJ31" s="238">
        <f t="shared" si="31"/>
        <v>0</v>
      </c>
      <c r="BK31" s="193">
        <v>0</v>
      </c>
      <c r="BL31" s="238">
        <f t="shared" si="32"/>
        <v>0</v>
      </c>
      <c r="BM31" s="193">
        <v>0</v>
      </c>
      <c r="BN31" s="238">
        <f t="shared" si="33"/>
        <v>0</v>
      </c>
      <c r="BO31" s="193">
        <v>0</v>
      </c>
      <c r="BP31" s="238">
        <f t="shared" si="34"/>
        <v>0</v>
      </c>
      <c r="BQ31" s="193">
        <v>0</v>
      </c>
      <c r="BR31" s="238">
        <f t="shared" si="35"/>
        <v>0</v>
      </c>
      <c r="BS31" s="225"/>
      <c r="BT31" s="239">
        <f t="shared" si="36"/>
        <v>458.67999999999995</v>
      </c>
      <c r="BU31" s="238">
        <f t="shared" si="0"/>
        <v>19952.579999999998</v>
      </c>
    </row>
    <row r="32" spans="1:73" ht="14.25">
      <c r="A32" s="241">
        <v>1977</v>
      </c>
      <c r="B32" s="528">
        <f t="shared" si="1"/>
        <v>42.5</v>
      </c>
      <c r="C32" s="193">
        <v>0</v>
      </c>
      <c r="D32" s="238">
        <f t="shared" si="2"/>
        <v>0</v>
      </c>
      <c r="E32" s="193">
        <v>0</v>
      </c>
      <c r="F32" s="238">
        <f t="shared" si="3"/>
        <v>0</v>
      </c>
      <c r="G32" s="193">
        <v>0</v>
      </c>
      <c r="H32" s="238">
        <f t="shared" si="4"/>
        <v>0</v>
      </c>
      <c r="I32" s="193">
        <v>0</v>
      </c>
      <c r="J32" s="238">
        <f t="shared" si="5"/>
        <v>0</v>
      </c>
      <c r="K32" s="193">
        <v>0</v>
      </c>
      <c r="L32" s="238">
        <f t="shared" si="6"/>
        <v>0</v>
      </c>
      <c r="M32" s="193">
        <v>0</v>
      </c>
      <c r="N32" s="238">
        <f t="shared" si="7"/>
        <v>0</v>
      </c>
      <c r="O32" s="193">
        <v>0</v>
      </c>
      <c r="P32" s="238">
        <f t="shared" si="8"/>
        <v>0</v>
      </c>
      <c r="Q32" s="193">
        <v>7004.9799999999996</v>
      </c>
      <c r="R32" s="238">
        <f t="shared" si="9"/>
        <v>297711.64999999997</v>
      </c>
      <c r="S32" s="193">
        <v>3106.5100000000002</v>
      </c>
      <c r="T32" s="238">
        <f t="shared" si="10"/>
        <v>132026.67500000002</v>
      </c>
      <c r="U32" s="193">
        <v>0</v>
      </c>
      <c r="V32" s="238">
        <f t="shared" si="11"/>
        <v>0</v>
      </c>
      <c r="W32" s="193">
        <v>1084.76</v>
      </c>
      <c r="X32" s="238">
        <f t="shared" si="12"/>
        <v>46102.300000000003</v>
      </c>
      <c r="Y32" s="193">
        <v>0</v>
      </c>
      <c r="Z32" s="238">
        <f t="shared" si="13"/>
        <v>0</v>
      </c>
      <c r="AA32" s="193">
        <v>0</v>
      </c>
      <c r="AB32" s="238">
        <f t="shared" si="14"/>
        <v>0</v>
      </c>
      <c r="AC32" s="193">
        <v>0</v>
      </c>
      <c r="AD32" s="238">
        <f t="shared" si="15"/>
        <v>0</v>
      </c>
      <c r="AE32" s="193">
        <v>0</v>
      </c>
      <c r="AF32" s="238">
        <f t="shared" si="16"/>
        <v>0</v>
      </c>
      <c r="AG32" s="193">
        <v>0</v>
      </c>
      <c r="AH32" s="238">
        <f t="shared" si="17"/>
        <v>0</v>
      </c>
      <c r="AI32" s="193">
        <v>0</v>
      </c>
      <c r="AJ32" s="238">
        <f t="shared" si="18"/>
        <v>0</v>
      </c>
      <c r="AK32" s="193">
        <v>0</v>
      </c>
      <c r="AL32" s="238">
        <f t="shared" si="19"/>
        <v>0</v>
      </c>
      <c r="AM32" s="193">
        <v>0</v>
      </c>
      <c r="AN32" s="238">
        <f t="shared" si="20"/>
        <v>0</v>
      </c>
      <c r="AO32" s="193">
        <v>0</v>
      </c>
      <c r="AP32" s="238">
        <f t="shared" si="21"/>
        <v>0</v>
      </c>
      <c r="AQ32" s="193">
        <v>0</v>
      </c>
      <c r="AR32" s="238">
        <f t="shared" si="22"/>
        <v>0</v>
      </c>
      <c r="AS32" s="193">
        <v>0</v>
      </c>
      <c r="AT32" s="238">
        <f t="shared" si="23"/>
        <v>0</v>
      </c>
      <c r="AU32" s="193">
        <v>0</v>
      </c>
      <c r="AV32" s="238">
        <f t="shared" si="24"/>
        <v>0</v>
      </c>
      <c r="AW32" s="193">
        <v>0</v>
      </c>
      <c r="AX32" s="238">
        <f t="shared" si="25"/>
        <v>0</v>
      </c>
      <c r="AY32" s="193">
        <v>0</v>
      </c>
      <c r="AZ32" s="238">
        <f t="shared" si="26"/>
        <v>0</v>
      </c>
      <c r="BA32" s="193">
        <v>0</v>
      </c>
      <c r="BB32" s="238">
        <f t="shared" si="27"/>
        <v>0</v>
      </c>
      <c r="BC32" s="193">
        <v>0</v>
      </c>
      <c r="BD32" s="238">
        <f t="shared" si="28"/>
        <v>0</v>
      </c>
      <c r="BE32" s="193">
        <v>0</v>
      </c>
      <c r="BF32" s="238">
        <f t="shared" si="29"/>
        <v>0</v>
      </c>
      <c r="BG32" s="193">
        <v>0</v>
      </c>
      <c r="BH32" s="238">
        <f t="shared" si="30"/>
        <v>0</v>
      </c>
      <c r="BI32" s="193">
        <v>0</v>
      </c>
      <c r="BJ32" s="238">
        <f t="shared" si="31"/>
        <v>0</v>
      </c>
      <c r="BK32" s="193">
        <v>0</v>
      </c>
      <c r="BL32" s="238">
        <f t="shared" si="32"/>
        <v>0</v>
      </c>
      <c r="BM32" s="193">
        <v>0</v>
      </c>
      <c r="BN32" s="238">
        <f t="shared" si="33"/>
        <v>0</v>
      </c>
      <c r="BO32" s="193">
        <v>370.49000000000001</v>
      </c>
      <c r="BP32" s="238">
        <f t="shared" si="34"/>
        <v>15745.825000000001</v>
      </c>
      <c r="BQ32" s="193">
        <v>0</v>
      </c>
      <c r="BR32" s="238">
        <f t="shared" si="35"/>
        <v>0</v>
      </c>
      <c r="BS32" s="225"/>
      <c r="BT32" s="239">
        <f t="shared" si="36"/>
        <v>11566.74</v>
      </c>
      <c r="BU32" s="238">
        <f t="shared" si="0"/>
        <v>491586.45000000001</v>
      </c>
    </row>
    <row r="33" spans="1:73" ht="14.25">
      <c r="A33" s="241">
        <v>1978</v>
      </c>
      <c r="B33" s="528">
        <f t="shared" si="1"/>
        <v>41.5</v>
      </c>
      <c r="C33" s="193">
        <v>0</v>
      </c>
      <c r="D33" s="238">
        <f t="shared" si="2"/>
        <v>0</v>
      </c>
      <c r="E33" s="193">
        <v>0</v>
      </c>
      <c r="F33" s="238">
        <f t="shared" si="3"/>
        <v>0</v>
      </c>
      <c r="G33" s="193">
        <v>0</v>
      </c>
      <c r="H33" s="238">
        <f t="shared" si="4"/>
        <v>0</v>
      </c>
      <c r="I33" s="193">
        <v>1807.94602230339</v>
      </c>
      <c r="J33" s="238">
        <f t="shared" si="5"/>
        <v>75029.759925590683</v>
      </c>
      <c r="K33" s="193">
        <v>0</v>
      </c>
      <c r="L33" s="238">
        <f t="shared" si="6"/>
        <v>0</v>
      </c>
      <c r="M33" s="193">
        <v>0</v>
      </c>
      <c r="N33" s="238">
        <f t="shared" si="7"/>
        <v>0</v>
      </c>
      <c r="O33" s="193">
        <v>0</v>
      </c>
      <c r="P33" s="238">
        <f t="shared" si="8"/>
        <v>0</v>
      </c>
      <c r="Q33" s="193">
        <v>2387.8000000000002</v>
      </c>
      <c r="R33" s="238">
        <f t="shared" si="9"/>
        <v>99093.700000000012</v>
      </c>
      <c r="S33" s="193">
        <v>0</v>
      </c>
      <c r="T33" s="238">
        <f t="shared" si="10"/>
        <v>0</v>
      </c>
      <c r="U33" s="193">
        <v>0</v>
      </c>
      <c r="V33" s="238">
        <f t="shared" si="11"/>
        <v>0</v>
      </c>
      <c r="W33" s="193">
        <v>886.97000000000003</v>
      </c>
      <c r="X33" s="238">
        <f t="shared" si="12"/>
        <v>36809.255000000005</v>
      </c>
      <c r="Y33" s="193">
        <v>0</v>
      </c>
      <c r="Z33" s="238">
        <f t="shared" si="13"/>
        <v>0</v>
      </c>
      <c r="AA33" s="193">
        <v>0</v>
      </c>
      <c r="AB33" s="238">
        <f t="shared" si="14"/>
        <v>0</v>
      </c>
      <c r="AC33" s="193">
        <v>0</v>
      </c>
      <c r="AD33" s="238">
        <f t="shared" si="15"/>
        <v>0</v>
      </c>
      <c r="AE33" s="193">
        <v>1034.52</v>
      </c>
      <c r="AF33" s="238">
        <f t="shared" si="16"/>
        <v>42932.580000000002</v>
      </c>
      <c r="AG33" s="193">
        <v>0</v>
      </c>
      <c r="AH33" s="238">
        <f t="shared" si="17"/>
        <v>0</v>
      </c>
      <c r="AI33" s="193">
        <v>0</v>
      </c>
      <c r="AJ33" s="238">
        <f t="shared" si="18"/>
        <v>0</v>
      </c>
      <c r="AK33" s="193">
        <v>0</v>
      </c>
      <c r="AL33" s="238">
        <f t="shared" si="19"/>
        <v>0</v>
      </c>
      <c r="AM33" s="193">
        <v>0</v>
      </c>
      <c r="AN33" s="238">
        <f t="shared" si="20"/>
        <v>0</v>
      </c>
      <c r="AO33" s="193">
        <v>0</v>
      </c>
      <c r="AP33" s="238">
        <f t="shared" si="21"/>
        <v>0</v>
      </c>
      <c r="AQ33" s="193">
        <v>0</v>
      </c>
      <c r="AR33" s="238">
        <f t="shared" si="22"/>
        <v>0</v>
      </c>
      <c r="AS33" s="193">
        <v>0</v>
      </c>
      <c r="AT33" s="238">
        <f t="shared" si="23"/>
        <v>0</v>
      </c>
      <c r="AU33" s="193">
        <v>0</v>
      </c>
      <c r="AV33" s="238">
        <f t="shared" si="24"/>
        <v>0</v>
      </c>
      <c r="AW33" s="193">
        <v>0</v>
      </c>
      <c r="AX33" s="238">
        <f t="shared" si="25"/>
        <v>0</v>
      </c>
      <c r="AY33" s="193">
        <v>0</v>
      </c>
      <c r="AZ33" s="238">
        <f t="shared" si="26"/>
        <v>0</v>
      </c>
      <c r="BA33" s="193">
        <v>0</v>
      </c>
      <c r="BB33" s="238">
        <f t="shared" si="27"/>
        <v>0</v>
      </c>
      <c r="BC33" s="193">
        <v>0</v>
      </c>
      <c r="BD33" s="238">
        <f t="shared" si="28"/>
        <v>0</v>
      </c>
      <c r="BE33" s="193">
        <v>0</v>
      </c>
      <c r="BF33" s="238">
        <f t="shared" si="29"/>
        <v>0</v>
      </c>
      <c r="BG33" s="193">
        <v>0</v>
      </c>
      <c r="BH33" s="238">
        <f t="shared" si="30"/>
        <v>0</v>
      </c>
      <c r="BI33" s="193">
        <v>0</v>
      </c>
      <c r="BJ33" s="238">
        <f t="shared" si="31"/>
        <v>0</v>
      </c>
      <c r="BK33" s="193">
        <v>0</v>
      </c>
      <c r="BL33" s="238">
        <f t="shared" si="32"/>
        <v>0</v>
      </c>
      <c r="BM33" s="193">
        <v>0</v>
      </c>
      <c r="BN33" s="238">
        <f t="shared" si="33"/>
        <v>0</v>
      </c>
      <c r="BO33" s="193">
        <v>0</v>
      </c>
      <c r="BP33" s="238">
        <f t="shared" si="34"/>
        <v>0</v>
      </c>
      <c r="BQ33" s="193">
        <v>0</v>
      </c>
      <c r="BR33" s="238">
        <f t="shared" si="35"/>
        <v>0</v>
      </c>
      <c r="BS33" s="225"/>
      <c r="BT33" s="239">
        <f t="shared" si="36"/>
        <v>6117.2360223033902</v>
      </c>
      <c r="BU33" s="238">
        <f t="shared" si="0"/>
        <v>253865.29492559069</v>
      </c>
    </row>
    <row r="34" spans="1:73" ht="14.25">
      <c r="A34" s="241">
        <v>1979</v>
      </c>
      <c r="B34" s="528">
        <f t="shared" si="1"/>
        <v>40.5</v>
      </c>
      <c r="C34" s="193">
        <v>0</v>
      </c>
      <c r="D34" s="238">
        <f t="shared" si="2"/>
        <v>0</v>
      </c>
      <c r="E34" s="193">
        <v>0</v>
      </c>
      <c r="F34" s="238">
        <f t="shared" si="3"/>
        <v>0</v>
      </c>
      <c r="G34" s="193">
        <v>0</v>
      </c>
      <c r="H34" s="238">
        <f t="shared" si="4"/>
        <v>0</v>
      </c>
      <c r="I34" s="193">
        <v>995.01769008924703</v>
      </c>
      <c r="J34" s="238">
        <f t="shared" si="5"/>
        <v>40298.216448614505</v>
      </c>
      <c r="K34" s="193">
        <v>0</v>
      </c>
      <c r="L34" s="238">
        <f t="shared" si="6"/>
        <v>0</v>
      </c>
      <c r="M34" s="193">
        <v>0</v>
      </c>
      <c r="N34" s="238">
        <f t="shared" si="7"/>
        <v>0</v>
      </c>
      <c r="O34" s="193">
        <v>0</v>
      </c>
      <c r="P34" s="238">
        <f t="shared" si="8"/>
        <v>0</v>
      </c>
      <c r="Q34" s="193">
        <v>4739.3999999999996</v>
      </c>
      <c r="R34" s="238">
        <f t="shared" si="9"/>
        <v>191945.69999999998</v>
      </c>
      <c r="S34" s="193">
        <v>81.430000000000007</v>
      </c>
      <c r="T34" s="238">
        <f t="shared" si="10"/>
        <v>3297.9150000000004</v>
      </c>
      <c r="U34" s="193">
        <v>0</v>
      </c>
      <c r="V34" s="238">
        <f t="shared" si="11"/>
        <v>0</v>
      </c>
      <c r="W34" s="193">
        <v>858.62</v>
      </c>
      <c r="X34" s="238">
        <f t="shared" si="12"/>
        <v>34774.110000000001</v>
      </c>
      <c r="Y34" s="193">
        <v>0</v>
      </c>
      <c r="Z34" s="238">
        <f t="shared" si="13"/>
        <v>0</v>
      </c>
      <c r="AA34" s="193">
        <v>0</v>
      </c>
      <c r="AB34" s="238">
        <f t="shared" si="14"/>
        <v>0</v>
      </c>
      <c r="AC34" s="193">
        <v>0</v>
      </c>
      <c r="AD34" s="238">
        <f t="shared" si="15"/>
        <v>0</v>
      </c>
      <c r="AE34" s="193">
        <v>0</v>
      </c>
      <c r="AF34" s="238">
        <f t="shared" si="16"/>
        <v>0</v>
      </c>
      <c r="AG34" s="193">
        <v>0</v>
      </c>
      <c r="AH34" s="238">
        <f t="shared" si="17"/>
        <v>0</v>
      </c>
      <c r="AI34" s="193">
        <v>0</v>
      </c>
      <c r="AJ34" s="238">
        <f t="shared" si="18"/>
        <v>0</v>
      </c>
      <c r="AK34" s="193">
        <v>0</v>
      </c>
      <c r="AL34" s="238">
        <f t="shared" si="19"/>
        <v>0</v>
      </c>
      <c r="AM34" s="193">
        <v>0</v>
      </c>
      <c r="AN34" s="238">
        <f t="shared" si="20"/>
        <v>0</v>
      </c>
      <c r="AO34" s="193">
        <v>0</v>
      </c>
      <c r="AP34" s="238">
        <f t="shared" si="21"/>
        <v>0</v>
      </c>
      <c r="AQ34" s="193">
        <v>0</v>
      </c>
      <c r="AR34" s="238">
        <f t="shared" si="22"/>
        <v>0</v>
      </c>
      <c r="AS34" s="193">
        <v>0</v>
      </c>
      <c r="AT34" s="238">
        <f t="shared" si="23"/>
        <v>0</v>
      </c>
      <c r="AU34" s="193">
        <v>0</v>
      </c>
      <c r="AV34" s="238">
        <f t="shared" si="24"/>
        <v>0</v>
      </c>
      <c r="AW34" s="193">
        <v>0</v>
      </c>
      <c r="AX34" s="238">
        <f t="shared" si="25"/>
        <v>0</v>
      </c>
      <c r="AY34" s="193">
        <v>0</v>
      </c>
      <c r="AZ34" s="238">
        <f t="shared" si="26"/>
        <v>0</v>
      </c>
      <c r="BA34" s="193">
        <v>0</v>
      </c>
      <c r="BB34" s="238">
        <f t="shared" si="27"/>
        <v>0</v>
      </c>
      <c r="BC34" s="193">
        <v>0</v>
      </c>
      <c r="BD34" s="238">
        <f t="shared" si="28"/>
        <v>0</v>
      </c>
      <c r="BE34" s="193">
        <v>0</v>
      </c>
      <c r="BF34" s="238">
        <f t="shared" si="29"/>
        <v>0</v>
      </c>
      <c r="BG34" s="193">
        <v>0</v>
      </c>
      <c r="BH34" s="238">
        <f t="shared" si="30"/>
        <v>0</v>
      </c>
      <c r="BI34" s="193">
        <v>0</v>
      </c>
      <c r="BJ34" s="238">
        <f t="shared" si="31"/>
        <v>0</v>
      </c>
      <c r="BK34" s="193">
        <v>0</v>
      </c>
      <c r="BL34" s="238">
        <f t="shared" si="32"/>
        <v>0</v>
      </c>
      <c r="BM34" s="193">
        <v>0</v>
      </c>
      <c r="BN34" s="238">
        <f t="shared" si="33"/>
        <v>0</v>
      </c>
      <c r="BO34" s="193">
        <v>0</v>
      </c>
      <c r="BP34" s="238">
        <f t="shared" si="34"/>
        <v>0</v>
      </c>
      <c r="BQ34" s="193">
        <v>0</v>
      </c>
      <c r="BR34" s="238">
        <f t="shared" si="35"/>
        <v>0</v>
      </c>
      <c r="BS34" s="225"/>
      <c r="BT34" s="239">
        <f t="shared" si="36"/>
        <v>6674.4676900892473</v>
      </c>
      <c r="BU34" s="238">
        <f t="shared" si="0"/>
        <v>270315.94144861453</v>
      </c>
    </row>
    <row r="35" spans="1:73" ht="14.25">
      <c r="A35" s="241">
        <v>1980</v>
      </c>
      <c r="B35" s="528">
        <f t="shared" si="1"/>
        <v>39.5</v>
      </c>
      <c r="C35" s="193">
        <v>0</v>
      </c>
      <c r="D35" s="238">
        <f t="shared" si="2"/>
        <v>0</v>
      </c>
      <c r="E35" s="193">
        <v>0</v>
      </c>
      <c r="F35" s="238">
        <f t="shared" si="3"/>
        <v>0</v>
      </c>
      <c r="G35" s="193">
        <v>2728.4699999999998</v>
      </c>
      <c r="H35" s="238">
        <f t="shared" si="4"/>
        <v>107774.56499999999</v>
      </c>
      <c r="I35" s="193">
        <v>3285.6820039237004</v>
      </c>
      <c r="J35" s="238">
        <f t="shared" si="5"/>
        <v>129784.43915498616</v>
      </c>
      <c r="K35" s="193">
        <v>0</v>
      </c>
      <c r="L35" s="238">
        <f t="shared" si="6"/>
        <v>0</v>
      </c>
      <c r="M35" s="193">
        <v>0</v>
      </c>
      <c r="N35" s="238">
        <f t="shared" si="7"/>
        <v>0</v>
      </c>
      <c r="O35" s="193">
        <v>0</v>
      </c>
      <c r="P35" s="238">
        <f t="shared" si="8"/>
        <v>0</v>
      </c>
      <c r="Q35" s="193">
        <v>98.040000000000006</v>
      </c>
      <c r="R35" s="238">
        <f t="shared" si="9"/>
        <v>3872.5800000000004</v>
      </c>
      <c r="S35" s="193">
        <v>0</v>
      </c>
      <c r="T35" s="238">
        <f t="shared" si="10"/>
        <v>0</v>
      </c>
      <c r="U35" s="193">
        <v>0</v>
      </c>
      <c r="V35" s="238">
        <f t="shared" si="11"/>
        <v>0</v>
      </c>
      <c r="W35" s="193">
        <v>882.97000000000116</v>
      </c>
      <c r="X35" s="238">
        <f t="shared" si="12"/>
        <v>34877.315000000046</v>
      </c>
      <c r="Y35" s="193">
        <v>0</v>
      </c>
      <c r="Z35" s="238">
        <f t="shared" si="13"/>
        <v>0</v>
      </c>
      <c r="AA35" s="193">
        <v>0</v>
      </c>
      <c r="AB35" s="238">
        <f t="shared" si="14"/>
        <v>0</v>
      </c>
      <c r="AC35" s="193">
        <v>0</v>
      </c>
      <c r="AD35" s="238">
        <f t="shared" si="15"/>
        <v>0</v>
      </c>
      <c r="AE35" s="193">
        <v>240.28000000000003</v>
      </c>
      <c r="AF35" s="238">
        <f t="shared" si="16"/>
        <v>9491.0600000000013</v>
      </c>
      <c r="AG35" s="193">
        <v>0</v>
      </c>
      <c r="AH35" s="238">
        <f t="shared" si="17"/>
        <v>0</v>
      </c>
      <c r="AI35" s="193">
        <v>0</v>
      </c>
      <c r="AJ35" s="238">
        <f t="shared" si="18"/>
        <v>0</v>
      </c>
      <c r="AK35" s="193">
        <v>0</v>
      </c>
      <c r="AL35" s="238">
        <f t="shared" si="19"/>
        <v>0</v>
      </c>
      <c r="AM35" s="193">
        <v>0</v>
      </c>
      <c r="AN35" s="238">
        <f t="shared" si="20"/>
        <v>0</v>
      </c>
      <c r="AO35" s="193">
        <v>0</v>
      </c>
      <c r="AP35" s="238">
        <f t="shared" si="21"/>
        <v>0</v>
      </c>
      <c r="AQ35" s="193">
        <v>0</v>
      </c>
      <c r="AR35" s="238">
        <f t="shared" si="22"/>
        <v>0</v>
      </c>
      <c r="AS35" s="193">
        <v>0</v>
      </c>
      <c r="AT35" s="238">
        <f t="shared" si="23"/>
        <v>0</v>
      </c>
      <c r="AU35" s="193">
        <v>0</v>
      </c>
      <c r="AV35" s="238">
        <f t="shared" si="24"/>
        <v>0</v>
      </c>
      <c r="AW35" s="193">
        <v>0</v>
      </c>
      <c r="AX35" s="238">
        <f t="shared" si="25"/>
        <v>0</v>
      </c>
      <c r="AY35" s="193">
        <v>0</v>
      </c>
      <c r="AZ35" s="238">
        <f t="shared" si="26"/>
        <v>0</v>
      </c>
      <c r="BA35" s="193">
        <v>0</v>
      </c>
      <c r="BB35" s="238">
        <f t="shared" si="27"/>
        <v>0</v>
      </c>
      <c r="BC35" s="193">
        <v>0</v>
      </c>
      <c r="BD35" s="238">
        <f t="shared" si="28"/>
        <v>0</v>
      </c>
      <c r="BE35" s="193">
        <v>0</v>
      </c>
      <c r="BF35" s="238">
        <f t="shared" si="29"/>
        <v>0</v>
      </c>
      <c r="BG35" s="193">
        <v>1572.49</v>
      </c>
      <c r="BH35" s="238">
        <f t="shared" si="30"/>
        <v>62113.355000000003</v>
      </c>
      <c r="BI35" s="193">
        <v>0</v>
      </c>
      <c r="BJ35" s="238">
        <f t="shared" si="31"/>
        <v>0</v>
      </c>
      <c r="BK35" s="193">
        <v>0</v>
      </c>
      <c r="BL35" s="238">
        <f t="shared" si="32"/>
        <v>0</v>
      </c>
      <c r="BM35" s="193">
        <v>0</v>
      </c>
      <c r="BN35" s="238">
        <f t="shared" si="33"/>
        <v>0</v>
      </c>
      <c r="BO35" s="193">
        <v>0</v>
      </c>
      <c r="BP35" s="238">
        <f t="shared" si="34"/>
        <v>0</v>
      </c>
      <c r="BQ35" s="193">
        <v>0</v>
      </c>
      <c r="BR35" s="238">
        <f t="shared" si="35"/>
        <v>0</v>
      </c>
      <c r="BS35" s="225"/>
      <c r="BT35" s="239">
        <f t="shared" si="36"/>
        <v>8807.9320039237027</v>
      </c>
      <c r="BU35" s="238">
        <f t="shared" si="0"/>
        <v>347913.31415498623</v>
      </c>
    </row>
    <row r="36" spans="1:73" ht="14.25">
      <c r="A36" s="241">
        <v>1981</v>
      </c>
      <c r="B36" s="528">
        <f t="shared" si="1"/>
        <v>38.5</v>
      </c>
      <c r="C36" s="193">
        <v>0</v>
      </c>
      <c r="D36" s="238">
        <f t="shared" si="2"/>
        <v>0</v>
      </c>
      <c r="E36" s="193">
        <v>0</v>
      </c>
      <c r="F36" s="238">
        <f t="shared" si="3"/>
        <v>0</v>
      </c>
      <c r="G36" s="193">
        <v>2088.3600000000001</v>
      </c>
      <c r="H36" s="238">
        <f t="shared" si="4"/>
        <v>80401.860000000001</v>
      </c>
      <c r="I36" s="193">
        <v>3003.9121085534653</v>
      </c>
      <c r="J36" s="238">
        <f t="shared" si="5"/>
        <v>115650.61617930842</v>
      </c>
      <c r="K36" s="193">
        <v>0</v>
      </c>
      <c r="L36" s="238">
        <f t="shared" si="6"/>
        <v>0</v>
      </c>
      <c r="M36" s="193">
        <v>0</v>
      </c>
      <c r="N36" s="238">
        <f t="shared" si="7"/>
        <v>0</v>
      </c>
      <c r="O36" s="193">
        <v>0</v>
      </c>
      <c r="P36" s="238">
        <f t="shared" si="8"/>
        <v>0</v>
      </c>
      <c r="Q36" s="193">
        <v>0</v>
      </c>
      <c r="R36" s="238">
        <f t="shared" si="9"/>
        <v>0</v>
      </c>
      <c r="S36" s="193">
        <v>1223.3499999999999</v>
      </c>
      <c r="T36" s="238">
        <f t="shared" si="10"/>
        <v>47098.974999999999</v>
      </c>
      <c r="U36" s="193">
        <v>0</v>
      </c>
      <c r="V36" s="238">
        <f t="shared" si="11"/>
        <v>0</v>
      </c>
      <c r="W36" s="193">
        <v>3912.0599999999977</v>
      </c>
      <c r="X36" s="238">
        <f t="shared" si="12"/>
        <v>150614.30999999991</v>
      </c>
      <c r="Y36" s="193">
        <v>0</v>
      </c>
      <c r="Z36" s="238">
        <f t="shared" si="13"/>
        <v>0</v>
      </c>
      <c r="AA36" s="193">
        <v>0</v>
      </c>
      <c r="AB36" s="238">
        <f t="shared" si="14"/>
        <v>0</v>
      </c>
      <c r="AC36" s="193">
        <v>0</v>
      </c>
      <c r="AD36" s="238">
        <f t="shared" si="15"/>
        <v>0</v>
      </c>
      <c r="AE36" s="193">
        <v>0</v>
      </c>
      <c r="AF36" s="238">
        <f t="shared" si="16"/>
        <v>0</v>
      </c>
      <c r="AG36" s="193">
        <v>0</v>
      </c>
      <c r="AH36" s="238">
        <f t="shared" si="17"/>
        <v>0</v>
      </c>
      <c r="AI36" s="193">
        <v>0</v>
      </c>
      <c r="AJ36" s="238">
        <f t="shared" si="18"/>
        <v>0</v>
      </c>
      <c r="AK36" s="193">
        <v>0</v>
      </c>
      <c r="AL36" s="238">
        <f t="shared" si="19"/>
        <v>0</v>
      </c>
      <c r="AM36" s="193">
        <v>0</v>
      </c>
      <c r="AN36" s="238">
        <f t="shared" si="20"/>
        <v>0</v>
      </c>
      <c r="AO36" s="193">
        <v>0</v>
      </c>
      <c r="AP36" s="238">
        <f t="shared" si="21"/>
        <v>0</v>
      </c>
      <c r="AQ36" s="193">
        <v>0</v>
      </c>
      <c r="AR36" s="238">
        <f t="shared" si="22"/>
        <v>0</v>
      </c>
      <c r="AS36" s="193">
        <v>0</v>
      </c>
      <c r="AT36" s="238">
        <f t="shared" si="23"/>
        <v>0</v>
      </c>
      <c r="AU36" s="193">
        <v>0</v>
      </c>
      <c r="AV36" s="238">
        <f t="shared" si="24"/>
        <v>0</v>
      </c>
      <c r="AW36" s="193">
        <v>0</v>
      </c>
      <c r="AX36" s="238">
        <f t="shared" si="25"/>
        <v>0</v>
      </c>
      <c r="AY36" s="193">
        <v>0</v>
      </c>
      <c r="AZ36" s="238">
        <f t="shared" si="26"/>
        <v>0</v>
      </c>
      <c r="BA36" s="193">
        <v>0</v>
      </c>
      <c r="BB36" s="238">
        <f t="shared" si="27"/>
        <v>0</v>
      </c>
      <c r="BC36" s="193">
        <v>0</v>
      </c>
      <c r="BD36" s="238">
        <f t="shared" si="28"/>
        <v>0</v>
      </c>
      <c r="BE36" s="193">
        <v>0</v>
      </c>
      <c r="BF36" s="238">
        <f t="shared" si="29"/>
        <v>0</v>
      </c>
      <c r="BG36" s="193">
        <v>2606.8000000000002</v>
      </c>
      <c r="BH36" s="238">
        <f t="shared" si="30"/>
        <v>100361.8</v>
      </c>
      <c r="BI36" s="193">
        <v>0</v>
      </c>
      <c r="BJ36" s="238">
        <f t="shared" si="31"/>
        <v>0</v>
      </c>
      <c r="BK36" s="193">
        <v>0</v>
      </c>
      <c r="BL36" s="238">
        <f t="shared" si="32"/>
        <v>0</v>
      </c>
      <c r="BM36" s="193">
        <v>0</v>
      </c>
      <c r="BN36" s="238">
        <f t="shared" si="33"/>
        <v>0</v>
      </c>
      <c r="BO36" s="193">
        <v>180.06</v>
      </c>
      <c r="BP36" s="238">
        <f t="shared" si="34"/>
        <v>6932.3100000000004</v>
      </c>
      <c r="BQ36" s="193">
        <v>0</v>
      </c>
      <c r="BR36" s="238">
        <f t="shared" si="35"/>
        <v>0</v>
      </c>
      <c r="BS36" s="225"/>
      <c r="BT36" s="239">
        <f t="shared" si="36"/>
        <v>13014.542108553464</v>
      </c>
      <c r="BU36" s="238">
        <f t="shared" si="0"/>
        <v>501059.87117930833</v>
      </c>
    </row>
    <row r="37" spans="1:73" ht="14.25">
      <c r="A37" s="241">
        <v>1982</v>
      </c>
      <c r="B37" s="528">
        <f t="shared" si="1"/>
        <v>37.5</v>
      </c>
      <c r="C37" s="193">
        <v>0</v>
      </c>
      <c r="D37" s="238">
        <f t="shared" si="2"/>
        <v>0</v>
      </c>
      <c r="E37" s="193">
        <v>0</v>
      </c>
      <c r="F37" s="238">
        <f t="shared" si="3"/>
        <v>0</v>
      </c>
      <c r="G37" s="193">
        <v>1690</v>
      </c>
      <c r="H37" s="238">
        <f t="shared" si="4"/>
        <v>63375</v>
      </c>
      <c r="I37" s="193">
        <v>2980.6537929364963</v>
      </c>
      <c r="J37" s="238">
        <f t="shared" si="5"/>
        <v>111774.5172351186</v>
      </c>
      <c r="K37" s="193">
        <v>0</v>
      </c>
      <c r="L37" s="238">
        <f t="shared" si="6"/>
        <v>0</v>
      </c>
      <c r="M37" s="193">
        <v>0</v>
      </c>
      <c r="N37" s="238">
        <f t="shared" si="7"/>
        <v>0</v>
      </c>
      <c r="O37" s="193">
        <v>0</v>
      </c>
      <c r="P37" s="238">
        <f t="shared" si="8"/>
        <v>0</v>
      </c>
      <c r="Q37" s="193">
        <v>0</v>
      </c>
      <c r="R37" s="238">
        <f t="shared" si="9"/>
        <v>0</v>
      </c>
      <c r="S37" s="193">
        <v>0</v>
      </c>
      <c r="T37" s="238">
        <f t="shared" si="10"/>
        <v>0</v>
      </c>
      <c r="U37" s="193">
        <v>0</v>
      </c>
      <c r="V37" s="238">
        <f t="shared" si="11"/>
        <v>0</v>
      </c>
      <c r="W37" s="193">
        <v>4162.9499999999998</v>
      </c>
      <c r="X37" s="238">
        <f t="shared" si="12"/>
        <v>156110.625</v>
      </c>
      <c r="Y37" s="193">
        <v>0</v>
      </c>
      <c r="Z37" s="238">
        <f t="shared" si="13"/>
        <v>0</v>
      </c>
      <c r="AA37" s="193">
        <v>0</v>
      </c>
      <c r="AB37" s="238">
        <f t="shared" si="14"/>
        <v>0</v>
      </c>
      <c r="AC37" s="193">
        <v>0</v>
      </c>
      <c r="AD37" s="238">
        <f t="shared" si="15"/>
        <v>0</v>
      </c>
      <c r="AE37" s="193">
        <v>8551.6099999999988</v>
      </c>
      <c r="AF37" s="238">
        <f t="shared" si="16"/>
        <v>320685.37499999994</v>
      </c>
      <c r="AG37" s="193">
        <v>0</v>
      </c>
      <c r="AH37" s="238">
        <f t="shared" si="17"/>
        <v>0</v>
      </c>
      <c r="AI37" s="193">
        <v>0</v>
      </c>
      <c r="AJ37" s="238">
        <f t="shared" si="18"/>
        <v>0</v>
      </c>
      <c r="AK37" s="193">
        <v>0</v>
      </c>
      <c r="AL37" s="238">
        <f t="shared" si="19"/>
        <v>0</v>
      </c>
      <c r="AM37" s="193">
        <v>0</v>
      </c>
      <c r="AN37" s="238">
        <f t="shared" si="20"/>
        <v>0</v>
      </c>
      <c r="AO37" s="193">
        <v>0</v>
      </c>
      <c r="AP37" s="238">
        <f t="shared" si="21"/>
        <v>0</v>
      </c>
      <c r="AQ37" s="193">
        <v>0</v>
      </c>
      <c r="AR37" s="238">
        <f t="shared" si="22"/>
        <v>0</v>
      </c>
      <c r="AS37" s="193">
        <v>0</v>
      </c>
      <c r="AT37" s="238">
        <f t="shared" si="23"/>
        <v>0</v>
      </c>
      <c r="AU37" s="193">
        <v>0</v>
      </c>
      <c r="AV37" s="238">
        <f t="shared" si="24"/>
        <v>0</v>
      </c>
      <c r="AW37" s="193">
        <v>0</v>
      </c>
      <c r="AX37" s="238">
        <f t="shared" si="25"/>
        <v>0</v>
      </c>
      <c r="AY37" s="193">
        <v>0</v>
      </c>
      <c r="AZ37" s="238">
        <f t="shared" si="26"/>
        <v>0</v>
      </c>
      <c r="BA37" s="193">
        <v>0</v>
      </c>
      <c r="BB37" s="238">
        <f t="shared" si="27"/>
        <v>0</v>
      </c>
      <c r="BC37" s="193">
        <v>0</v>
      </c>
      <c r="BD37" s="238">
        <f t="shared" si="28"/>
        <v>0</v>
      </c>
      <c r="BE37" s="193">
        <v>0</v>
      </c>
      <c r="BF37" s="238">
        <f t="shared" si="29"/>
        <v>0</v>
      </c>
      <c r="BG37" s="193">
        <v>1910.1199999999999</v>
      </c>
      <c r="BH37" s="238">
        <f t="shared" si="30"/>
        <v>71629.5</v>
      </c>
      <c r="BI37" s="193">
        <v>0</v>
      </c>
      <c r="BJ37" s="238">
        <f t="shared" si="31"/>
        <v>0</v>
      </c>
      <c r="BK37" s="193">
        <v>0</v>
      </c>
      <c r="BL37" s="238">
        <f t="shared" si="32"/>
        <v>0</v>
      </c>
      <c r="BM37" s="193">
        <v>0</v>
      </c>
      <c r="BN37" s="238">
        <f t="shared" si="33"/>
        <v>0</v>
      </c>
      <c r="BO37" s="193">
        <v>0</v>
      </c>
      <c r="BP37" s="238">
        <f t="shared" si="34"/>
        <v>0</v>
      </c>
      <c r="BQ37" s="193">
        <v>0</v>
      </c>
      <c r="BR37" s="238">
        <f t="shared" si="35"/>
        <v>0</v>
      </c>
      <c r="BS37" s="225"/>
      <c r="BT37" s="239">
        <f t="shared" si="36"/>
        <v>19295.333792936497</v>
      </c>
      <c r="BU37" s="238">
        <f t="shared" si="0"/>
        <v>723575.01723511866</v>
      </c>
    </row>
    <row r="38" spans="1:73" ht="14.25">
      <c r="A38" s="241">
        <v>1983</v>
      </c>
      <c r="B38" s="528">
        <f t="shared" si="37" ref="B38:B69">$A$74-A38+0.5</f>
        <v>36.5</v>
      </c>
      <c r="C38" s="193">
        <v>0</v>
      </c>
      <c r="D38" s="238">
        <f t="shared" si="2"/>
        <v>0</v>
      </c>
      <c r="E38" s="193">
        <v>0</v>
      </c>
      <c r="F38" s="238">
        <f t="shared" si="3"/>
        <v>0</v>
      </c>
      <c r="G38" s="193">
        <v>2373.7199999999998</v>
      </c>
      <c r="H38" s="238">
        <f t="shared" si="4"/>
        <v>86640.779999999999</v>
      </c>
      <c r="I38" s="193">
        <v>2661.1616424220961</v>
      </c>
      <c r="J38" s="238">
        <f t="shared" si="5"/>
        <v>97132.399948406513</v>
      </c>
      <c r="K38" s="193">
        <v>0</v>
      </c>
      <c r="L38" s="238">
        <f t="shared" si="6"/>
        <v>0</v>
      </c>
      <c r="M38" s="193">
        <v>0</v>
      </c>
      <c r="N38" s="238">
        <f t="shared" si="7"/>
        <v>0</v>
      </c>
      <c r="O38" s="193">
        <v>0</v>
      </c>
      <c r="P38" s="238">
        <f t="shared" si="8"/>
        <v>0</v>
      </c>
      <c r="Q38" s="193">
        <v>2757.2199999999998</v>
      </c>
      <c r="R38" s="238">
        <f t="shared" si="9"/>
        <v>100638.53</v>
      </c>
      <c r="S38" s="193">
        <v>0</v>
      </c>
      <c r="T38" s="238">
        <f t="shared" si="10"/>
        <v>0</v>
      </c>
      <c r="U38" s="193">
        <v>0</v>
      </c>
      <c r="V38" s="238">
        <f t="shared" si="11"/>
        <v>0</v>
      </c>
      <c r="W38" s="193">
        <v>1853.8699999999999</v>
      </c>
      <c r="X38" s="238">
        <f t="shared" si="12"/>
        <v>67666.25499999999</v>
      </c>
      <c r="Y38" s="193">
        <v>0</v>
      </c>
      <c r="Z38" s="238">
        <f t="shared" si="13"/>
        <v>0</v>
      </c>
      <c r="AA38" s="193">
        <v>0</v>
      </c>
      <c r="AB38" s="238">
        <f t="shared" si="14"/>
        <v>0</v>
      </c>
      <c r="AC38" s="193">
        <v>0</v>
      </c>
      <c r="AD38" s="238">
        <f t="shared" si="15"/>
        <v>0</v>
      </c>
      <c r="AE38" s="193">
        <v>125.84</v>
      </c>
      <c r="AF38" s="238">
        <f t="shared" si="16"/>
        <v>4593.1599999999999</v>
      </c>
      <c r="AG38" s="193">
        <v>0</v>
      </c>
      <c r="AH38" s="238">
        <f t="shared" si="17"/>
        <v>0</v>
      </c>
      <c r="AI38" s="193">
        <v>0</v>
      </c>
      <c r="AJ38" s="238">
        <f t="shared" si="18"/>
        <v>0</v>
      </c>
      <c r="AK38" s="193">
        <v>0</v>
      </c>
      <c r="AL38" s="238">
        <f t="shared" si="19"/>
        <v>0</v>
      </c>
      <c r="AM38" s="193">
        <v>0</v>
      </c>
      <c r="AN38" s="238">
        <f t="shared" si="20"/>
        <v>0</v>
      </c>
      <c r="AO38" s="193">
        <v>0</v>
      </c>
      <c r="AP38" s="238">
        <f t="shared" si="21"/>
        <v>0</v>
      </c>
      <c r="AQ38" s="193">
        <v>0</v>
      </c>
      <c r="AR38" s="238">
        <f t="shared" si="22"/>
        <v>0</v>
      </c>
      <c r="AS38" s="193">
        <v>0</v>
      </c>
      <c r="AT38" s="238">
        <f t="shared" si="23"/>
        <v>0</v>
      </c>
      <c r="AU38" s="193">
        <v>0</v>
      </c>
      <c r="AV38" s="238">
        <f t="shared" si="24"/>
        <v>0</v>
      </c>
      <c r="AW38" s="193">
        <v>0</v>
      </c>
      <c r="AX38" s="238">
        <f t="shared" si="25"/>
        <v>0</v>
      </c>
      <c r="AY38" s="193">
        <v>0</v>
      </c>
      <c r="AZ38" s="238">
        <f t="shared" si="26"/>
        <v>0</v>
      </c>
      <c r="BA38" s="193">
        <v>0</v>
      </c>
      <c r="BB38" s="238">
        <f t="shared" si="27"/>
        <v>0</v>
      </c>
      <c r="BC38" s="193">
        <v>0</v>
      </c>
      <c r="BD38" s="238">
        <f t="shared" si="28"/>
        <v>0</v>
      </c>
      <c r="BE38" s="193">
        <v>0</v>
      </c>
      <c r="BF38" s="238">
        <f t="shared" si="29"/>
        <v>0</v>
      </c>
      <c r="BG38" s="193">
        <v>1671.3699999999999</v>
      </c>
      <c r="BH38" s="238">
        <f t="shared" si="30"/>
        <v>61005.004999999997</v>
      </c>
      <c r="BI38" s="193">
        <v>0</v>
      </c>
      <c r="BJ38" s="238">
        <f t="shared" si="31"/>
        <v>0</v>
      </c>
      <c r="BK38" s="193">
        <v>0</v>
      </c>
      <c r="BL38" s="238">
        <f t="shared" si="32"/>
        <v>0</v>
      </c>
      <c r="BM38" s="193">
        <v>0</v>
      </c>
      <c r="BN38" s="238">
        <f t="shared" si="33"/>
        <v>0</v>
      </c>
      <c r="BO38" s="193">
        <v>0</v>
      </c>
      <c r="BP38" s="238">
        <f t="shared" si="34"/>
        <v>0</v>
      </c>
      <c r="BQ38" s="193">
        <v>0</v>
      </c>
      <c r="BR38" s="238">
        <f t="shared" si="35"/>
        <v>0</v>
      </c>
      <c r="BS38" s="225"/>
      <c r="BT38" s="239">
        <f t="shared" si="36"/>
        <v>11443.181642422096</v>
      </c>
      <c r="BU38" s="238">
        <f t="shared" si="38" ref="BU38:BU69">+BT38*$B38</f>
        <v>417676.12994840648</v>
      </c>
    </row>
    <row r="39" spans="1:73" ht="14.25">
      <c r="A39" s="241">
        <v>1984</v>
      </c>
      <c r="B39" s="528">
        <f t="shared" si="37"/>
        <v>35.5</v>
      </c>
      <c r="C39" s="193">
        <v>0</v>
      </c>
      <c r="D39" s="238">
        <f t="shared" si="2"/>
        <v>0</v>
      </c>
      <c r="E39" s="193">
        <v>0</v>
      </c>
      <c r="F39" s="238">
        <f t="shared" si="3"/>
        <v>0</v>
      </c>
      <c r="G39" s="193">
        <v>0</v>
      </c>
      <c r="H39" s="238">
        <f t="shared" si="4"/>
        <v>0</v>
      </c>
      <c r="I39" s="193">
        <v>19279.578983154621</v>
      </c>
      <c r="J39" s="238">
        <f t="shared" si="5"/>
        <v>684425.05390198901</v>
      </c>
      <c r="K39" s="193">
        <v>0</v>
      </c>
      <c r="L39" s="238">
        <f t="shared" si="6"/>
        <v>0</v>
      </c>
      <c r="M39" s="193">
        <v>0</v>
      </c>
      <c r="N39" s="238">
        <f t="shared" si="7"/>
        <v>0</v>
      </c>
      <c r="O39" s="193">
        <v>0</v>
      </c>
      <c r="P39" s="238">
        <f t="shared" si="8"/>
        <v>0</v>
      </c>
      <c r="Q39" s="193">
        <v>650.87</v>
      </c>
      <c r="R39" s="238">
        <f t="shared" si="9"/>
        <v>23105.884999999998</v>
      </c>
      <c r="S39" s="193">
        <v>396.82999999999998</v>
      </c>
      <c r="T39" s="238">
        <f t="shared" si="10"/>
        <v>14087.465</v>
      </c>
      <c r="U39" s="193">
        <v>0</v>
      </c>
      <c r="V39" s="238">
        <f t="shared" si="11"/>
        <v>0</v>
      </c>
      <c r="W39" s="193">
        <v>765.72000000000003</v>
      </c>
      <c r="X39" s="238">
        <f t="shared" si="12"/>
        <v>27183.060000000001</v>
      </c>
      <c r="Y39" s="193">
        <v>0</v>
      </c>
      <c r="Z39" s="238">
        <f t="shared" si="13"/>
        <v>0</v>
      </c>
      <c r="AA39" s="193">
        <v>0</v>
      </c>
      <c r="AB39" s="238">
        <f t="shared" si="14"/>
        <v>0</v>
      </c>
      <c r="AC39" s="193">
        <v>0</v>
      </c>
      <c r="AD39" s="238">
        <f t="shared" si="15"/>
        <v>0</v>
      </c>
      <c r="AE39" s="193">
        <v>0</v>
      </c>
      <c r="AF39" s="238">
        <f t="shared" si="16"/>
        <v>0</v>
      </c>
      <c r="AG39" s="193">
        <v>0</v>
      </c>
      <c r="AH39" s="238">
        <f t="shared" si="17"/>
        <v>0</v>
      </c>
      <c r="AI39" s="193">
        <v>0</v>
      </c>
      <c r="AJ39" s="238">
        <f t="shared" si="18"/>
        <v>0</v>
      </c>
      <c r="AK39" s="193">
        <v>0</v>
      </c>
      <c r="AL39" s="238">
        <f t="shared" si="19"/>
        <v>0</v>
      </c>
      <c r="AM39" s="193">
        <v>0</v>
      </c>
      <c r="AN39" s="238">
        <f t="shared" si="20"/>
        <v>0</v>
      </c>
      <c r="AO39" s="193">
        <v>0</v>
      </c>
      <c r="AP39" s="238">
        <f t="shared" si="21"/>
        <v>0</v>
      </c>
      <c r="AQ39" s="193">
        <v>0</v>
      </c>
      <c r="AR39" s="238">
        <f t="shared" si="22"/>
        <v>0</v>
      </c>
      <c r="AS39" s="193">
        <v>0</v>
      </c>
      <c r="AT39" s="238">
        <f t="shared" si="23"/>
        <v>0</v>
      </c>
      <c r="AU39" s="193">
        <v>0</v>
      </c>
      <c r="AV39" s="238">
        <f t="shared" si="24"/>
        <v>0</v>
      </c>
      <c r="AW39" s="193">
        <v>0</v>
      </c>
      <c r="AX39" s="238">
        <f t="shared" si="25"/>
        <v>0</v>
      </c>
      <c r="AY39" s="193">
        <v>0</v>
      </c>
      <c r="AZ39" s="238">
        <f t="shared" si="26"/>
        <v>0</v>
      </c>
      <c r="BA39" s="193">
        <v>0</v>
      </c>
      <c r="BB39" s="238">
        <f t="shared" si="27"/>
        <v>0</v>
      </c>
      <c r="BC39" s="193">
        <v>0</v>
      </c>
      <c r="BD39" s="238">
        <f t="shared" si="28"/>
        <v>0</v>
      </c>
      <c r="BE39" s="193">
        <v>0</v>
      </c>
      <c r="BF39" s="238">
        <f t="shared" si="29"/>
        <v>0</v>
      </c>
      <c r="BG39" s="193">
        <v>594.09000000000003</v>
      </c>
      <c r="BH39" s="238">
        <f t="shared" si="30"/>
        <v>21090.195</v>
      </c>
      <c r="BI39" s="193">
        <v>0</v>
      </c>
      <c r="BJ39" s="238">
        <f t="shared" si="31"/>
        <v>0</v>
      </c>
      <c r="BK39" s="193">
        <v>0</v>
      </c>
      <c r="BL39" s="238">
        <f t="shared" si="32"/>
        <v>0</v>
      </c>
      <c r="BM39" s="193">
        <v>0</v>
      </c>
      <c r="BN39" s="238">
        <f t="shared" si="33"/>
        <v>0</v>
      </c>
      <c r="BO39" s="193">
        <v>0</v>
      </c>
      <c r="BP39" s="238">
        <f t="shared" si="34"/>
        <v>0</v>
      </c>
      <c r="BQ39" s="193">
        <v>0</v>
      </c>
      <c r="BR39" s="238">
        <f t="shared" si="35"/>
        <v>0</v>
      </c>
      <c r="BS39" s="225"/>
      <c r="BT39" s="239">
        <f t="shared" si="36"/>
        <v>21687.088983154623</v>
      </c>
      <c r="BU39" s="238">
        <f t="shared" si="38"/>
        <v>769891.65890198911</v>
      </c>
    </row>
    <row r="40" spans="1:73" ht="14.25">
      <c r="A40" s="241">
        <v>1985</v>
      </c>
      <c r="B40" s="528">
        <f t="shared" si="37"/>
        <v>34.5</v>
      </c>
      <c r="C40" s="193">
        <v>0</v>
      </c>
      <c r="D40" s="238">
        <f t="shared" si="2"/>
        <v>0</v>
      </c>
      <c r="E40" s="193">
        <v>0</v>
      </c>
      <c r="F40" s="238">
        <f t="shared" si="3"/>
        <v>0</v>
      </c>
      <c r="G40" s="193">
        <v>6120</v>
      </c>
      <c r="H40" s="238">
        <f t="shared" si="4"/>
        <v>211140</v>
      </c>
      <c r="I40" s="193">
        <v>138621.60401932205</v>
      </c>
      <c r="J40" s="238">
        <f t="shared" si="5"/>
        <v>4782445.3386666104</v>
      </c>
      <c r="K40" s="193">
        <v>0</v>
      </c>
      <c r="L40" s="238">
        <f t="shared" si="6"/>
        <v>0</v>
      </c>
      <c r="M40" s="193">
        <v>0</v>
      </c>
      <c r="N40" s="238">
        <f t="shared" si="7"/>
        <v>0</v>
      </c>
      <c r="O40" s="193">
        <v>0</v>
      </c>
      <c r="P40" s="238">
        <f t="shared" si="8"/>
        <v>0</v>
      </c>
      <c r="Q40" s="193">
        <v>6729.1899999999996</v>
      </c>
      <c r="R40" s="238">
        <f t="shared" si="9"/>
        <v>232157.05499999999</v>
      </c>
      <c r="S40" s="193">
        <v>0</v>
      </c>
      <c r="T40" s="238">
        <f t="shared" si="10"/>
        <v>0</v>
      </c>
      <c r="U40" s="193">
        <v>0</v>
      </c>
      <c r="V40" s="238">
        <f t="shared" si="11"/>
        <v>0</v>
      </c>
      <c r="W40" s="193">
        <v>815.11000000000001</v>
      </c>
      <c r="X40" s="238">
        <f t="shared" si="12"/>
        <v>28121.295000000002</v>
      </c>
      <c r="Y40" s="193">
        <v>0</v>
      </c>
      <c r="Z40" s="238">
        <f t="shared" si="13"/>
        <v>0</v>
      </c>
      <c r="AA40" s="193">
        <v>0</v>
      </c>
      <c r="AB40" s="238">
        <f t="shared" si="14"/>
        <v>0</v>
      </c>
      <c r="AC40" s="193">
        <v>0</v>
      </c>
      <c r="AD40" s="238">
        <f t="shared" si="15"/>
        <v>0</v>
      </c>
      <c r="AE40" s="193">
        <v>0</v>
      </c>
      <c r="AF40" s="238">
        <f t="shared" si="16"/>
        <v>0</v>
      </c>
      <c r="AG40" s="193">
        <v>0</v>
      </c>
      <c r="AH40" s="238">
        <f t="shared" si="17"/>
        <v>0</v>
      </c>
      <c r="AI40" s="193">
        <v>0</v>
      </c>
      <c r="AJ40" s="238">
        <f t="shared" si="18"/>
        <v>0</v>
      </c>
      <c r="AK40" s="193">
        <v>0</v>
      </c>
      <c r="AL40" s="238">
        <f t="shared" si="19"/>
        <v>0</v>
      </c>
      <c r="AM40" s="193">
        <v>0</v>
      </c>
      <c r="AN40" s="238">
        <f t="shared" si="20"/>
        <v>0</v>
      </c>
      <c r="AO40" s="193">
        <v>0</v>
      </c>
      <c r="AP40" s="238">
        <f t="shared" si="21"/>
        <v>0</v>
      </c>
      <c r="AQ40" s="193">
        <v>0</v>
      </c>
      <c r="AR40" s="238">
        <f t="shared" si="22"/>
        <v>0</v>
      </c>
      <c r="AS40" s="193">
        <v>0</v>
      </c>
      <c r="AT40" s="238">
        <f t="shared" si="23"/>
        <v>0</v>
      </c>
      <c r="AU40" s="193">
        <v>0</v>
      </c>
      <c r="AV40" s="238">
        <f t="shared" si="24"/>
        <v>0</v>
      </c>
      <c r="AW40" s="193">
        <v>0</v>
      </c>
      <c r="AX40" s="238">
        <f t="shared" si="25"/>
        <v>0</v>
      </c>
      <c r="AY40" s="193">
        <v>0</v>
      </c>
      <c r="AZ40" s="238">
        <f t="shared" si="26"/>
        <v>0</v>
      </c>
      <c r="BA40" s="193">
        <v>0</v>
      </c>
      <c r="BB40" s="238">
        <f t="shared" si="27"/>
        <v>0</v>
      </c>
      <c r="BC40" s="193">
        <v>0</v>
      </c>
      <c r="BD40" s="238">
        <f t="shared" si="28"/>
        <v>0</v>
      </c>
      <c r="BE40" s="193">
        <v>0</v>
      </c>
      <c r="BF40" s="238">
        <f t="shared" si="29"/>
        <v>0</v>
      </c>
      <c r="BG40" s="193">
        <v>251.34</v>
      </c>
      <c r="BH40" s="238">
        <f t="shared" si="30"/>
        <v>8671.2299999999996</v>
      </c>
      <c r="BI40" s="193">
        <v>0</v>
      </c>
      <c r="BJ40" s="238">
        <f t="shared" si="31"/>
        <v>0</v>
      </c>
      <c r="BK40" s="193">
        <v>0</v>
      </c>
      <c r="BL40" s="238">
        <f t="shared" si="32"/>
        <v>0</v>
      </c>
      <c r="BM40" s="193">
        <v>0</v>
      </c>
      <c r="BN40" s="238">
        <f t="shared" si="33"/>
        <v>0</v>
      </c>
      <c r="BO40" s="193">
        <v>404.25</v>
      </c>
      <c r="BP40" s="238">
        <f t="shared" si="34"/>
        <v>13946.625</v>
      </c>
      <c r="BQ40" s="193">
        <v>0</v>
      </c>
      <c r="BR40" s="238">
        <f t="shared" si="35"/>
        <v>0</v>
      </c>
      <c r="BS40" s="225"/>
      <c r="BT40" s="239">
        <f t="shared" si="36"/>
        <v>152941.49401932204</v>
      </c>
      <c r="BU40" s="238">
        <f t="shared" si="38"/>
        <v>5276481.5436666105</v>
      </c>
    </row>
    <row r="41" spans="1:73" ht="14.25">
      <c r="A41" s="241">
        <v>1986</v>
      </c>
      <c r="B41" s="528">
        <f t="shared" si="37"/>
        <v>33.5</v>
      </c>
      <c r="C41" s="193">
        <v>0</v>
      </c>
      <c r="D41" s="238">
        <f t="shared" si="2"/>
        <v>0</v>
      </c>
      <c r="E41" s="193">
        <v>0</v>
      </c>
      <c r="F41" s="238">
        <f t="shared" si="3"/>
        <v>0</v>
      </c>
      <c r="G41" s="193">
        <v>0</v>
      </c>
      <c r="H41" s="238">
        <f t="shared" si="4"/>
        <v>0</v>
      </c>
      <c r="I41" s="193">
        <v>14801.650634630967</v>
      </c>
      <c r="J41" s="238">
        <f t="shared" si="5"/>
        <v>495855.2962601374</v>
      </c>
      <c r="K41" s="193">
        <v>0</v>
      </c>
      <c r="L41" s="238">
        <f t="shared" si="6"/>
        <v>0</v>
      </c>
      <c r="M41" s="193">
        <v>0</v>
      </c>
      <c r="N41" s="238">
        <f t="shared" si="7"/>
        <v>0</v>
      </c>
      <c r="O41" s="193">
        <v>0</v>
      </c>
      <c r="P41" s="238">
        <f t="shared" si="8"/>
        <v>0</v>
      </c>
      <c r="Q41" s="193">
        <v>448.19999999999999</v>
      </c>
      <c r="R41" s="238">
        <f t="shared" si="9"/>
        <v>15014.699999999999</v>
      </c>
      <c r="S41" s="193">
        <v>0</v>
      </c>
      <c r="T41" s="238">
        <f t="shared" si="10"/>
        <v>0</v>
      </c>
      <c r="U41" s="193">
        <v>0</v>
      </c>
      <c r="V41" s="238">
        <f t="shared" si="11"/>
        <v>0</v>
      </c>
      <c r="W41" s="193">
        <v>2200.2600000000002</v>
      </c>
      <c r="X41" s="238">
        <f t="shared" si="12"/>
        <v>73708.710000000006</v>
      </c>
      <c r="Y41" s="193">
        <v>0</v>
      </c>
      <c r="Z41" s="238">
        <f t="shared" si="13"/>
        <v>0</v>
      </c>
      <c r="AA41" s="193">
        <v>0</v>
      </c>
      <c r="AB41" s="238">
        <f t="shared" si="14"/>
        <v>0</v>
      </c>
      <c r="AC41" s="193">
        <v>0</v>
      </c>
      <c r="AD41" s="238">
        <f t="shared" si="15"/>
        <v>0</v>
      </c>
      <c r="AE41" s="193">
        <v>0</v>
      </c>
      <c r="AF41" s="238">
        <f t="shared" si="16"/>
        <v>0</v>
      </c>
      <c r="AG41" s="193">
        <v>0</v>
      </c>
      <c r="AH41" s="238">
        <f t="shared" si="17"/>
        <v>0</v>
      </c>
      <c r="AI41" s="193">
        <v>0</v>
      </c>
      <c r="AJ41" s="238">
        <f t="shared" si="18"/>
        <v>0</v>
      </c>
      <c r="AK41" s="193">
        <v>0</v>
      </c>
      <c r="AL41" s="238">
        <f t="shared" si="19"/>
        <v>0</v>
      </c>
      <c r="AM41" s="193">
        <v>0</v>
      </c>
      <c r="AN41" s="238">
        <f t="shared" si="20"/>
        <v>0</v>
      </c>
      <c r="AO41" s="193">
        <v>0</v>
      </c>
      <c r="AP41" s="238">
        <f t="shared" si="21"/>
        <v>0</v>
      </c>
      <c r="AQ41" s="193">
        <v>0</v>
      </c>
      <c r="AR41" s="238">
        <f t="shared" si="22"/>
        <v>0</v>
      </c>
      <c r="AS41" s="193">
        <v>0</v>
      </c>
      <c r="AT41" s="238">
        <f t="shared" si="23"/>
        <v>0</v>
      </c>
      <c r="AU41" s="193">
        <v>0</v>
      </c>
      <c r="AV41" s="238">
        <f t="shared" si="24"/>
        <v>0</v>
      </c>
      <c r="AW41" s="193">
        <v>0</v>
      </c>
      <c r="AX41" s="238">
        <f t="shared" si="25"/>
        <v>0</v>
      </c>
      <c r="AY41" s="193">
        <v>0</v>
      </c>
      <c r="AZ41" s="238">
        <f t="shared" si="26"/>
        <v>0</v>
      </c>
      <c r="BA41" s="193">
        <v>0</v>
      </c>
      <c r="BB41" s="238">
        <f t="shared" si="27"/>
        <v>0</v>
      </c>
      <c r="BC41" s="193">
        <v>0</v>
      </c>
      <c r="BD41" s="238">
        <f t="shared" si="28"/>
        <v>0</v>
      </c>
      <c r="BE41" s="193">
        <v>0</v>
      </c>
      <c r="BF41" s="238">
        <f t="shared" si="29"/>
        <v>0</v>
      </c>
      <c r="BG41" s="193">
        <v>2755.21</v>
      </c>
      <c r="BH41" s="238">
        <f t="shared" si="30"/>
        <v>92299.535000000003</v>
      </c>
      <c r="BI41" s="193">
        <v>0</v>
      </c>
      <c r="BJ41" s="238">
        <f t="shared" si="31"/>
        <v>0</v>
      </c>
      <c r="BK41" s="193">
        <v>0</v>
      </c>
      <c r="BL41" s="238">
        <f t="shared" si="32"/>
        <v>0</v>
      </c>
      <c r="BM41" s="193">
        <v>0</v>
      </c>
      <c r="BN41" s="238">
        <f t="shared" si="33"/>
        <v>0</v>
      </c>
      <c r="BO41" s="193">
        <v>1062.9100000000001</v>
      </c>
      <c r="BP41" s="238">
        <f t="shared" si="34"/>
        <v>35607.485000000001</v>
      </c>
      <c r="BQ41" s="193">
        <v>0</v>
      </c>
      <c r="BR41" s="238">
        <f t="shared" si="35"/>
        <v>0</v>
      </c>
      <c r="BS41" s="225"/>
      <c r="BT41" s="239">
        <f t="shared" si="36"/>
        <v>21268.230634630971</v>
      </c>
      <c r="BU41" s="238">
        <f t="shared" si="38"/>
        <v>712485.72626013751</v>
      </c>
    </row>
    <row r="42" spans="1:73" ht="14.25">
      <c r="A42" s="241">
        <v>1987</v>
      </c>
      <c r="B42" s="528">
        <f t="shared" si="37"/>
        <v>32.5</v>
      </c>
      <c r="C42" s="193">
        <v>0</v>
      </c>
      <c r="D42" s="238">
        <f t="shared" si="2"/>
        <v>0</v>
      </c>
      <c r="E42" s="193">
        <v>0</v>
      </c>
      <c r="F42" s="238">
        <f t="shared" si="3"/>
        <v>0</v>
      </c>
      <c r="G42" s="193">
        <v>8299.7800000000007</v>
      </c>
      <c r="H42" s="238">
        <f t="shared" si="4"/>
        <v>269742.85000000003</v>
      </c>
      <c r="I42" s="193">
        <v>13.022711809837496</v>
      </c>
      <c r="J42" s="238">
        <f t="shared" si="5"/>
        <v>423.2381338197186</v>
      </c>
      <c r="K42" s="193">
        <v>0</v>
      </c>
      <c r="L42" s="238">
        <f t="shared" si="6"/>
        <v>0</v>
      </c>
      <c r="M42" s="193">
        <v>0</v>
      </c>
      <c r="N42" s="238">
        <f t="shared" si="7"/>
        <v>0</v>
      </c>
      <c r="O42" s="193">
        <v>0</v>
      </c>
      <c r="P42" s="238">
        <f t="shared" si="8"/>
        <v>0</v>
      </c>
      <c r="Q42" s="193">
        <v>0</v>
      </c>
      <c r="R42" s="238">
        <f t="shared" si="9"/>
        <v>0</v>
      </c>
      <c r="S42" s="193">
        <v>0</v>
      </c>
      <c r="T42" s="238">
        <f t="shared" si="10"/>
        <v>0</v>
      </c>
      <c r="U42" s="193">
        <v>0</v>
      </c>
      <c r="V42" s="238">
        <f t="shared" si="11"/>
        <v>0</v>
      </c>
      <c r="W42" s="193">
        <v>2225.4499999999998</v>
      </c>
      <c r="X42" s="238">
        <f t="shared" si="12"/>
        <v>72327.125</v>
      </c>
      <c r="Y42" s="193">
        <v>0</v>
      </c>
      <c r="Z42" s="238">
        <f t="shared" si="13"/>
        <v>0</v>
      </c>
      <c r="AA42" s="193">
        <v>0</v>
      </c>
      <c r="AB42" s="238">
        <f t="shared" si="14"/>
        <v>0</v>
      </c>
      <c r="AC42" s="193">
        <v>0</v>
      </c>
      <c r="AD42" s="238">
        <f t="shared" si="15"/>
        <v>0</v>
      </c>
      <c r="AE42" s="193">
        <v>101.56999999999999</v>
      </c>
      <c r="AF42" s="238">
        <f t="shared" si="16"/>
        <v>3301.0249999999996</v>
      </c>
      <c r="AG42" s="193">
        <v>0</v>
      </c>
      <c r="AH42" s="238">
        <f t="shared" si="17"/>
        <v>0</v>
      </c>
      <c r="AI42" s="193">
        <v>0</v>
      </c>
      <c r="AJ42" s="238">
        <f t="shared" si="18"/>
        <v>0</v>
      </c>
      <c r="AK42" s="193">
        <v>0</v>
      </c>
      <c r="AL42" s="238">
        <f t="shared" si="19"/>
        <v>0</v>
      </c>
      <c r="AM42" s="193">
        <v>0</v>
      </c>
      <c r="AN42" s="238">
        <f t="shared" si="20"/>
        <v>0</v>
      </c>
      <c r="AO42" s="193">
        <v>0</v>
      </c>
      <c r="AP42" s="238">
        <f t="shared" si="21"/>
        <v>0</v>
      </c>
      <c r="AQ42" s="193">
        <v>0</v>
      </c>
      <c r="AR42" s="238">
        <f t="shared" si="22"/>
        <v>0</v>
      </c>
      <c r="AS42" s="193">
        <v>0</v>
      </c>
      <c r="AT42" s="238">
        <f t="shared" si="23"/>
        <v>0</v>
      </c>
      <c r="AU42" s="193">
        <v>0</v>
      </c>
      <c r="AV42" s="238">
        <f t="shared" si="24"/>
        <v>0</v>
      </c>
      <c r="AW42" s="193">
        <v>0</v>
      </c>
      <c r="AX42" s="238">
        <f t="shared" si="25"/>
        <v>0</v>
      </c>
      <c r="AY42" s="193">
        <v>0</v>
      </c>
      <c r="AZ42" s="238">
        <f t="shared" si="26"/>
        <v>0</v>
      </c>
      <c r="BA42" s="193">
        <v>0</v>
      </c>
      <c r="BB42" s="238">
        <f t="shared" si="27"/>
        <v>0</v>
      </c>
      <c r="BC42" s="193">
        <v>0</v>
      </c>
      <c r="BD42" s="238">
        <f t="shared" si="28"/>
        <v>0</v>
      </c>
      <c r="BE42" s="193">
        <v>0</v>
      </c>
      <c r="BF42" s="238">
        <f t="shared" si="29"/>
        <v>0</v>
      </c>
      <c r="BG42" s="193">
        <v>6349.4099999999999</v>
      </c>
      <c r="BH42" s="238">
        <f t="shared" si="30"/>
        <v>206355.82499999998</v>
      </c>
      <c r="BI42" s="193">
        <v>0</v>
      </c>
      <c r="BJ42" s="238">
        <f t="shared" si="31"/>
        <v>0</v>
      </c>
      <c r="BK42" s="193">
        <v>0</v>
      </c>
      <c r="BL42" s="238">
        <f t="shared" si="32"/>
        <v>0</v>
      </c>
      <c r="BM42" s="193">
        <v>0</v>
      </c>
      <c r="BN42" s="238">
        <f t="shared" si="33"/>
        <v>0</v>
      </c>
      <c r="BO42" s="193">
        <v>0</v>
      </c>
      <c r="BP42" s="238">
        <f t="shared" si="34"/>
        <v>0</v>
      </c>
      <c r="BQ42" s="193">
        <v>0</v>
      </c>
      <c r="BR42" s="238">
        <f t="shared" si="35"/>
        <v>0</v>
      </c>
      <c r="BS42" s="225"/>
      <c r="BT42" s="239">
        <f t="shared" si="36"/>
        <v>16989.232711809836</v>
      </c>
      <c r="BU42" s="238">
        <f t="shared" si="38"/>
        <v>552150.06313381973</v>
      </c>
    </row>
    <row r="43" spans="1:73" ht="14.25">
      <c r="A43" s="241">
        <v>1988</v>
      </c>
      <c r="B43" s="528">
        <f t="shared" si="37"/>
        <v>31.5</v>
      </c>
      <c r="C43" s="193">
        <v>0</v>
      </c>
      <c r="D43" s="238">
        <f t="shared" si="2"/>
        <v>0</v>
      </c>
      <c r="E43" s="193">
        <v>0</v>
      </c>
      <c r="F43" s="238">
        <f t="shared" si="3"/>
        <v>0</v>
      </c>
      <c r="G43" s="193">
        <v>2629.6799999999998</v>
      </c>
      <c r="H43" s="238">
        <f t="shared" si="4"/>
        <v>82834.919999999998</v>
      </c>
      <c r="I43" s="193">
        <v>21096.863407932455</v>
      </c>
      <c r="J43" s="238">
        <f t="shared" si="5"/>
        <v>664551.19734987232</v>
      </c>
      <c r="K43" s="193">
        <v>0</v>
      </c>
      <c r="L43" s="238">
        <f t="shared" si="6"/>
        <v>0</v>
      </c>
      <c r="M43" s="193">
        <v>0</v>
      </c>
      <c r="N43" s="238">
        <f t="shared" si="7"/>
        <v>0</v>
      </c>
      <c r="O43" s="193">
        <v>0</v>
      </c>
      <c r="P43" s="238">
        <f t="shared" si="8"/>
        <v>0</v>
      </c>
      <c r="Q43" s="193">
        <v>1757.5799999999999</v>
      </c>
      <c r="R43" s="238">
        <f t="shared" si="9"/>
        <v>55363.769999999997</v>
      </c>
      <c r="S43" s="193">
        <v>0</v>
      </c>
      <c r="T43" s="238">
        <f t="shared" si="10"/>
        <v>0</v>
      </c>
      <c r="U43" s="193">
        <v>0</v>
      </c>
      <c r="V43" s="238">
        <f t="shared" si="11"/>
        <v>0</v>
      </c>
      <c r="W43" s="193">
        <v>5297.3100000000004</v>
      </c>
      <c r="X43" s="238">
        <f t="shared" si="12"/>
        <v>166865.26500000001</v>
      </c>
      <c r="Y43" s="193">
        <v>0</v>
      </c>
      <c r="Z43" s="238">
        <f t="shared" si="13"/>
        <v>0</v>
      </c>
      <c r="AA43" s="193">
        <v>0</v>
      </c>
      <c r="AB43" s="238">
        <f t="shared" si="14"/>
        <v>0</v>
      </c>
      <c r="AC43" s="193">
        <v>0</v>
      </c>
      <c r="AD43" s="238">
        <f t="shared" si="15"/>
        <v>0</v>
      </c>
      <c r="AE43" s="193">
        <v>0</v>
      </c>
      <c r="AF43" s="238">
        <f t="shared" si="16"/>
        <v>0</v>
      </c>
      <c r="AG43" s="193">
        <v>0</v>
      </c>
      <c r="AH43" s="238">
        <f t="shared" si="17"/>
        <v>0</v>
      </c>
      <c r="AI43" s="193">
        <v>0</v>
      </c>
      <c r="AJ43" s="238">
        <f t="shared" si="18"/>
        <v>0</v>
      </c>
      <c r="AK43" s="193">
        <v>0</v>
      </c>
      <c r="AL43" s="238">
        <f t="shared" si="19"/>
        <v>0</v>
      </c>
      <c r="AM43" s="193">
        <v>0</v>
      </c>
      <c r="AN43" s="238">
        <f t="shared" si="20"/>
        <v>0</v>
      </c>
      <c r="AO43" s="193">
        <v>0</v>
      </c>
      <c r="AP43" s="238">
        <f t="shared" si="21"/>
        <v>0</v>
      </c>
      <c r="AQ43" s="193">
        <v>0</v>
      </c>
      <c r="AR43" s="238">
        <f t="shared" si="22"/>
        <v>0</v>
      </c>
      <c r="AS43" s="193">
        <v>0</v>
      </c>
      <c r="AT43" s="238">
        <f t="shared" si="23"/>
        <v>0</v>
      </c>
      <c r="AU43" s="193">
        <v>0</v>
      </c>
      <c r="AV43" s="238">
        <f t="shared" si="24"/>
        <v>0</v>
      </c>
      <c r="AW43" s="193">
        <v>0</v>
      </c>
      <c r="AX43" s="238">
        <f t="shared" si="25"/>
        <v>0</v>
      </c>
      <c r="AY43" s="193">
        <v>0</v>
      </c>
      <c r="AZ43" s="238">
        <f t="shared" si="26"/>
        <v>0</v>
      </c>
      <c r="BA43" s="193">
        <v>0</v>
      </c>
      <c r="BB43" s="238">
        <f t="shared" si="27"/>
        <v>0</v>
      </c>
      <c r="BC43" s="193">
        <v>0</v>
      </c>
      <c r="BD43" s="238">
        <f t="shared" si="28"/>
        <v>0</v>
      </c>
      <c r="BE43" s="193">
        <v>0</v>
      </c>
      <c r="BF43" s="238">
        <f t="shared" si="29"/>
        <v>0</v>
      </c>
      <c r="BG43" s="193">
        <v>1339.1500000000001</v>
      </c>
      <c r="BH43" s="238">
        <f t="shared" si="30"/>
        <v>42183.225000000006</v>
      </c>
      <c r="BI43" s="193">
        <v>0</v>
      </c>
      <c r="BJ43" s="238">
        <f t="shared" si="31"/>
        <v>0</v>
      </c>
      <c r="BK43" s="193">
        <v>0</v>
      </c>
      <c r="BL43" s="238">
        <f t="shared" si="32"/>
        <v>0</v>
      </c>
      <c r="BM43" s="193">
        <v>0</v>
      </c>
      <c r="BN43" s="238">
        <f t="shared" si="33"/>
        <v>0</v>
      </c>
      <c r="BO43" s="193">
        <v>0</v>
      </c>
      <c r="BP43" s="238">
        <f t="shared" si="34"/>
        <v>0</v>
      </c>
      <c r="BQ43" s="193">
        <v>0</v>
      </c>
      <c r="BR43" s="238">
        <f t="shared" si="35"/>
        <v>0</v>
      </c>
      <c r="BS43" s="225"/>
      <c r="BT43" s="239">
        <f t="shared" si="36"/>
        <v>32120.58340793246</v>
      </c>
      <c r="BU43" s="238">
        <f t="shared" si="38"/>
        <v>1011798.3773498725</v>
      </c>
    </row>
    <row r="44" spans="1:73" ht="14.25">
      <c r="A44" s="241">
        <v>1989</v>
      </c>
      <c r="B44" s="528">
        <f t="shared" si="37"/>
        <v>30.5</v>
      </c>
      <c r="C44" s="193">
        <v>0</v>
      </c>
      <c r="D44" s="238">
        <f t="shared" si="2"/>
        <v>0</v>
      </c>
      <c r="E44" s="193">
        <v>0</v>
      </c>
      <c r="F44" s="238">
        <f t="shared" si="3"/>
        <v>0</v>
      </c>
      <c r="G44" s="193">
        <v>76528.119999999995</v>
      </c>
      <c r="H44" s="238">
        <f t="shared" si="4"/>
        <v>2334107.6599999997</v>
      </c>
      <c r="I44" s="193">
        <v>2080.5979665594664</v>
      </c>
      <c r="J44" s="238">
        <f t="shared" si="5"/>
        <v>63458.237980063728</v>
      </c>
      <c r="K44" s="193">
        <v>0</v>
      </c>
      <c r="L44" s="238">
        <f t="shared" si="6"/>
        <v>0</v>
      </c>
      <c r="M44" s="193">
        <v>0</v>
      </c>
      <c r="N44" s="238">
        <f t="shared" si="7"/>
        <v>0</v>
      </c>
      <c r="O44" s="193">
        <v>0</v>
      </c>
      <c r="P44" s="238">
        <f t="shared" si="8"/>
        <v>0</v>
      </c>
      <c r="Q44" s="193">
        <v>10294.549999999999</v>
      </c>
      <c r="R44" s="238">
        <f t="shared" si="9"/>
        <v>313983.77499999997</v>
      </c>
      <c r="S44" s="193">
        <v>0</v>
      </c>
      <c r="T44" s="238">
        <f t="shared" si="10"/>
        <v>0</v>
      </c>
      <c r="U44" s="193">
        <v>0</v>
      </c>
      <c r="V44" s="238">
        <f t="shared" si="11"/>
        <v>0</v>
      </c>
      <c r="W44" s="193">
        <v>1823.8</v>
      </c>
      <c r="X44" s="238">
        <f t="shared" si="12"/>
        <v>55625.900000000001</v>
      </c>
      <c r="Y44" s="193">
        <v>0</v>
      </c>
      <c r="Z44" s="238">
        <f t="shared" si="13"/>
        <v>0</v>
      </c>
      <c r="AA44" s="193">
        <v>0</v>
      </c>
      <c r="AB44" s="238">
        <f t="shared" si="14"/>
        <v>0</v>
      </c>
      <c r="AC44" s="193">
        <v>0</v>
      </c>
      <c r="AD44" s="238">
        <f t="shared" si="15"/>
        <v>0</v>
      </c>
      <c r="AE44" s="193">
        <v>599.55999999999995</v>
      </c>
      <c r="AF44" s="238">
        <f t="shared" si="16"/>
        <v>18286.579999999998</v>
      </c>
      <c r="AG44" s="193">
        <v>0</v>
      </c>
      <c r="AH44" s="238">
        <f t="shared" si="17"/>
        <v>0</v>
      </c>
      <c r="AI44" s="193">
        <v>0</v>
      </c>
      <c r="AJ44" s="238">
        <f t="shared" si="18"/>
        <v>0</v>
      </c>
      <c r="AK44" s="193">
        <v>0</v>
      </c>
      <c r="AL44" s="238">
        <f t="shared" si="19"/>
        <v>0</v>
      </c>
      <c r="AM44" s="193">
        <v>0</v>
      </c>
      <c r="AN44" s="238">
        <f t="shared" si="20"/>
        <v>0</v>
      </c>
      <c r="AO44" s="193">
        <v>0</v>
      </c>
      <c r="AP44" s="238">
        <f t="shared" si="21"/>
        <v>0</v>
      </c>
      <c r="AQ44" s="193">
        <v>0</v>
      </c>
      <c r="AR44" s="238">
        <f t="shared" si="22"/>
        <v>0</v>
      </c>
      <c r="AS44" s="193">
        <v>0</v>
      </c>
      <c r="AT44" s="238">
        <f t="shared" si="23"/>
        <v>0</v>
      </c>
      <c r="AU44" s="193">
        <v>0</v>
      </c>
      <c r="AV44" s="238">
        <f t="shared" si="24"/>
        <v>0</v>
      </c>
      <c r="AW44" s="193">
        <v>0</v>
      </c>
      <c r="AX44" s="238">
        <f t="shared" si="25"/>
        <v>0</v>
      </c>
      <c r="AY44" s="193">
        <v>0</v>
      </c>
      <c r="AZ44" s="238">
        <f t="shared" si="26"/>
        <v>0</v>
      </c>
      <c r="BA44" s="193">
        <v>0</v>
      </c>
      <c r="BB44" s="238">
        <f t="shared" si="27"/>
        <v>0</v>
      </c>
      <c r="BC44" s="193">
        <v>0</v>
      </c>
      <c r="BD44" s="238">
        <f t="shared" si="28"/>
        <v>0</v>
      </c>
      <c r="BE44" s="193">
        <v>0</v>
      </c>
      <c r="BF44" s="238">
        <f t="shared" si="29"/>
        <v>0</v>
      </c>
      <c r="BG44" s="193">
        <v>10895.07</v>
      </c>
      <c r="BH44" s="238">
        <f t="shared" si="30"/>
        <v>332299.63500000001</v>
      </c>
      <c r="BI44" s="193">
        <v>0</v>
      </c>
      <c r="BJ44" s="238">
        <f t="shared" si="31"/>
        <v>0</v>
      </c>
      <c r="BK44" s="193">
        <v>0</v>
      </c>
      <c r="BL44" s="238">
        <f t="shared" si="32"/>
        <v>0</v>
      </c>
      <c r="BM44" s="193">
        <v>0</v>
      </c>
      <c r="BN44" s="238">
        <f t="shared" si="33"/>
        <v>0</v>
      </c>
      <c r="BO44" s="193">
        <v>0</v>
      </c>
      <c r="BP44" s="238">
        <f t="shared" si="34"/>
        <v>0</v>
      </c>
      <c r="BQ44" s="193">
        <v>0</v>
      </c>
      <c r="BR44" s="238">
        <f t="shared" si="35"/>
        <v>0</v>
      </c>
      <c r="BS44" s="225"/>
      <c r="BT44" s="239">
        <f t="shared" si="36"/>
        <v>102221.69796655947</v>
      </c>
      <c r="BU44" s="238">
        <f t="shared" si="38"/>
        <v>3117761.7879800638</v>
      </c>
    </row>
    <row r="45" spans="1:73" ht="14.25">
      <c r="A45" s="241">
        <v>1990</v>
      </c>
      <c r="B45" s="528">
        <f t="shared" si="37"/>
        <v>29.5</v>
      </c>
      <c r="C45" s="193">
        <v>0</v>
      </c>
      <c r="D45" s="238">
        <f t="shared" si="2"/>
        <v>0</v>
      </c>
      <c r="E45" s="193">
        <v>0</v>
      </c>
      <c r="F45" s="238">
        <f t="shared" si="3"/>
        <v>0</v>
      </c>
      <c r="G45" s="193">
        <v>3172.3699999999999</v>
      </c>
      <c r="H45" s="238">
        <f t="shared" si="4"/>
        <v>93584.914999999994</v>
      </c>
      <c r="I45" s="193">
        <v>1067.3286507095502</v>
      </c>
      <c r="J45" s="238">
        <f t="shared" si="5"/>
        <v>31486.19519593173</v>
      </c>
      <c r="K45" s="193">
        <v>0</v>
      </c>
      <c r="L45" s="238">
        <f t="shared" si="6"/>
        <v>0</v>
      </c>
      <c r="M45" s="193">
        <v>0</v>
      </c>
      <c r="N45" s="238">
        <f t="shared" si="7"/>
        <v>0</v>
      </c>
      <c r="O45" s="193">
        <v>0</v>
      </c>
      <c r="P45" s="238">
        <f t="shared" si="8"/>
        <v>0</v>
      </c>
      <c r="Q45" s="193">
        <v>47520.470000000001</v>
      </c>
      <c r="R45" s="238">
        <f t="shared" si="9"/>
        <v>1401853.865</v>
      </c>
      <c r="S45" s="193">
        <v>0</v>
      </c>
      <c r="T45" s="238">
        <f t="shared" si="10"/>
        <v>0</v>
      </c>
      <c r="U45" s="193">
        <v>0</v>
      </c>
      <c r="V45" s="238">
        <f t="shared" si="11"/>
        <v>0</v>
      </c>
      <c r="W45" s="193">
        <v>150.05999999999767</v>
      </c>
      <c r="X45" s="238">
        <f t="shared" si="12"/>
        <v>4426.7699999999313</v>
      </c>
      <c r="Y45" s="193">
        <v>0</v>
      </c>
      <c r="Z45" s="238">
        <f t="shared" si="13"/>
        <v>0</v>
      </c>
      <c r="AA45" s="193">
        <v>0</v>
      </c>
      <c r="AB45" s="238">
        <f t="shared" si="14"/>
        <v>0</v>
      </c>
      <c r="AC45" s="193">
        <v>0</v>
      </c>
      <c r="AD45" s="238">
        <f t="shared" si="15"/>
        <v>0</v>
      </c>
      <c r="AE45" s="193">
        <v>0</v>
      </c>
      <c r="AF45" s="238">
        <f t="shared" si="16"/>
        <v>0</v>
      </c>
      <c r="AG45" s="193">
        <v>0</v>
      </c>
      <c r="AH45" s="238">
        <f t="shared" si="17"/>
        <v>0</v>
      </c>
      <c r="AI45" s="193">
        <v>0</v>
      </c>
      <c r="AJ45" s="238">
        <f t="shared" si="18"/>
        <v>0</v>
      </c>
      <c r="AK45" s="193">
        <v>0</v>
      </c>
      <c r="AL45" s="238">
        <f t="shared" si="19"/>
        <v>0</v>
      </c>
      <c r="AM45" s="193">
        <v>0</v>
      </c>
      <c r="AN45" s="238">
        <f t="shared" si="20"/>
        <v>0</v>
      </c>
      <c r="AO45" s="193">
        <v>0</v>
      </c>
      <c r="AP45" s="238">
        <f t="shared" si="21"/>
        <v>0</v>
      </c>
      <c r="AQ45" s="193">
        <v>0</v>
      </c>
      <c r="AR45" s="238">
        <f t="shared" si="22"/>
        <v>0</v>
      </c>
      <c r="AS45" s="193">
        <v>0</v>
      </c>
      <c r="AT45" s="238">
        <f t="shared" si="23"/>
        <v>0</v>
      </c>
      <c r="AU45" s="193">
        <v>0</v>
      </c>
      <c r="AV45" s="238">
        <f t="shared" si="24"/>
        <v>0</v>
      </c>
      <c r="AW45" s="193">
        <v>0</v>
      </c>
      <c r="AX45" s="238">
        <f t="shared" si="25"/>
        <v>0</v>
      </c>
      <c r="AY45" s="193">
        <v>0</v>
      </c>
      <c r="AZ45" s="238">
        <f t="shared" si="26"/>
        <v>0</v>
      </c>
      <c r="BA45" s="193">
        <v>0</v>
      </c>
      <c r="BB45" s="238">
        <f t="shared" si="27"/>
        <v>0</v>
      </c>
      <c r="BC45" s="193">
        <v>0</v>
      </c>
      <c r="BD45" s="238">
        <f t="shared" si="28"/>
        <v>0</v>
      </c>
      <c r="BE45" s="193">
        <v>0</v>
      </c>
      <c r="BF45" s="238">
        <f t="shared" si="29"/>
        <v>0</v>
      </c>
      <c r="BG45" s="193">
        <v>2849.5999999999999</v>
      </c>
      <c r="BH45" s="238">
        <f t="shared" si="30"/>
        <v>84063.199999999997</v>
      </c>
      <c r="BI45" s="193">
        <v>0</v>
      </c>
      <c r="BJ45" s="238">
        <f t="shared" si="31"/>
        <v>0</v>
      </c>
      <c r="BK45" s="193">
        <v>0</v>
      </c>
      <c r="BL45" s="238">
        <f t="shared" si="32"/>
        <v>0</v>
      </c>
      <c r="BM45" s="193">
        <v>1202.48</v>
      </c>
      <c r="BN45" s="238">
        <f t="shared" si="33"/>
        <v>35473.160000000003</v>
      </c>
      <c r="BO45" s="193">
        <v>518.87</v>
      </c>
      <c r="BP45" s="238">
        <f t="shared" si="34"/>
        <v>15306.665000000001</v>
      </c>
      <c r="BQ45" s="193">
        <v>0</v>
      </c>
      <c r="BR45" s="238">
        <f t="shared" si="35"/>
        <v>0</v>
      </c>
      <c r="BS45" s="225"/>
      <c r="BT45" s="239">
        <f t="shared" si="36"/>
        <v>56481.178650709553</v>
      </c>
      <c r="BU45" s="238">
        <f t="shared" si="38"/>
        <v>1666194.7701959319</v>
      </c>
    </row>
    <row r="46" spans="1:73" ht="14.25">
      <c r="A46" s="241">
        <v>1991</v>
      </c>
      <c r="B46" s="528">
        <f t="shared" si="37"/>
        <v>28.5</v>
      </c>
      <c r="C46" s="193">
        <v>0</v>
      </c>
      <c r="D46" s="238">
        <f t="shared" si="2"/>
        <v>0</v>
      </c>
      <c r="E46" s="193">
        <v>0</v>
      </c>
      <c r="F46" s="238">
        <f t="shared" si="3"/>
        <v>0</v>
      </c>
      <c r="G46" s="193">
        <v>6815.6099999999997</v>
      </c>
      <c r="H46" s="238">
        <f t="shared" si="4"/>
        <v>194244.88499999998</v>
      </c>
      <c r="I46" s="193">
        <v>1188.2781977638886</v>
      </c>
      <c r="J46" s="238">
        <f t="shared" si="5"/>
        <v>33865.928636270823</v>
      </c>
      <c r="K46" s="193">
        <v>0</v>
      </c>
      <c r="L46" s="238">
        <f t="shared" si="6"/>
        <v>0</v>
      </c>
      <c r="M46" s="193">
        <v>0</v>
      </c>
      <c r="N46" s="238">
        <f t="shared" si="7"/>
        <v>0</v>
      </c>
      <c r="O46" s="193">
        <v>0</v>
      </c>
      <c r="P46" s="238">
        <f t="shared" si="8"/>
        <v>0</v>
      </c>
      <c r="Q46" s="193">
        <v>5341.1400000000003</v>
      </c>
      <c r="R46" s="238">
        <f t="shared" si="9"/>
        <v>152222.49000000002</v>
      </c>
      <c r="S46" s="193">
        <v>0</v>
      </c>
      <c r="T46" s="238">
        <f t="shared" si="10"/>
        <v>0</v>
      </c>
      <c r="U46" s="193">
        <v>0</v>
      </c>
      <c r="V46" s="238">
        <f t="shared" si="11"/>
        <v>0</v>
      </c>
      <c r="W46" s="193">
        <v>2670.0200000000041</v>
      </c>
      <c r="X46" s="238">
        <f t="shared" si="12"/>
        <v>76095.570000000123</v>
      </c>
      <c r="Y46" s="193">
        <v>0</v>
      </c>
      <c r="Z46" s="238">
        <f t="shared" si="13"/>
        <v>0</v>
      </c>
      <c r="AA46" s="193">
        <v>0</v>
      </c>
      <c r="AB46" s="238">
        <f t="shared" si="14"/>
        <v>0</v>
      </c>
      <c r="AC46" s="193">
        <v>0</v>
      </c>
      <c r="AD46" s="238">
        <f t="shared" si="15"/>
        <v>0</v>
      </c>
      <c r="AE46" s="193">
        <v>0</v>
      </c>
      <c r="AF46" s="238">
        <f t="shared" si="16"/>
        <v>0</v>
      </c>
      <c r="AG46" s="193">
        <v>0</v>
      </c>
      <c r="AH46" s="238">
        <f t="shared" si="17"/>
        <v>0</v>
      </c>
      <c r="AI46" s="193">
        <v>0</v>
      </c>
      <c r="AJ46" s="238">
        <f t="shared" si="18"/>
        <v>0</v>
      </c>
      <c r="AK46" s="193">
        <v>0</v>
      </c>
      <c r="AL46" s="238">
        <f t="shared" si="19"/>
        <v>0</v>
      </c>
      <c r="AM46" s="193">
        <v>0</v>
      </c>
      <c r="AN46" s="238">
        <f t="shared" si="20"/>
        <v>0</v>
      </c>
      <c r="AO46" s="193">
        <v>0</v>
      </c>
      <c r="AP46" s="238">
        <f t="shared" si="21"/>
        <v>0</v>
      </c>
      <c r="AQ46" s="193">
        <v>0</v>
      </c>
      <c r="AR46" s="238">
        <f t="shared" si="22"/>
        <v>0</v>
      </c>
      <c r="AS46" s="193">
        <v>0</v>
      </c>
      <c r="AT46" s="238">
        <f t="shared" si="23"/>
        <v>0</v>
      </c>
      <c r="AU46" s="193">
        <v>0</v>
      </c>
      <c r="AV46" s="238">
        <f t="shared" si="24"/>
        <v>0</v>
      </c>
      <c r="AW46" s="193">
        <v>0</v>
      </c>
      <c r="AX46" s="238">
        <f t="shared" si="25"/>
        <v>0</v>
      </c>
      <c r="AY46" s="193">
        <v>0</v>
      </c>
      <c r="AZ46" s="238">
        <f t="shared" si="26"/>
        <v>0</v>
      </c>
      <c r="BA46" s="193">
        <v>0</v>
      </c>
      <c r="BB46" s="238">
        <f t="shared" si="27"/>
        <v>0</v>
      </c>
      <c r="BC46" s="193">
        <v>0</v>
      </c>
      <c r="BD46" s="238">
        <f t="shared" si="28"/>
        <v>0</v>
      </c>
      <c r="BE46" s="193">
        <v>0</v>
      </c>
      <c r="BF46" s="238">
        <f t="shared" si="29"/>
        <v>0</v>
      </c>
      <c r="BG46" s="193">
        <v>11398.09</v>
      </c>
      <c r="BH46" s="238">
        <f t="shared" si="30"/>
        <v>324845.565</v>
      </c>
      <c r="BI46" s="193">
        <v>0</v>
      </c>
      <c r="BJ46" s="238">
        <f t="shared" si="31"/>
        <v>0</v>
      </c>
      <c r="BK46" s="193">
        <v>0</v>
      </c>
      <c r="BL46" s="238">
        <f t="shared" si="32"/>
        <v>0</v>
      </c>
      <c r="BM46" s="193">
        <v>699.60000000000002</v>
      </c>
      <c r="BN46" s="238">
        <f t="shared" si="33"/>
        <v>19938.600000000002</v>
      </c>
      <c r="BO46" s="193">
        <v>0</v>
      </c>
      <c r="BP46" s="238">
        <f t="shared" si="34"/>
        <v>0</v>
      </c>
      <c r="BQ46" s="193">
        <v>0</v>
      </c>
      <c r="BR46" s="238">
        <f t="shared" si="35"/>
        <v>0</v>
      </c>
      <c r="BS46" s="225"/>
      <c r="BT46" s="239">
        <f t="shared" si="36"/>
        <v>28112.738197763891</v>
      </c>
      <c r="BU46" s="238">
        <f t="shared" si="38"/>
        <v>801213.03863627091</v>
      </c>
    </row>
    <row r="47" spans="1:73" ht="14.25">
      <c r="A47" s="241">
        <v>1992</v>
      </c>
      <c r="B47" s="528">
        <f t="shared" si="37"/>
        <v>27.5</v>
      </c>
      <c r="C47" s="193">
        <v>0</v>
      </c>
      <c r="D47" s="238">
        <f t="shared" si="2"/>
        <v>0</v>
      </c>
      <c r="E47" s="193">
        <v>0</v>
      </c>
      <c r="F47" s="238">
        <f t="shared" si="3"/>
        <v>0</v>
      </c>
      <c r="G47" s="193">
        <v>0</v>
      </c>
      <c r="H47" s="238">
        <f t="shared" si="4"/>
        <v>0</v>
      </c>
      <c r="I47" s="193">
        <v>3076.0878353658136</v>
      </c>
      <c r="J47" s="238">
        <f t="shared" si="5"/>
        <v>84592.415472559878</v>
      </c>
      <c r="K47" s="193">
        <v>0</v>
      </c>
      <c r="L47" s="238">
        <f t="shared" si="6"/>
        <v>0</v>
      </c>
      <c r="M47" s="193">
        <v>0</v>
      </c>
      <c r="N47" s="238">
        <f t="shared" si="7"/>
        <v>0</v>
      </c>
      <c r="O47" s="193">
        <v>0</v>
      </c>
      <c r="P47" s="238">
        <f t="shared" si="8"/>
        <v>0</v>
      </c>
      <c r="Q47" s="193">
        <v>3124.9200000000001</v>
      </c>
      <c r="R47" s="238">
        <f t="shared" si="9"/>
        <v>85935.300000000003</v>
      </c>
      <c r="S47" s="193">
        <v>17923.549999999999</v>
      </c>
      <c r="T47" s="238">
        <f t="shared" si="10"/>
        <v>492897.625</v>
      </c>
      <c r="U47" s="193">
        <v>0</v>
      </c>
      <c r="V47" s="238">
        <f t="shared" si="11"/>
        <v>0</v>
      </c>
      <c r="W47" s="193">
        <v>3305.9499999999998</v>
      </c>
      <c r="X47" s="238">
        <f t="shared" si="12"/>
        <v>90913.625</v>
      </c>
      <c r="Y47" s="193">
        <v>0</v>
      </c>
      <c r="Z47" s="238">
        <f t="shared" si="13"/>
        <v>0</v>
      </c>
      <c r="AA47" s="193">
        <v>0</v>
      </c>
      <c r="AB47" s="238">
        <f t="shared" si="14"/>
        <v>0</v>
      </c>
      <c r="AC47" s="193">
        <v>0</v>
      </c>
      <c r="AD47" s="238">
        <f t="shared" si="15"/>
        <v>0</v>
      </c>
      <c r="AE47" s="193">
        <v>0</v>
      </c>
      <c r="AF47" s="238">
        <f t="shared" si="16"/>
        <v>0</v>
      </c>
      <c r="AG47" s="193">
        <v>0</v>
      </c>
      <c r="AH47" s="238">
        <f t="shared" si="17"/>
        <v>0</v>
      </c>
      <c r="AI47" s="193">
        <v>0</v>
      </c>
      <c r="AJ47" s="238">
        <f t="shared" si="18"/>
        <v>0</v>
      </c>
      <c r="AK47" s="193">
        <v>0</v>
      </c>
      <c r="AL47" s="238">
        <f t="shared" si="19"/>
        <v>0</v>
      </c>
      <c r="AM47" s="193">
        <v>0</v>
      </c>
      <c r="AN47" s="238">
        <f t="shared" si="20"/>
        <v>0</v>
      </c>
      <c r="AO47" s="193">
        <v>0</v>
      </c>
      <c r="AP47" s="238">
        <f t="shared" si="21"/>
        <v>0</v>
      </c>
      <c r="AQ47" s="193">
        <v>0</v>
      </c>
      <c r="AR47" s="238">
        <f t="shared" si="22"/>
        <v>0</v>
      </c>
      <c r="AS47" s="193">
        <v>0</v>
      </c>
      <c r="AT47" s="238">
        <f t="shared" si="23"/>
        <v>0</v>
      </c>
      <c r="AU47" s="193">
        <v>0</v>
      </c>
      <c r="AV47" s="238">
        <f t="shared" si="24"/>
        <v>0</v>
      </c>
      <c r="AW47" s="193">
        <v>0</v>
      </c>
      <c r="AX47" s="238">
        <f t="shared" si="25"/>
        <v>0</v>
      </c>
      <c r="AY47" s="193">
        <v>0</v>
      </c>
      <c r="AZ47" s="238">
        <f t="shared" si="26"/>
        <v>0</v>
      </c>
      <c r="BA47" s="193">
        <v>0</v>
      </c>
      <c r="BB47" s="238">
        <f t="shared" si="27"/>
        <v>0</v>
      </c>
      <c r="BC47" s="193">
        <v>0</v>
      </c>
      <c r="BD47" s="238">
        <f t="shared" si="28"/>
        <v>0</v>
      </c>
      <c r="BE47" s="193">
        <v>0</v>
      </c>
      <c r="BF47" s="238">
        <f t="shared" si="29"/>
        <v>0</v>
      </c>
      <c r="BG47" s="193">
        <v>35640.509999999995</v>
      </c>
      <c r="BH47" s="238">
        <f t="shared" si="30"/>
        <v>980114.02499999991</v>
      </c>
      <c r="BI47" s="193">
        <v>0</v>
      </c>
      <c r="BJ47" s="238">
        <f t="shared" si="31"/>
        <v>0</v>
      </c>
      <c r="BK47" s="193">
        <v>0</v>
      </c>
      <c r="BL47" s="238">
        <f t="shared" si="32"/>
        <v>0</v>
      </c>
      <c r="BM47" s="193">
        <v>1387.8</v>
      </c>
      <c r="BN47" s="238">
        <f t="shared" si="33"/>
        <v>38164.5</v>
      </c>
      <c r="BO47" s="193">
        <v>1977.3800000000001</v>
      </c>
      <c r="BP47" s="238">
        <f t="shared" si="34"/>
        <v>54377.950000000004</v>
      </c>
      <c r="BQ47" s="193">
        <v>0</v>
      </c>
      <c r="BR47" s="238">
        <f t="shared" si="35"/>
        <v>0</v>
      </c>
      <c r="BS47" s="225"/>
      <c r="BT47" s="239">
        <f t="shared" si="36"/>
        <v>66436.197835365805</v>
      </c>
      <c r="BU47" s="238">
        <f t="shared" si="38"/>
        <v>1826995.4404725595</v>
      </c>
    </row>
    <row r="48" spans="1:73" ht="14.25">
      <c r="A48" s="241">
        <v>1993</v>
      </c>
      <c r="B48" s="528">
        <f t="shared" si="37"/>
        <v>26.5</v>
      </c>
      <c r="C48" s="193">
        <v>0</v>
      </c>
      <c r="D48" s="238">
        <f t="shared" si="2"/>
        <v>0</v>
      </c>
      <c r="E48" s="193">
        <v>0</v>
      </c>
      <c r="F48" s="238">
        <f t="shared" si="3"/>
        <v>0</v>
      </c>
      <c r="G48" s="193">
        <v>0</v>
      </c>
      <c r="H48" s="238">
        <f t="shared" si="4"/>
        <v>0</v>
      </c>
      <c r="I48" s="193">
        <v>12928.781641733496</v>
      </c>
      <c r="J48" s="238">
        <f t="shared" si="5"/>
        <v>342612.71350593766</v>
      </c>
      <c r="K48" s="193">
        <v>0</v>
      </c>
      <c r="L48" s="238">
        <f t="shared" si="6"/>
        <v>0</v>
      </c>
      <c r="M48" s="193">
        <v>0</v>
      </c>
      <c r="N48" s="238">
        <f t="shared" si="7"/>
        <v>0</v>
      </c>
      <c r="O48" s="193">
        <v>0</v>
      </c>
      <c r="P48" s="238">
        <f t="shared" si="8"/>
        <v>0</v>
      </c>
      <c r="Q48" s="193">
        <v>61972.670000000006</v>
      </c>
      <c r="R48" s="238">
        <f t="shared" si="9"/>
        <v>1642275.7550000001</v>
      </c>
      <c r="S48" s="193">
        <v>0</v>
      </c>
      <c r="T48" s="238">
        <f t="shared" si="10"/>
        <v>0</v>
      </c>
      <c r="U48" s="193">
        <v>0</v>
      </c>
      <c r="V48" s="238">
        <f t="shared" si="11"/>
        <v>0</v>
      </c>
      <c r="W48" s="193">
        <v>835.36000000000001</v>
      </c>
      <c r="X48" s="238">
        <f t="shared" si="12"/>
        <v>22137.040000000001</v>
      </c>
      <c r="Y48" s="193">
        <v>0</v>
      </c>
      <c r="Z48" s="238">
        <f t="shared" si="13"/>
        <v>0</v>
      </c>
      <c r="AA48" s="193">
        <v>0</v>
      </c>
      <c r="AB48" s="238">
        <f t="shared" si="14"/>
        <v>0</v>
      </c>
      <c r="AC48" s="193">
        <v>0</v>
      </c>
      <c r="AD48" s="238">
        <f t="shared" si="15"/>
        <v>0</v>
      </c>
      <c r="AE48" s="193">
        <v>0</v>
      </c>
      <c r="AF48" s="238">
        <f t="shared" si="16"/>
        <v>0</v>
      </c>
      <c r="AG48" s="193">
        <v>0</v>
      </c>
      <c r="AH48" s="238">
        <f t="shared" si="17"/>
        <v>0</v>
      </c>
      <c r="AI48" s="193">
        <v>0</v>
      </c>
      <c r="AJ48" s="238">
        <f t="shared" si="18"/>
        <v>0</v>
      </c>
      <c r="AK48" s="193">
        <v>0</v>
      </c>
      <c r="AL48" s="238">
        <f t="shared" si="19"/>
        <v>0</v>
      </c>
      <c r="AM48" s="193">
        <v>0</v>
      </c>
      <c r="AN48" s="238">
        <f t="shared" si="20"/>
        <v>0</v>
      </c>
      <c r="AO48" s="193">
        <v>0</v>
      </c>
      <c r="AP48" s="238">
        <f t="shared" si="21"/>
        <v>0</v>
      </c>
      <c r="AQ48" s="193">
        <v>0</v>
      </c>
      <c r="AR48" s="238">
        <f t="shared" si="22"/>
        <v>0</v>
      </c>
      <c r="AS48" s="193">
        <v>0</v>
      </c>
      <c r="AT48" s="238">
        <f t="shared" si="23"/>
        <v>0</v>
      </c>
      <c r="AU48" s="193">
        <v>0</v>
      </c>
      <c r="AV48" s="238">
        <f t="shared" si="24"/>
        <v>0</v>
      </c>
      <c r="AW48" s="193">
        <v>0</v>
      </c>
      <c r="AX48" s="238">
        <f t="shared" si="25"/>
        <v>0</v>
      </c>
      <c r="AY48" s="193">
        <v>0</v>
      </c>
      <c r="AZ48" s="238">
        <f t="shared" si="26"/>
        <v>0</v>
      </c>
      <c r="BA48" s="193">
        <v>0</v>
      </c>
      <c r="BB48" s="238">
        <f t="shared" si="27"/>
        <v>0</v>
      </c>
      <c r="BC48" s="193">
        <v>0</v>
      </c>
      <c r="BD48" s="238">
        <f t="shared" si="28"/>
        <v>0</v>
      </c>
      <c r="BE48" s="193">
        <v>0</v>
      </c>
      <c r="BF48" s="238">
        <f t="shared" si="29"/>
        <v>0</v>
      </c>
      <c r="BG48" s="193">
        <v>18145.439999999999</v>
      </c>
      <c r="BH48" s="238">
        <f t="shared" si="30"/>
        <v>480854.15999999997</v>
      </c>
      <c r="BI48" s="193">
        <v>0</v>
      </c>
      <c r="BJ48" s="238">
        <f t="shared" si="31"/>
        <v>0</v>
      </c>
      <c r="BK48" s="193">
        <v>0</v>
      </c>
      <c r="BL48" s="238">
        <f t="shared" si="32"/>
        <v>0</v>
      </c>
      <c r="BM48" s="193">
        <v>596.77999999999997</v>
      </c>
      <c r="BN48" s="238">
        <f t="shared" si="33"/>
        <v>15814.67</v>
      </c>
      <c r="BO48" s="193">
        <v>1139.55</v>
      </c>
      <c r="BP48" s="238">
        <f t="shared" si="34"/>
        <v>30198.074999999997</v>
      </c>
      <c r="BQ48" s="193">
        <v>0</v>
      </c>
      <c r="BR48" s="238">
        <f t="shared" si="35"/>
        <v>0</v>
      </c>
      <c r="BS48" s="225"/>
      <c r="BT48" s="239">
        <f t="shared" si="36"/>
        <v>95618.581641733501</v>
      </c>
      <c r="BU48" s="238">
        <f t="shared" si="38"/>
        <v>2533892.4135059379</v>
      </c>
    </row>
    <row r="49" spans="1:73" ht="14.25">
      <c r="A49" s="241">
        <v>1994</v>
      </c>
      <c r="B49" s="528">
        <f t="shared" si="37"/>
        <v>25.5</v>
      </c>
      <c r="C49" s="193">
        <v>0</v>
      </c>
      <c r="D49" s="238">
        <f t="shared" si="2"/>
        <v>0</v>
      </c>
      <c r="E49" s="193">
        <v>0</v>
      </c>
      <c r="F49" s="238">
        <f t="shared" si="3"/>
        <v>0</v>
      </c>
      <c r="G49" s="193">
        <v>1098</v>
      </c>
      <c r="H49" s="238">
        <f t="shared" si="4"/>
        <v>27999</v>
      </c>
      <c r="I49" s="193">
        <v>52283.013512481353</v>
      </c>
      <c r="J49" s="238">
        <f t="shared" si="5"/>
        <v>1333216.8445682744</v>
      </c>
      <c r="K49" s="193">
        <v>0</v>
      </c>
      <c r="L49" s="238">
        <f t="shared" si="6"/>
        <v>0</v>
      </c>
      <c r="M49" s="193">
        <v>0</v>
      </c>
      <c r="N49" s="238">
        <f t="shared" si="7"/>
        <v>0</v>
      </c>
      <c r="O49" s="193">
        <v>0</v>
      </c>
      <c r="P49" s="238">
        <f t="shared" si="8"/>
        <v>0</v>
      </c>
      <c r="Q49" s="193">
        <v>19679.040000000001</v>
      </c>
      <c r="R49" s="238">
        <f t="shared" si="9"/>
        <v>501815.52000000002</v>
      </c>
      <c r="S49" s="193">
        <v>0</v>
      </c>
      <c r="T49" s="238">
        <f t="shared" si="10"/>
        <v>0</v>
      </c>
      <c r="U49" s="193">
        <v>0</v>
      </c>
      <c r="V49" s="238">
        <f t="shared" si="11"/>
        <v>0</v>
      </c>
      <c r="W49" s="193">
        <v>4369.29</v>
      </c>
      <c r="X49" s="238">
        <f t="shared" si="12"/>
        <v>111416.895</v>
      </c>
      <c r="Y49" s="193">
        <v>0</v>
      </c>
      <c r="Z49" s="238">
        <f t="shared" si="13"/>
        <v>0</v>
      </c>
      <c r="AA49" s="193">
        <v>0</v>
      </c>
      <c r="AB49" s="238">
        <f t="shared" si="14"/>
        <v>0</v>
      </c>
      <c r="AC49" s="193">
        <v>0</v>
      </c>
      <c r="AD49" s="238">
        <f t="shared" si="15"/>
        <v>0</v>
      </c>
      <c r="AE49" s="193">
        <v>0</v>
      </c>
      <c r="AF49" s="238">
        <f t="shared" si="16"/>
        <v>0</v>
      </c>
      <c r="AG49" s="193">
        <v>0</v>
      </c>
      <c r="AH49" s="238">
        <f t="shared" si="17"/>
        <v>0</v>
      </c>
      <c r="AI49" s="193">
        <v>0</v>
      </c>
      <c r="AJ49" s="238">
        <f t="shared" si="18"/>
        <v>0</v>
      </c>
      <c r="AK49" s="193">
        <v>0</v>
      </c>
      <c r="AL49" s="238">
        <f t="shared" si="19"/>
        <v>0</v>
      </c>
      <c r="AM49" s="193">
        <v>0</v>
      </c>
      <c r="AN49" s="238">
        <f t="shared" si="20"/>
        <v>0</v>
      </c>
      <c r="AO49" s="193">
        <v>0</v>
      </c>
      <c r="AP49" s="238">
        <f t="shared" si="21"/>
        <v>0</v>
      </c>
      <c r="AQ49" s="193">
        <v>0</v>
      </c>
      <c r="AR49" s="238">
        <f t="shared" si="22"/>
        <v>0</v>
      </c>
      <c r="AS49" s="193">
        <v>0</v>
      </c>
      <c r="AT49" s="238">
        <f t="shared" si="23"/>
        <v>0</v>
      </c>
      <c r="AU49" s="193">
        <v>0</v>
      </c>
      <c r="AV49" s="238">
        <f t="shared" si="24"/>
        <v>0</v>
      </c>
      <c r="AW49" s="193">
        <v>0</v>
      </c>
      <c r="AX49" s="238">
        <f t="shared" si="25"/>
        <v>0</v>
      </c>
      <c r="AY49" s="193">
        <v>0</v>
      </c>
      <c r="AZ49" s="238">
        <f t="shared" si="26"/>
        <v>0</v>
      </c>
      <c r="BA49" s="193">
        <v>0</v>
      </c>
      <c r="BB49" s="238">
        <f t="shared" si="27"/>
        <v>0</v>
      </c>
      <c r="BC49" s="193">
        <v>0</v>
      </c>
      <c r="BD49" s="238">
        <f t="shared" si="28"/>
        <v>0</v>
      </c>
      <c r="BE49" s="193">
        <v>0</v>
      </c>
      <c r="BF49" s="238">
        <f t="shared" si="29"/>
        <v>0</v>
      </c>
      <c r="BG49" s="193">
        <v>16582.93</v>
      </c>
      <c r="BH49" s="238">
        <f t="shared" si="30"/>
        <v>422864.71500000003</v>
      </c>
      <c r="BI49" s="193">
        <v>0</v>
      </c>
      <c r="BJ49" s="238">
        <f t="shared" si="31"/>
        <v>0</v>
      </c>
      <c r="BK49" s="193">
        <v>0</v>
      </c>
      <c r="BL49" s="238">
        <f t="shared" si="32"/>
        <v>0</v>
      </c>
      <c r="BM49" s="193">
        <v>0</v>
      </c>
      <c r="BN49" s="238">
        <f t="shared" si="33"/>
        <v>0</v>
      </c>
      <c r="BO49" s="193">
        <v>3910.3200000000002</v>
      </c>
      <c r="BP49" s="238">
        <f t="shared" si="34"/>
        <v>99713.160000000003</v>
      </c>
      <c r="BQ49" s="193">
        <v>0</v>
      </c>
      <c r="BR49" s="238">
        <f t="shared" si="35"/>
        <v>0</v>
      </c>
      <c r="BS49" s="225"/>
      <c r="BT49" s="239">
        <f t="shared" si="36"/>
        <v>97922.593512481355</v>
      </c>
      <c r="BU49" s="238">
        <f t="shared" si="38"/>
        <v>2497026.1345682745</v>
      </c>
    </row>
    <row r="50" spans="1:73" ht="14.25">
      <c r="A50" s="241">
        <v>1995</v>
      </c>
      <c r="B50" s="528">
        <f t="shared" si="37"/>
        <v>24.5</v>
      </c>
      <c r="C50" s="193">
        <v>0</v>
      </c>
      <c r="D50" s="238">
        <f t="shared" si="2"/>
        <v>0</v>
      </c>
      <c r="E50" s="193">
        <v>0</v>
      </c>
      <c r="F50" s="238">
        <f t="shared" si="3"/>
        <v>0</v>
      </c>
      <c r="G50" s="193">
        <v>0</v>
      </c>
      <c r="H50" s="238">
        <f t="shared" si="4"/>
        <v>0</v>
      </c>
      <c r="I50" s="193">
        <v>7788.7452048495788</v>
      </c>
      <c r="J50" s="238">
        <f t="shared" si="5"/>
        <v>190824.25751881467</v>
      </c>
      <c r="K50" s="193">
        <v>0</v>
      </c>
      <c r="L50" s="238">
        <f t="shared" si="6"/>
        <v>0</v>
      </c>
      <c r="M50" s="193">
        <v>0</v>
      </c>
      <c r="N50" s="238">
        <f t="shared" si="7"/>
        <v>0</v>
      </c>
      <c r="O50" s="193">
        <v>0</v>
      </c>
      <c r="P50" s="238">
        <f t="shared" si="8"/>
        <v>0</v>
      </c>
      <c r="Q50" s="193">
        <v>782.99000000000001</v>
      </c>
      <c r="R50" s="238">
        <f t="shared" si="9"/>
        <v>19183.255000000001</v>
      </c>
      <c r="S50" s="193">
        <v>0</v>
      </c>
      <c r="T50" s="238">
        <f t="shared" si="10"/>
        <v>0</v>
      </c>
      <c r="U50" s="193">
        <v>0</v>
      </c>
      <c r="V50" s="238">
        <f t="shared" si="11"/>
        <v>0</v>
      </c>
      <c r="W50" s="193">
        <v>62974.010000000002</v>
      </c>
      <c r="X50" s="238">
        <f t="shared" si="12"/>
        <v>1542863.2450000001</v>
      </c>
      <c r="Y50" s="193">
        <v>0</v>
      </c>
      <c r="Z50" s="238">
        <f t="shared" si="13"/>
        <v>0</v>
      </c>
      <c r="AA50" s="193">
        <v>0</v>
      </c>
      <c r="AB50" s="238">
        <f t="shared" si="14"/>
        <v>0</v>
      </c>
      <c r="AC50" s="193">
        <v>0</v>
      </c>
      <c r="AD50" s="238">
        <f t="shared" si="15"/>
        <v>0</v>
      </c>
      <c r="AE50" s="193">
        <v>0</v>
      </c>
      <c r="AF50" s="238">
        <f t="shared" si="16"/>
        <v>0</v>
      </c>
      <c r="AG50" s="193">
        <v>0</v>
      </c>
      <c r="AH50" s="238">
        <f t="shared" si="17"/>
        <v>0</v>
      </c>
      <c r="AI50" s="193">
        <v>0</v>
      </c>
      <c r="AJ50" s="238">
        <f t="shared" si="18"/>
        <v>0</v>
      </c>
      <c r="AK50" s="193">
        <v>0</v>
      </c>
      <c r="AL50" s="238">
        <f t="shared" si="19"/>
        <v>0</v>
      </c>
      <c r="AM50" s="193">
        <v>0</v>
      </c>
      <c r="AN50" s="238">
        <f t="shared" si="20"/>
        <v>0</v>
      </c>
      <c r="AO50" s="193">
        <v>0</v>
      </c>
      <c r="AP50" s="238">
        <f t="shared" si="21"/>
        <v>0</v>
      </c>
      <c r="AQ50" s="193">
        <v>0</v>
      </c>
      <c r="AR50" s="238">
        <f t="shared" si="22"/>
        <v>0</v>
      </c>
      <c r="AS50" s="193">
        <v>0</v>
      </c>
      <c r="AT50" s="238">
        <f t="shared" si="23"/>
        <v>0</v>
      </c>
      <c r="AU50" s="193">
        <v>0</v>
      </c>
      <c r="AV50" s="238">
        <f t="shared" si="24"/>
        <v>0</v>
      </c>
      <c r="AW50" s="193">
        <v>0</v>
      </c>
      <c r="AX50" s="238">
        <f t="shared" si="25"/>
        <v>0</v>
      </c>
      <c r="AY50" s="193">
        <v>0</v>
      </c>
      <c r="AZ50" s="238">
        <f t="shared" si="26"/>
        <v>0</v>
      </c>
      <c r="BA50" s="193">
        <v>0</v>
      </c>
      <c r="BB50" s="238">
        <f t="shared" si="27"/>
        <v>0</v>
      </c>
      <c r="BC50" s="193">
        <v>0</v>
      </c>
      <c r="BD50" s="238">
        <f t="shared" si="28"/>
        <v>0</v>
      </c>
      <c r="BE50" s="193">
        <v>0</v>
      </c>
      <c r="BF50" s="238">
        <f t="shared" si="29"/>
        <v>0</v>
      </c>
      <c r="BG50" s="193">
        <v>3620.8699999999999</v>
      </c>
      <c r="BH50" s="238">
        <f t="shared" si="30"/>
        <v>88711.315000000002</v>
      </c>
      <c r="BI50" s="193">
        <v>0</v>
      </c>
      <c r="BJ50" s="238">
        <f t="shared" si="31"/>
        <v>0</v>
      </c>
      <c r="BK50" s="193">
        <v>40024.419999999998</v>
      </c>
      <c r="BL50" s="238">
        <f t="shared" si="32"/>
        <v>980598.28999999992</v>
      </c>
      <c r="BM50" s="193">
        <v>0</v>
      </c>
      <c r="BN50" s="238">
        <f t="shared" si="33"/>
        <v>0</v>
      </c>
      <c r="BO50" s="193">
        <v>12628.440000000001</v>
      </c>
      <c r="BP50" s="238">
        <f t="shared" si="34"/>
        <v>309396.78000000003</v>
      </c>
      <c r="BQ50" s="193">
        <v>0</v>
      </c>
      <c r="BR50" s="238">
        <f t="shared" si="35"/>
        <v>0</v>
      </c>
      <c r="BS50" s="225"/>
      <c r="BT50" s="239">
        <f t="shared" si="36"/>
        <v>127819.47520484959</v>
      </c>
      <c r="BU50" s="238">
        <f t="shared" si="38"/>
        <v>3131577.1425188147</v>
      </c>
    </row>
    <row r="51" spans="1:73" ht="14.25">
      <c r="A51" s="241">
        <v>1996</v>
      </c>
      <c r="B51" s="528">
        <f t="shared" si="37"/>
        <v>23.5</v>
      </c>
      <c r="C51" s="193">
        <v>0</v>
      </c>
      <c r="D51" s="238">
        <f t="shared" si="2"/>
        <v>0</v>
      </c>
      <c r="E51" s="193">
        <v>0</v>
      </c>
      <c r="F51" s="238">
        <f t="shared" si="3"/>
        <v>0</v>
      </c>
      <c r="G51" s="193">
        <v>0</v>
      </c>
      <c r="H51" s="238">
        <f t="shared" si="4"/>
        <v>0</v>
      </c>
      <c r="I51" s="193">
        <v>1550.8985369084185</v>
      </c>
      <c r="J51" s="238">
        <f t="shared" si="5"/>
        <v>36446.115617347838</v>
      </c>
      <c r="K51" s="193">
        <v>0</v>
      </c>
      <c r="L51" s="238">
        <f t="shared" si="6"/>
        <v>0</v>
      </c>
      <c r="M51" s="193">
        <v>0</v>
      </c>
      <c r="N51" s="238">
        <f t="shared" si="7"/>
        <v>0</v>
      </c>
      <c r="O51" s="193">
        <v>0</v>
      </c>
      <c r="P51" s="238">
        <f t="shared" si="8"/>
        <v>0</v>
      </c>
      <c r="Q51" s="193">
        <v>2377.9099999999999</v>
      </c>
      <c r="R51" s="238">
        <f t="shared" si="9"/>
        <v>55880.884999999995</v>
      </c>
      <c r="S51" s="193">
        <v>0</v>
      </c>
      <c r="T51" s="238">
        <f t="shared" si="10"/>
        <v>0</v>
      </c>
      <c r="U51" s="193">
        <v>0</v>
      </c>
      <c r="V51" s="238">
        <f t="shared" si="11"/>
        <v>0</v>
      </c>
      <c r="W51" s="193">
        <v>33244.169999999998</v>
      </c>
      <c r="X51" s="238">
        <f t="shared" si="12"/>
        <v>781237.995</v>
      </c>
      <c r="Y51" s="193">
        <v>0</v>
      </c>
      <c r="Z51" s="238">
        <f t="shared" si="13"/>
        <v>0</v>
      </c>
      <c r="AA51" s="193">
        <v>0</v>
      </c>
      <c r="AB51" s="238">
        <f t="shared" si="14"/>
        <v>0</v>
      </c>
      <c r="AC51" s="193">
        <v>0</v>
      </c>
      <c r="AD51" s="238">
        <f t="shared" si="15"/>
        <v>0</v>
      </c>
      <c r="AE51" s="193">
        <v>0</v>
      </c>
      <c r="AF51" s="238">
        <f t="shared" si="16"/>
        <v>0</v>
      </c>
      <c r="AG51" s="193">
        <v>0</v>
      </c>
      <c r="AH51" s="238">
        <f t="shared" si="17"/>
        <v>0</v>
      </c>
      <c r="AI51" s="193">
        <v>0</v>
      </c>
      <c r="AJ51" s="238">
        <f t="shared" si="18"/>
        <v>0</v>
      </c>
      <c r="AK51" s="193">
        <v>0</v>
      </c>
      <c r="AL51" s="238">
        <f t="shared" si="19"/>
        <v>0</v>
      </c>
      <c r="AM51" s="193">
        <v>0</v>
      </c>
      <c r="AN51" s="238">
        <f t="shared" si="20"/>
        <v>0</v>
      </c>
      <c r="AO51" s="193">
        <v>0</v>
      </c>
      <c r="AP51" s="238">
        <f t="shared" si="21"/>
        <v>0</v>
      </c>
      <c r="AQ51" s="193">
        <v>0</v>
      </c>
      <c r="AR51" s="238">
        <f t="shared" si="22"/>
        <v>0</v>
      </c>
      <c r="AS51" s="193">
        <v>0</v>
      </c>
      <c r="AT51" s="238">
        <f t="shared" si="23"/>
        <v>0</v>
      </c>
      <c r="AU51" s="193">
        <v>0</v>
      </c>
      <c r="AV51" s="238">
        <f t="shared" si="24"/>
        <v>0</v>
      </c>
      <c r="AW51" s="193">
        <v>0</v>
      </c>
      <c r="AX51" s="238">
        <f t="shared" si="25"/>
        <v>0</v>
      </c>
      <c r="AY51" s="193">
        <v>0</v>
      </c>
      <c r="AZ51" s="238">
        <f t="shared" si="26"/>
        <v>0</v>
      </c>
      <c r="BA51" s="193">
        <v>0</v>
      </c>
      <c r="BB51" s="238">
        <f t="shared" si="27"/>
        <v>0</v>
      </c>
      <c r="BC51" s="193">
        <v>0</v>
      </c>
      <c r="BD51" s="238">
        <f t="shared" si="28"/>
        <v>0</v>
      </c>
      <c r="BE51" s="193">
        <v>0</v>
      </c>
      <c r="BF51" s="238">
        <f t="shared" si="29"/>
        <v>0</v>
      </c>
      <c r="BG51" s="193">
        <v>6343.6800000000003</v>
      </c>
      <c r="BH51" s="238">
        <f t="shared" si="30"/>
        <v>149076.48000000001</v>
      </c>
      <c r="BI51" s="193">
        <v>0</v>
      </c>
      <c r="BJ51" s="238">
        <f t="shared" si="31"/>
        <v>0</v>
      </c>
      <c r="BK51" s="193">
        <v>0</v>
      </c>
      <c r="BL51" s="238">
        <f t="shared" si="32"/>
        <v>0</v>
      </c>
      <c r="BM51" s="193">
        <v>0</v>
      </c>
      <c r="BN51" s="238">
        <f t="shared" si="33"/>
        <v>0</v>
      </c>
      <c r="BO51" s="193">
        <v>3700</v>
      </c>
      <c r="BP51" s="238">
        <f t="shared" si="34"/>
        <v>86950</v>
      </c>
      <c r="BQ51" s="193">
        <v>0</v>
      </c>
      <c r="BR51" s="238">
        <f t="shared" si="35"/>
        <v>0</v>
      </c>
      <c r="BS51" s="225"/>
      <c r="BT51" s="239">
        <f t="shared" si="36"/>
        <v>47216.658536908421</v>
      </c>
      <c r="BU51" s="238">
        <f t="shared" si="38"/>
        <v>1109591.475617348</v>
      </c>
    </row>
    <row r="52" spans="1:73" ht="14.25">
      <c r="A52" s="241">
        <v>1997</v>
      </c>
      <c r="B52" s="528">
        <f t="shared" si="37"/>
        <v>22.5</v>
      </c>
      <c r="C52" s="193">
        <v>0</v>
      </c>
      <c r="D52" s="238">
        <f t="shared" si="2"/>
        <v>0</v>
      </c>
      <c r="E52" s="193">
        <v>0</v>
      </c>
      <c r="F52" s="238">
        <f t="shared" si="3"/>
        <v>0</v>
      </c>
      <c r="G52" s="193">
        <v>1096.0999999999999</v>
      </c>
      <c r="H52" s="238">
        <f t="shared" si="4"/>
        <v>24662.249999999996</v>
      </c>
      <c r="I52" s="193">
        <v>7158.9761761442969</v>
      </c>
      <c r="J52" s="238">
        <f t="shared" si="5"/>
        <v>161076.96396324667</v>
      </c>
      <c r="K52" s="193">
        <v>0</v>
      </c>
      <c r="L52" s="238">
        <f t="shared" si="6"/>
        <v>0</v>
      </c>
      <c r="M52" s="193">
        <v>0</v>
      </c>
      <c r="N52" s="238">
        <f t="shared" si="7"/>
        <v>0</v>
      </c>
      <c r="O52" s="193">
        <v>0</v>
      </c>
      <c r="P52" s="238">
        <f t="shared" si="8"/>
        <v>0</v>
      </c>
      <c r="Q52" s="193">
        <v>1651.98</v>
      </c>
      <c r="R52" s="238">
        <f t="shared" si="9"/>
        <v>37169.550000000003</v>
      </c>
      <c r="S52" s="193">
        <v>0</v>
      </c>
      <c r="T52" s="238">
        <f t="shared" si="10"/>
        <v>0</v>
      </c>
      <c r="U52" s="193">
        <v>0</v>
      </c>
      <c r="V52" s="238">
        <f t="shared" si="11"/>
        <v>0</v>
      </c>
      <c r="W52" s="193">
        <v>4450.4200000000001</v>
      </c>
      <c r="X52" s="238">
        <f t="shared" si="12"/>
        <v>100134.45</v>
      </c>
      <c r="Y52" s="193">
        <v>0</v>
      </c>
      <c r="Z52" s="238">
        <f t="shared" si="13"/>
        <v>0</v>
      </c>
      <c r="AA52" s="193">
        <v>0</v>
      </c>
      <c r="AB52" s="238">
        <f t="shared" si="14"/>
        <v>0</v>
      </c>
      <c r="AC52" s="193">
        <v>0</v>
      </c>
      <c r="AD52" s="238">
        <f t="shared" si="15"/>
        <v>0</v>
      </c>
      <c r="AE52" s="193">
        <v>0</v>
      </c>
      <c r="AF52" s="238">
        <f t="shared" si="16"/>
        <v>0</v>
      </c>
      <c r="AG52" s="193">
        <v>0</v>
      </c>
      <c r="AH52" s="238">
        <f t="shared" si="17"/>
        <v>0</v>
      </c>
      <c r="AI52" s="193">
        <v>0</v>
      </c>
      <c r="AJ52" s="238">
        <f t="shared" si="18"/>
        <v>0</v>
      </c>
      <c r="AK52" s="193">
        <v>0</v>
      </c>
      <c r="AL52" s="238">
        <f t="shared" si="19"/>
        <v>0</v>
      </c>
      <c r="AM52" s="193">
        <v>0</v>
      </c>
      <c r="AN52" s="238">
        <f t="shared" si="20"/>
        <v>0</v>
      </c>
      <c r="AO52" s="193">
        <v>0</v>
      </c>
      <c r="AP52" s="238">
        <f t="shared" si="21"/>
        <v>0</v>
      </c>
      <c r="AQ52" s="193">
        <v>0</v>
      </c>
      <c r="AR52" s="238">
        <f t="shared" si="22"/>
        <v>0</v>
      </c>
      <c r="AS52" s="193">
        <v>0</v>
      </c>
      <c r="AT52" s="238">
        <f t="shared" si="23"/>
        <v>0</v>
      </c>
      <c r="AU52" s="193">
        <v>0</v>
      </c>
      <c r="AV52" s="238">
        <f t="shared" si="24"/>
        <v>0</v>
      </c>
      <c r="AW52" s="193">
        <v>0</v>
      </c>
      <c r="AX52" s="238">
        <f t="shared" si="25"/>
        <v>0</v>
      </c>
      <c r="AY52" s="193">
        <v>0</v>
      </c>
      <c r="AZ52" s="238">
        <f t="shared" si="26"/>
        <v>0</v>
      </c>
      <c r="BA52" s="193">
        <v>0</v>
      </c>
      <c r="BB52" s="238">
        <f t="shared" si="27"/>
        <v>0</v>
      </c>
      <c r="BC52" s="193">
        <v>0</v>
      </c>
      <c r="BD52" s="238">
        <f t="shared" si="28"/>
        <v>0</v>
      </c>
      <c r="BE52" s="193">
        <v>0</v>
      </c>
      <c r="BF52" s="238">
        <f t="shared" si="29"/>
        <v>0</v>
      </c>
      <c r="BG52" s="193">
        <v>15025.43</v>
      </c>
      <c r="BH52" s="238">
        <f t="shared" si="30"/>
        <v>338072.17499999999</v>
      </c>
      <c r="BI52" s="193">
        <v>0</v>
      </c>
      <c r="BJ52" s="238">
        <f t="shared" si="31"/>
        <v>0</v>
      </c>
      <c r="BK52" s="193">
        <v>0</v>
      </c>
      <c r="BL52" s="238">
        <f t="shared" si="32"/>
        <v>0</v>
      </c>
      <c r="BM52" s="193">
        <v>0</v>
      </c>
      <c r="BN52" s="238">
        <f t="shared" si="33"/>
        <v>0</v>
      </c>
      <c r="BO52" s="193">
        <v>0</v>
      </c>
      <c r="BP52" s="238">
        <f t="shared" si="34"/>
        <v>0</v>
      </c>
      <c r="BQ52" s="193">
        <v>0</v>
      </c>
      <c r="BR52" s="238">
        <f t="shared" si="35"/>
        <v>0</v>
      </c>
      <c r="BS52" s="225"/>
      <c r="BT52" s="239">
        <f t="shared" si="36"/>
        <v>29382.906176144301</v>
      </c>
      <c r="BU52" s="238">
        <f t="shared" si="38"/>
        <v>661115.38896324672</v>
      </c>
    </row>
    <row r="53" spans="1:73" ht="14.25">
      <c r="A53" s="241">
        <v>1998</v>
      </c>
      <c r="B53" s="528">
        <f t="shared" si="37"/>
        <v>21.5</v>
      </c>
      <c r="C53" s="193">
        <v>0</v>
      </c>
      <c r="D53" s="238">
        <f t="shared" si="2"/>
        <v>0</v>
      </c>
      <c r="E53" s="193">
        <v>0</v>
      </c>
      <c r="F53" s="238">
        <f t="shared" si="3"/>
        <v>0</v>
      </c>
      <c r="G53" s="193">
        <v>0</v>
      </c>
      <c r="H53" s="238">
        <f t="shared" si="4"/>
        <v>0</v>
      </c>
      <c r="I53" s="193">
        <v>21584.930198116053</v>
      </c>
      <c r="J53" s="238">
        <f t="shared" si="5"/>
        <v>464075.99925949518</v>
      </c>
      <c r="K53" s="193">
        <v>0</v>
      </c>
      <c r="L53" s="238">
        <f t="shared" si="6"/>
        <v>0</v>
      </c>
      <c r="M53" s="193">
        <v>0</v>
      </c>
      <c r="N53" s="238">
        <f t="shared" si="7"/>
        <v>0</v>
      </c>
      <c r="O53" s="193">
        <v>0</v>
      </c>
      <c r="P53" s="238">
        <f t="shared" si="8"/>
        <v>0</v>
      </c>
      <c r="Q53" s="193">
        <v>2539.5100000000002</v>
      </c>
      <c r="R53" s="238">
        <f t="shared" si="9"/>
        <v>54599.465000000004</v>
      </c>
      <c r="S53" s="193">
        <v>0</v>
      </c>
      <c r="T53" s="238">
        <f t="shared" si="10"/>
        <v>0</v>
      </c>
      <c r="U53" s="193">
        <v>0</v>
      </c>
      <c r="V53" s="238">
        <f t="shared" si="11"/>
        <v>0</v>
      </c>
      <c r="W53" s="193">
        <v>4065.3200000000002</v>
      </c>
      <c r="X53" s="238">
        <f t="shared" si="12"/>
        <v>87404.380000000005</v>
      </c>
      <c r="Y53" s="193">
        <v>0</v>
      </c>
      <c r="Z53" s="238">
        <f t="shared" si="13"/>
        <v>0</v>
      </c>
      <c r="AA53" s="193">
        <v>0</v>
      </c>
      <c r="AB53" s="238">
        <f t="shared" si="14"/>
        <v>0</v>
      </c>
      <c r="AC53" s="193">
        <v>0</v>
      </c>
      <c r="AD53" s="238">
        <f t="shared" si="15"/>
        <v>0</v>
      </c>
      <c r="AE53" s="193">
        <v>0</v>
      </c>
      <c r="AF53" s="238">
        <f t="shared" si="16"/>
        <v>0</v>
      </c>
      <c r="AG53" s="193">
        <v>0</v>
      </c>
      <c r="AH53" s="238">
        <f t="shared" si="17"/>
        <v>0</v>
      </c>
      <c r="AI53" s="193">
        <v>0</v>
      </c>
      <c r="AJ53" s="238">
        <f t="shared" si="18"/>
        <v>0</v>
      </c>
      <c r="AK53" s="193">
        <v>0</v>
      </c>
      <c r="AL53" s="238">
        <f t="shared" si="19"/>
        <v>0</v>
      </c>
      <c r="AM53" s="193">
        <v>0</v>
      </c>
      <c r="AN53" s="238">
        <f t="shared" si="20"/>
        <v>0</v>
      </c>
      <c r="AO53" s="193">
        <v>0</v>
      </c>
      <c r="AP53" s="238">
        <f t="shared" si="21"/>
        <v>0</v>
      </c>
      <c r="AQ53" s="193">
        <v>0</v>
      </c>
      <c r="AR53" s="238">
        <f t="shared" si="22"/>
        <v>0</v>
      </c>
      <c r="AS53" s="193">
        <v>0</v>
      </c>
      <c r="AT53" s="238">
        <f t="shared" si="23"/>
        <v>0</v>
      </c>
      <c r="AU53" s="193">
        <v>0</v>
      </c>
      <c r="AV53" s="238">
        <f t="shared" si="24"/>
        <v>0</v>
      </c>
      <c r="AW53" s="193">
        <v>0</v>
      </c>
      <c r="AX53" s="238">
        <f t="shared" si="25"/>
        <v>0</v>
      </c>
      <c r="AY53" s="193">
        <v>0</v>
      </c>
      <c r="AZ53" s="238">
        <f t="shared" si="26"/>
        <v>0</v>
      </c>
      <c r="BA53" s="193">
        <v>0</v>
      </c>
      <c r="BB53" s="238">
        <f t="shared" si="27"/>
        <v>0</v>
      </c>
      <c r="BC53" s="193">
        <v>0</v>
      </c>
      <c r="BD53" s="238">
        <f t="shared" si="28"/>
        <v>0</v>
      </c>
      <c r="BE53" s="193">
        <v>0</v>
      </c>
      <c r="BF53" s="238">
        <f t="shared" si="29"/>
        <v>0</v>
      </c>
      <c r="BG53" s="193">
        <v>10083.75</v>
      </c>
      <c r="BH53" s="238">
        <f t="shared" si="30"/>
        <v>216800.625</v>
      </c>
      <c r="BI53" s="193">
        <v>0</v>
      </c>
      <c r="BJ53" s="238">
        <f t="shared" si="31"/>
        <v>0</v>
      </c>
      <c r="BK53" s="193">
        <v>0</v>
      </c>
      <c r="BL53" s="238">
        <f t="shared" si="32"/>
        <v>0</v>
      </c>
      <c r="BM53" s="193">
        <v>0</v>
      </c>
      <c r="BN53" s="238">
        <f t="shared" si="33"/>
        <v>0</v>
      </c>
      <c r="BO53" s="193">
        <v>0</v>
      </c>
      <c r="BP53" s="238">
        <f t="shared" si="34"/>
        <v>0</v>
      </c>
      <c r="BQ53" s="193">
        <v>0</v>
      </c>
      <c r="BR53" s="238">
        <f t="shared" si="35"/>
        <v>0</v>
      </c>
      <c r="BS53" s="225"/>
      <c r="BT53" s="239">
        <f t="shared" si="36"/>
        <v>38273.510198116055</v>
      </c>
      <c r="BU53" s="238">
        <f t="shared" si="38"/>
        <v>822880.46925949515</v>
      </c>
    </row>
    <row r="54" spans="1:73" ht="14.25">
      <c r="A54" s="241">
        <v>1999</v>
      </c>
      <c r="B54" s="528">
        <f t="shared" si="37"/>
        <v>20.5</v>
      </c>
      <c r="C54" s="193">
        <v>0</v>
      </c>
      <c r="D54" s="238">
        <f t="shared" si="2"/>
        <v>0</v>
      </c>
      <c r="E54" s="193">
        <v>0</v>
      </c>
      <c r="F54" s="238">
        <f t="shared" si="3"/>
        <v>0</v>
      </c>
      <c r="G54" s="193">
        <v>0</v>
      </c>
      <c r="H54" s="238">
        <f t="shared" si="4"/>
        <v>0</v>
      </c>
      <c r="I54" s="193">
        <v>16357.779887361081</v>
      </c>
      <c r="J54" s="238">
        <f t="shared" si="5"/>
        <v>335334.48769090214</v>
      </c>
      <c r="K54" s="193">
        <v>0</v>
      </c>
      <c r="L54" s="238">
        <f t="shared" si="6"/>
        <v>0</v>
      </c>
      <c r="M54" s="193">
        <v>0</v>
      </c>
      <c r="N54" s="238">
        <f t="shared" si="7"/>
        <v>0</v>
      </c>
      <c r="O54" s="193">
        <v>0</v>
      </c>
      <c r="P54" s="238">
        <f t="shared" si="8"/>
        <v>0</v>
      </c>
      <c r="Q54" s="193">
        <v>6620.0299999999997</v>
      </c>
      <c r="R54" s="238">
        <f t="shared" si="9"/>
        <v>135710.61499999999</v>
      </c>
      <c r="S54" s="193">
        <v>0</v>
      </c>
      <c r="T54" s="238">
        <f t="shared" si="10"/>
        <v>0</v>
      </c>
      <c r="U54" s="193">
        <v>0</v>
      </c>
      <c r="V54" s="238">
        <f t="shared" si="11"/>
        <v>0</v>
      </c>
      <c r="W54" s="193">
        <v>10662.07</v>
      </c>
      <c r="X54" s="238">
        <f t="shared" si="12"/>
        <v>218572.435</v>
      </c>
      <c r="Y54" s="193">
        <v>0</v>
      </c>
      <c r="Z54" s="238">
        <f t="shared" si="13"/>
        <v>0</v>
      </c>
      <c r="AA54" s="193">
        <v>0</v>
      </c>
      <c r="AB54" s="238">
        <f t="shared" si="14"/>
        <v>0</v>
      </c>
      <c r="AC54" s="193">
        <v>0</v>
      </c>
      <c r="AD54" s="238">
        <f t="shared" si="15"/>
        <v>0</v>
      </c>
      <c r="AE54" s="193">
        <v>0</v>
      </c>
      <c r="AF54" s="238">
        <f t="shared" si="16"/>
        <v>0</v>
      </c>
      <c r="AG54" s="193">
        <v>0</v>
      </c>
      <c r="AH54" s="238">
        <f t="shared" si="17"/>
        <v>0</v>
      </c>
      <c r="AI54" s="193">
        <v>0</v>
      </c>
      <c r="AJ54" s="238">
        <f t="shared" si="18"/>
        <v>0</v>
      </c>
      <c r="AK54" s="193">
        <v>0</v>
      </c>
      <c r="AL54" s="238">
        <f t="shared" si="19"/>
        <v>0</v>
      </c>
      <c r="AM54" s="193">
        <v>0</v>
      </c>
      <c r="AN54" s="238">
        <f t="shared" si="20"/>
        <v>0</v>
      </c>
      <c r="AO54" s="193">
        <v>0</v>
      </c>
      <c r="AP54" s="238">
        <f t="shared" si="21"/>
        <v>0</v>
      </c>
      <c r="AQ54" s="193">
        <v>0</v>
      </c>
      <c r="AR54" s="238">
        <f t="shared" si="22"/>
        <v>0</v>
      </c>
      <c r="AS54" s="193">
        <v>0</v>
      </c>
      <c r="AT54" s="238">
        <f t="shared" si="23"/>
        <v>0</v>
      </c>
      <c r="AU54" s="193">
        <v>0</v>
      </c>
      <c r="AV54" s="238">
        <f t="shared" si="24"/>
        <v>0</v>
      </c>
      <c r="AW54" s="193">
        <v>0</v>
      </c>
      <c r="AX54" s="238">
        <f t="shared" si="25"/>
        <v>0</v>
      </c>
      <c r="AY54" s="193">
        <v>0</v>
      </c>
      <c r="AZ54" s="238">
        <f t="shared" si="26"/>
        <v>0</v>
      </c>
      <c r="BA54" s="193">
        <v>0</v>
      </c>
      <c r="BB54" s="238">
        <f t="shared" si="27"/>
        <v>0</v>
      </c>
      <c r="BC54" s="193">
        <v>7855.9399999999996</v>
      </c>
      <c r="BD54" s="238">
        <f t="shared" si="28"/>
        <v>161046.76999999999</v>
      </c>
      <c r="BE54" s="193">
        <v>0</v>
      </c>
      <c r="BF54" s="238">
        <f t="shared" si="29"/>
        <v>0</v>
      </c>
      <c r="BG54" s="193">
        <v>20045.279999999999</v>
      </c>
      <c r="BH54" s="238">
        <f t="shared" si="30"/>
        <v>410928.23999999999</v>
      </c>
      <c r="BI54" s="193">
        <v>0</v>
      </c>
      <c r="BJ54" s="238">
        <f t="shared" si="31"/>
        <v>0</v>
      </c>
      <c r="BK54" s="193">
        <v>0</v>
      </c>
      <c r="BL54" s="238">
        <f t="shared" si="32"/>
        <v>0</v>
      </c>
      <c r="BM54" s="193">
        <v>29070.299999999999</v>
      </c>
      <c r="BN54" s="238">
        <f t="shared" si="33"/>
        <v>595941.15000000002</v>
      </c>
      <c r="BO54" s="193">
        <v>0</v>
      </c>
      <c r="BP54" s="238">
        <f t="shared" si="34"/>
        <v>0</v>
      </c>
      <c r="BQ54" s="193">
        <v>0</v>
      </c>
      <c r="BR54" s="238">
        <f t="shared" si="35"/>
        <v>0</v>
      </c>
      <c r="BS54" s="225"/>
      <c r="BT54" s="239">
        <f t="shared" si="36"/>
        <v>90611.399887361098</v>
      </c>
      <c r="BU54" s="238">
        <f t="shared" si="38"/>
        <v>1857533.6976909025</v>
      </c>
    </row>
    <row r="55" spans="1:73" ht="14.25">
      <c r="A55" s="241">
        <v>2000</v>
      </c>
      <c r="B55" s="528">
        <f t="shared" si="37"/>
        <v>19.5</v>
      </c>
      <c r="C55" s="193">
        <v>0</v>
      </c>
      <c r="D55" s="238">
        <f t="shared" si="2"/>
        <v>0</v>
      </c>
      <c r="E55" s="193">
        <v>0</v>
      </c>
      <c r="F55" s="238">
        <f t="shared" si="3"/>
        <v>0</v>
      </c>
      <c r="G55" s="193">
        <v>2787.8699999999999</v>
      </c>
      <c r="H55" s="238">
        <f t="shared" si="4"/>
        <v>54363.464999999997</v>
      </c>
      <c r="I55" s="193">
        <v>0</v>
      </c>
      <c r="J55" s="238">
        <f t="shared" si="5"/>
        <v>0</v>
      </c>
      <c r="K55" s="193">
        <v>0</v>
      </c>
      <c r="L55" s="238">
        <f t="shared" si="6"/>
        <v>0</v>
      </c>
      <c r="M55" s="193">
        <v>0</v>
      </c>
      <c r="N55" s="238">
        <f t="shared" si="7"/>
        <v>0</v>
      </c>
      <c r="O55" s="193">
        <v>0</v>
      </c>
      <c r="P55" s="238">
        <f t="shared" si="8"/>
        <v>0</v>
      </c>
      <c r="Q55" s="193">
        <v>4476.8000000000002</v>
      </c>
      <c r="R55" s="238">
        <f t="shared" si="9"/>
        <v>87297.600000000006</v>
      </c>
      <c r="S55" s="193">
        <v>0</v>
      </c>
      <c r="T55" s="238">
        <f t="shared" si="10"/>
        <v>0</v>
      </c>
      <c r="U55" s="193">
        <v>0</v>
      </c>
      <c r="V55" s="238">
        <f t="shared" si="11"/>
        <v>0</v>
      </c>
      <c r="W55" s="193">
        <v>8134.5999999999767</v>
      </c>
      <c r="X55" s="238">
        <f t="shared" si="12"/>
        <v>158624.69999999955</v>
      </c>
      <c r="Y55" s="193">
        <v>0</v>
      </c>
      <c r="Z55" s="238">
        <f t="shared" si="13"/>
        <v>0</v>
      </c>
      <c r="AA55" s="193">
        <v>0</v>
      </c>
      <c r="AB55" s="238">
        <f t="shared" si="14"/>
        <v>0</v>
      </c>
      <c r="AC55" s="193">
        <v>0</v>
      </c>
      <c r="AD55" s="238">
        <f t="shared" si="15"/>
        <v>0</v>
      </c>
      <c r="AE55" s="193">
        <v>0</v>
      </c>
      <c r="AF55" s="238">
        <f t="shared" si="16"/>
        <v>0</v>
      </c>
      <c r="AG55" s="193">
        <v>0</v>
      </c>
      <c r="AH55" s="238">
        <f t="shared" si="17"/>
        <v>0</v>
      </c>
      <c r="AI55" s="193">
        <v>0</v>
      </c>
      <c r="AJ55" s="238">
        <f t="shared" si="18"/>
        <v>0</v>
      </c>
      <c r="AK55" s="193">
        <v>0</v>
      </c>
      <c r="AL55" s="238">
        <f t="shared" si="19"/>
        <v>0</v>
      </c>
      <c r="AM55" s="193">
        <v>0</v>
      </c>
      <c r="AN55" s="238">
        <f t="shared" si="20"/>
        <v>0</v>
      </c>
      <c r="AO55" s="193">
        <v>0</v>
      </c>
      <c r="AP55" s="238">
        <f t="shared" si="21"/>
        <v>0</v>
      </c>
      <c r="AQ55" s="193">
        <v>0</v>
      </c>
      <c r="AR55" s="238">
        <f t="shared" si="22"/>
        <v>0</v>
      </c>
      <c r="AS55" s="193">
        <v>0</v>
      </c>
      <c r="AT55" s="238">
        <f t="shared" si="23"/>
        <v>0</v>
      </c>
      <c r="AU55" s="193">
        <v>0</v>
      </c>
      <c r="AV55" s="238">
        <f t="shared" si="24"/>
        <v>0</v>
      </c>
      <c r="AW55" s="193">
        <v>0</v>
      </c>
      <c r="AX55" s="238">
        <f t="shared" si="25"/>
        <v>0</v>
      </c>
      <c r="AY55" s="193">
        <v>0</v>
      </c>
      <c r="AZ55" s="238">
        <f t="shared" si="26"/>
        <v>0</v>
      </c>
      <c r="BA55" s="193">
        <v>0</v>
      </c>
      <c r="BB55" s="238">
        <f t="shared" si="27"/>
        <v>0</v>
      </c>
      <c r="BC55" s="193">
        <v>0</v>
      </c>
      <c r="BD55" s="238">
        <f t="shared" si="28"/>
        <v>0</v>
      </c>
      <c r="BE55" s="193">
        <v>0</v>
      </c>
      <c r="BF55" s="238">
        <f t="shared" si="29"/>
        <v>0</v>
      </c>
      <c r="BG55" s="193">
        <v>5558.1999999999998</v>
      </c>
      <c r="BH55" s="238">
        <f t="shared" si="30"/>
        <v>108384.89999999999</v>
      </c>
      <c r="BI55" s="193">
        <v>0</v>
      </c>
      <c r="BJ55" s="238">
        <f t="shared" si="31"/>
        <v>0</v>
      </c>
      <c r="BK55" s="193">
        <v>0</v>
      </c>
      <c r="BL55" s="238">
        <f t="shared" si="32"/>
        <v>0</v>
      </c>
      <c r="BM55" s="193">
        <v>7766.4300000000003</v>
      </c>
      <c r="BN55" s="238">
        <f t="shared" si="33"/>
        <v>151445.38500000001</v>
      </c>
      <c r="BO55" s="193">
        <v>0</v>
      </c>
      <c r="BP55" s="238">
        <f t="shared" si="34"/>
        <v>0</v>
      </c>
      <c r="BQ55" s="193">
        <v>0</v>
      </c>
      <c r="BR55" s="238">
        <f t="shared" si="35"/>
        <v>0</v>
      </c>
      <c r="BS55" s="225"/>
      <c r="BT55" s="239">
        <f t="shared" si="36"/>
        <v>28723.899999999976</v>
      </c>
      <c r="BU55" s="238">
        <f t="shared" si="38"/>
        <v>560116.04999999958</v>
      </c>
    </row>
    <row r="56" spans="1:73" ht="14.25">
      <c r="A56" s="241">
        <v>2001</v>
      </c>
      <c r="B56" s="528">
        <f t="shared" si="37"/>
        <v>18.5</v>
      </c>
      <c r="C56" s="193">
        <v>0</v>
      </c>
      <c r="D56" s="238">
        <f t="shared" si="2"/>
        <v>0</v>
      </c>
      <c r="E56" s="193">
        <v>0</v>
      </c>
      <c r="F56" s="238">
        <f t="shared" si="3"/>
        <v>0</v>
      </c>
      <c r="G56" s="193">
        <v>2086.6599999999999</v>
      </c>
      <c r="H56" s="238">
        <f t="shared" si="4"/>
        <v>38603.209999999999</v>
      </c>
      <c r="I56" s="193">
        <v>15215.499174928644</v>
      </c>
      <c r="J56" s="238">
        <f t="shared" si="5"/>
        <v>281486.73473617993</v>
      </c>
      <c r="K56" s="193">
        <v>0</v>
      </c>
      <c r="L56" s="238">
        <f t="shared" si="6"/>
        <v>0</v>
      </c>
      <c r="M56" s="193">
        <v>0</v>
      </c>
      <c r="N56" s="238">
        <f t="shared" si="7"/>
        <v>0</v>
      </c>
      <c r="O56" s="193">
        <v>0</v>
      </c>
      <c r="P56" s="238">
        <f t="shared" si="8"/>
        <v>0</v>
      </c>
      <c r="Q56" s="193">
        <v>7312.5200000000004</v>
      </c>
      <c r="R56" s="238">
        <f t="shared" si="9"/>
        <v>135281.62</v>
      </c>
      <c r="S56" s="193">
        <v>2939.52</v>
      </c>
      <c r="T56" s="238">
        <f t="shared" si="10"/>
        <v>54381.120000000003</v>
      </c>
      <c r="U56" s="193">
        <v>0</v>
      </c>
      <c r="V56" s="238">
        <f t="shared" si="11"/>
        <v>0</v>
      </c>
      <c r="W56" s="193">
        <v>1619.1900000000001</v>
      </c>
      <c r="X56" s="238">
        <f t="shared" si="12"/>
        <v>29955.014999999999</v>
      </c>
      <c r="Y56" s="193">
        <v>0</v>
      </c>
      <c r="Z56" s="238">
        <f t="shared" si="13"/>
        <v>0</v>
      </c>
      <c r="AA56" s="193">
        <v>0</v>
      </c>
      <c r="AB56" s="238">
        <f t="shared" si="14"/>
        <v>0</v>
      </c>
      <c r="AC56" s="193">
        <v>0</v>
      </c>
      <c r="AD56" s="238">
        <f t="shared" si="15"/>
        <v>0</v>
      </c>
      <c r="AE56" s="193">
        <v>0</v>
      </c>
      <c r="AF56" s="238">
        <f t="shared" si="16"/>
        <v>0</v>
      </c>
      <c r="AG56" s="193">
        <v>0</v>
      </c>
      <c r="AH56" s="238">
        <f t="shared" si="17"/>
        <v>0</v>
      </c>
      <c r="AI56" s="193">
        <v>0</v>
      </c>
      <c r="AJ56" s="238">
        <f t="shared" si="18"/>
        <v>0</v>
      </c>
      <c r="AK56" s="193">
        <v>0</v>
      </c>
      <c r="AL56" s="238">
        <f t="shared" si="19"/>
        <v>0</v>
      </c>
      <c r="AM56" s="193">
        <v>0</v>
      </c>
      <c r="AN56" s="238">
        <f t="shared" si="20"/>
        <v>0</v>
      </c>
      <c r="AO56" s="193">
        <v>0</v>
      </c>
      <c r="AP56" s="238">
        <f t="shared" si="21"/>
        <v>0</v>
      </c>
      <c r="AQ56" s="193">
        <v>0</v>
      </c>
      <c r="AR56" s="238">
        <f t="shared" si="22"/>
        <v>0</v>
      </c>
      <c r="AS56" s="193">
        <v>0</v>
      </c>
      <c r="AT56" s="238">
        <f t="shared" si="23"/>
        <v>0</v>
      </c>
      <c r="AU56" s="193">
        <v>0</v>
      </c>
      <c r="AV56" s="238">
        <f t="shared" si="24"/>
        <v>0</v>
      </c>
      <c r="AW56" s="193">
        <v>0</v>
      </c>
      <c r="AX56" s="238">
        <f t="shared" si="25"/>
        <v>0</v>
      </c>
      <c r="AY56" s="193">
        <v>0</v>
      </c>
      <c r="AZ56" s="238">
        <f t="shared" si="26"/>
        <v>0</v>
      </c>
      <c r="BA56" s="193">
        <v>0</v>
      </c>
      <c r="BB56" s="238">
        <f t="shared" si="27"/>
        <v>0</v>
      </c>
      <c r="BC56" s="193">
        <v>0</v>
      </c>
      <c r="BD56" s="238">
        <f t="shared" si="28"/>
        <v>0</v>
      </c>
      <c r="BE56" s="193">
        <v>0</v>
      </c>
      <c r="BF56" s="238">
        <f t="shared" si="29"/>
        <v>0</v>
      </c>
      <c r="BG56" s="193">
        <v>23428.5</v>
      </c>
      <c r="BH56" s="238">
        <f t="shared" si="30"/>
        <v>433427.25</v>
      </c>
      <c r="BI56" s="193">
        <v>0</v>
      </c>
      <c r="BJ56" s="238">
        <f t="shared" si="31"/>
        <v>0</v>
      </c>
      <c r="BK56" s="193">
        <v>0</v>
      </c>
      <c r="BL56" s="238">
        <f t="shared" si="32"/>
        <v>0</v>
      </c>
      <c r="BM56" s="193">
        <v>8236.0400000000009</v>
      </c>
      <c r="BN56" s="238">
        <f t="shared" si="33"/>
        <v>152366.74000000002</v>
      </c>
      <c r="BO56" s="193">
        <v>27977.810000000001</v>
      </c>
      <c r="BP56" s="238">
        <f t="shared" si="34"/>
        <v>517589.48500000004</v>
      </c>
      <c r="BQ56" s="193">
        <v>0</v>
      </c>
      <c r="BR56" s="238">
        <f t="shared" si="35"/>
        <v>0</v>
      </c>
      <c r="BS56" s="225"/>
      <c r="BT56" s="239">
        <f t="shared" si="36"/>
        <v>88815.739174928662</v>
      </c>
      <c r="BU56" s="238">
        <f t="shared" si="38"/>
        <v>1643091.1747361803</v>
      </c>
    </row>
    <row r="57" spans="1:73" ht="14.25">
      <c r="A57" s="241">
        <v>2002</v>
      </c>
      <c r="B57" s="528">
        <f t="shared" si="37"/>
        <v>17.5</v>
      </c>
      <c r="C57" s="193">
        <v>0</v>
      </c>
      <c r="D57" s="238">
        <f t="shared" si="2"/>
        <v>0</v>
      </c>
      <c r="E57" s="193">
        <v>0</v>
      </c>
      <c r="F57" s="238">
        <f t="shared" si="3"/>
        <v>0</v>
      </c>
      <c r="G57" s="193">
        <v>0</v>
      </c>
      <c r="H57" s="238">
        <f t="shared" si="4"/>
        <v>0</v>
      </c>
      <c r="I57" s="193">
        <v>10.85</v>
      </c>
      <c r="J57" s="238">
        <f t="shared" si="5"/>
        <v>189.875</v>
      </c>
      <c r="K57" s="193">
        <v>0</v>
      </c>
      <c r="L57" s="238">
        <f t="shared" si="6"/>
        <v>0</v>
      </c>
      <c r="M57" s="193">
        <v>0</v>
      </c>
      <c r="N57" s="238">
        <f t="shared" si="7"/>
        <v>0</v>
      </c>
      <c r="O57" s="193">
        <v>0</v>
      </c>
      <c r="P57" s="238">
        <f t="shared" si="8"/>
        <v>0</v>
      </c>
      <c r="Q57" s="193">
        <v>2128.73</v>
      </c>
      <c r="R57" s="238">
        <f t="shared" si="9"/>
        <v>37252.775000000001</v>
      </c>
      <c r="S57" s="193">
        <v>0</v>
      </c>
      <c r="T57" s="238">
        <f t="shared" si="10"/>
        <v>0</v>
      </c>
      <c r="U57" s="193">
        <v>0</v>
      </c>
      <c r="V57" s="238">
        <f t="shared" si="11"/>
        <v>0</v>
      </c>
      <c r="W57" s="193">
        <v>1962.74</v>
      </c>
      <c r="X57" s="238">
        <f t="shared" si="12"/>
        <v>34347.949999999997</v>
      </c>
      <c r="Y57" s="193">
        <v>0</v>
      </c>
      <c r="Z57" s="238">
        <f t="shared" si="13"/>
        <v>0</v>
      </c>
      <c r="AA57" s="193">
        <v>0</v>
      </c>
      <c r="AB57" s="238">
        <f t="shared" si="14"/>
        <v>0</v>
      </c>
      <c r="AC57" s="193">
        <v>0</v>
      </c>
      <c r="AD57" s="238">
        <f t="shared" si="15"/>
        <v>0</v>
      </c>
      <c r="AE57" s="193">
        <v>0</v>
      </c>
      <c r="AF57" s="238">
        <f t="shared" si="16"/>
        <v>0</v>
      </c>
      <c r="AG57" s="193">
        <v>0</v>
      </c>
      <c r="AH57" s="238">
        <f t="shared" si="17"/>
        <v>0</v>
      </c>
      <c r="AI57" s="193">
        <v>0</v>
      </c>
      <c r="AJ57" s="238">
        <f t="shared" si="18"/>
        <v>0</v>
      </c>
      <c r="AK57" s="193">
        <v>0</v>
      </c>
      <c r="AL57" s="238">
        <f t="shared" si="19"/>
        <v>0</v>
      </c>
      <c r="AM57" s="193">
        <v>0</v>
      </c>
      <c r="AN57" s="238">
        <f t="shared" si="20"/>
        <v>0</v>
      </c>
      <c r="AO57" s="193">
        <v>0</v>
      </c>
      <c r="AP57" s="238">
        <f t="shared" si="21"/>
        <v>0</v>
      </c>
      <c r="AQ57" s="193">
        <v>0</v>
      </c>
      <c r="AR57" s="238">
        <f t="shared" si="22"/>
        <v>0</v>
      </c>
      <c r="AS57" s="193">
        <v>0</v>
      </c>
      <c r="AT57" s="238">
        <f t="shared" si="23"/>
        <v>0</v>
      </c>
      <c r="AU57" s="193">
        <v>0</v>
      </c>
      <c r="AV57" s="238">
        <f t="shared" si="24"/>
        <v>0</v>
      </c>
      <c r="AW57" s="193">
        <v>0</v>
      </c>
      <c r="AX57" s="238">
        <f t="shared" si="25"/>
        <v>0</v>
      </c>
      <c r="AY57" s="193">
        <v>0</v>
      </c>
      <c r="AZ57" s="238">
        <f t="shared" si="26"/>
        <v>0</v>
      </c>
      <c r="BA57" s="193">
        <v>0</v>
      </c>
      <c r="BB57" s="238">
        <f t="shared" si="27"/>
        <v>0</v>
      </c>
      <c r="BC57" s="193">
        <v>0</v>
      </c>
      <c r="BD57" s="238">
        <f t="shared" si="28"/>
        <v>0</v>
      </c>
      <c r="BE57" s="193">
        <v>0</v>
      </c>
      <c r="BF57" s="238">
        <f t="shared" si="29"/>
        <v>0</v>
      </c>
      <c r="BG57" s="193">
        <v>100409.73</v>
      </c>
      <c r="BH57" s="238">
        <f t="shared" si="30"/>
        <v>1757170.2749999999</v>
      </c>
      <c r="BI57" s="193">
        <v>0</v>
      </c>
      <c r="BJ57" s="238">
        <f t="shared" si="31"/>
        <v>0</v>
      </c>
      <c r="BK57" s="193">
        <v>0</v>
      </c>
      <c r="BL57" s="238">
        <f t="shared" si="32"/>
        <v>0</v>
      </c>
      <c r="BM57" s="193">
        <v>36499.370000000003</v>
      </c>
      <c r="BN57" s="238">
        <f t="shared" si="33"/>
        <v>638738.97500000009</v>
      </c>
      <c r="BO57" s="193">
        <v>755.77999999999997</v>
      </c>
      <c r="BP57" s="238">
        <f t="shared" si="34"/>
        <v>13226.15</v>
      </c>
      <c r="BQ57" s="193">
        <v>0</v>
      </c>
      <c r="BR57" s="238">
        <f t="shared" si="35"/>
        <v>0</v>
      </c>
      <c r="BS57" s="225"/>
      <c r="BT57" s="239">
        <f t="shared" si="36"/>
        <v>141767.20000000001</v>
      </c>
      <c r="BU57" s="238">
        <f t="shared" si="38"/>
        <v>2480926</v>
      </c>
    </row>
    <row r="58" spans="1:73" ht="14.25">
      <c r="A58" s="241">
        <v>2003</v>
      </c>
      <c r="B58" s="528">
        <f t="shared" si="37"/>
        <v>16.5</v>
      </c>
      <c r="C58" s="193">
        <v>0</v>
      </c>
      <c r="D58" s="238">
        <f t="shared" si="2"/>
        <v>0</v>
      </c>
      <c r="E58" s="193">
        <v>0</v>
      </c>
      <c r="F58" s="238">
        <f t="shared" si="3"/>
        <v>0</v>
      </c>
      <c r="G58" s="193">
        <v>0</v>
      </c>
      <c r="H58" s="238">
        <f t="shared" si="4"/>
        <v>0</v>
      </c>
      <c r="I58" s="193">
        <v>0</v>
      </c>
      <c r="J58" s="238">
        <f t="shared" si="5"/>
        <v>0</v>
      </c>
      <c r="K58" s="193">
        <v>0</v>
      </c>
      <c r="L58" s="238">
        <f t="shared" si="6"/>
        <v>0</v>
      </c>
      <c r="M58" s="193">
        <v>0</v>
      </c>
      <c r="N58" s="238">
        <f t="shared" si="7"/>
        <v>0</v>
      </c>
      <c r="O58" s="193">
        <v>0</v>
      </c>
      <c r="P58" s="238">
        <f t="shared" si="8"/>
        <v>0</v>
      </c>
      <c r="Q58" s="193">
        <v>1155.5799999999999</v>
      </c>
      <c r="R58" s="238">
        <f t="shared" si="9"/>
        <v>19067.07</v>
      </c>
      <c r="S58" s="193">
        <v>0</v>
      </c>
      <c r="T58" s="238">
        <f t="shared" si="10"/>
        <v>0</v>
      </c>
      <c r="U58" s="193">
        <v>0</v>
      </c>
      <c r="V58" s="238">
        <f t="shared" si="11"/>
        <v>0</v>
      </c>
      <c r="W58" s="193">
        <v>4048.0700000000002</v>
      </c>
      <c r="X58" s="238">
        <f t="shared" si="12"/>
        <v>66793.154999999999</v>
      </c>
      <c r="Y58" s="193">
        <v>0</v>
      </c>
      <c r="Z58" s="238">
        <f t="shared" si="13"/>
        <v>0</v>
      </c>
      <c r="AA58" s="193">
        <v>0</v>
      </c>
      <c r="AB58" s="238">
        <f t="shared" si="14"/>
        <v>0</v>
      </c>
      <c r="AC58" s="193">
        <v>0</v>
      </c>
      <c r="AD58" s="238">
        <f t="shared" si="15"/>
        <v>0</v>
      </c>
      <c r="AE58" s="193">
        <v>0</v>
      </c>
      <c r="AF58" s="238">
        <f t="shared" si="16"/>
        <v>0</v>
      </c>
      <c r="AG58" s="193">
        <v>0</v>
      </c>
      <c r="AH58" s="238">
        <f t="shared" si="17"/>
        <v>0</v>
      </c>
      <c r="AI58" s="193">
        <v>0</v>
      </c>
      <c r="AJ58" s="238">
        <f t="shared" si="18"/>
        <v>0</v>
      </c>
      <c r="AK58" s="193">
        <v>0</v>
      </c>
      <c r="AL58" s="238">
        <f t="shared" si="19"/>
        <v>0</v>
      </c>
      <c r="AM58" s="193">
        <v>0</v>
      </c>
      <c r="AN58" s="238">
        <f t="shared" si="20"/>
        <v>0</v>
      </c>
      <c r="AO58" s="193">
        <v>0</v>
      </c>
      <c r="AP58" s="238">
        <f t="shared" si="21"/>
        <v>0</v>
      </c>
      <c r="AQ58" s="193">
        <v>0</v>
      </c>
      <c r="AR58" s="238">
        <f t="shared" si="22"/>
        <v>0</v>
      </c>
      <c r="AS58" s="193">
        <v>0</v>
      </c>
      <c r="AT58" s="238">
        <f t="shared" si="23"/>
        <v>0</v>
      </c>
      <c r="AU58" s="193">
        <v>0</v>
      </c>
      <c r="AV58" s="238">
        <f t="shared" si="24"/>
        <v>0</v>
      </c>
      <c r="AW58" s="193">
        <v>0</v>
      </c>
      <c r="AX58" s="238">
        <f t="shared" si="25"/>
        <v>0</v>
      </c>
      <c r="AY58" s="193">
        <v>16497.5</v>
      </c>
      <c r="AZ58" s="238">
        <f t="shared" si="26"/>
        <v>272208.75</v>
      </c>
      <c r="BA58" s="193">
        <v>0</v>
      </c>
      <c r="BB58" s="238">
        <f t="shared" si="27"/>
        <v>0</v>
      </c>
      <c r="BC58" s="193">
        <v>0</v>
      </c>
      <c r="BD58" s="238">
        <f t="shared" si="28"/>
        <v>0</v>
      </c>
      <c r="BE58" s="193">
        <v>0</v>
      </c>
      <c r="BF58" s="238">
        <f t="shared" si="29"/>
        <v>0</v>
      </c>
      <c r="BG58" s="193">
        <v>18682.630000000001</v>
      </c>
      <c r="BH58" s="238">
        <f t="shared" si="30"/>
        <v>308263.39500000002</v>
      </c>
      <c r="BI58" s="193">
        <v>0</v>
      </c>
      <c r="BJ58" s="238">
        <f t="shared" si="31"/>
        <v>0</v>
      </c>
      <c r="BK58" s="193">
        <v>0</v>
      </c>
      <c r="BL58" s="238">
        <f t="shared" si="32"/>
        <v>0</v>
      </c>
      <c r="BM58" s="193">
        <v>77991.910000000003</v>
      </c>
      <c r="BN58" s="238">
        <f t="shared" si="33"/>
        <v>1286866.5150000001</v>
      </c>
      <c r="BO58" s="193">
        <v>0</v>
      </c>
      <c r="BP58" s="238">
        <f t="shared" si="34"/>
        <v>0</v>
      </c>
      <c r="BQ58" s="193">
        <v>0</v>
      </c>
      <c r="BR58" s="238">
        <f t="shared" si="35"/>
        <v>0</v>
      </c>
      <c r="BS58" s="225"/>
      <c r="BT58" s="239">
        <f t="shared" si="36"/>
        <v>118375.69000000002</v>
      </c>
      <c r="BU58" s="238">
        <f t="shared" si="38"/>
        <v>1953198.8850000002</v>
      </c>
    </row>
    <row r="59" spans="1:73" ht="14.25">
      <c r="A59" s="241">
        <v>2004</v>
      </c>
      <c r="B59" s="528">
        <f t="shared" si="37"/>
        <v>15.5</v>
      </c>
      <c r="C59" s="193">
        <v>0</v>
      </c>
      <c r="D59" s="238">
        <f t="shared" si="2"/>
        <v>0</v>
      </c>
      <c r="E59" s="193">
        <v>0</v>
      </c>
      <c r="F59" s="238">
        <f t="shared" si="3"/>
        <v>0</v>
      </c>
      <c r="G59" s="193">
        <v>20986.610000000001</v>
      </c>
      <c r="H59" s="238">
        <f t="shared" si="4"/>
        <v>325292.45500000002</v>
      </c>
      <c r="I59" s="193">
        <v>0</v>
      </c>
      <c r="J59" s="238">
        <f t="shared" si="5"/>
        <v>0</v>
      </c>
      <c r="K59" s="193">
        <v>0</v>
      </c>
      <c r="L59" s="238">
        <f t="shared" si="6"/>
        <v>0</v>
      </c>
      <c r="M59" s="193">
        <v>0</v>
      </c>
      <c r="N59" s="238">
        <f t="shared" si="7"/>
        <v>0</v>
      </c>
      <c r="O59" s="193">
        <v>0</v>
      </c>
      <c r="P59" s="238">
        <f t="shared" si="8"/>
        <v>0</v>
      </c>
      <c r="Q59" s="193">
        <v>1305.21</v>
      </c>
      <c r="R59" s="238">
        <f t="shared" si="9"/>
        <v>20230.755000000001</v>
      </c>
      <c r="S59" s="193">
        <v>0</v>
      </c>
      <c r="T59" s="238">
        <f t="shared" si="10"/>
        <v>0</v>
      </c>
      <c r="U59" s="193">
        <v>0</v>
      </c>
      <c r="V59" s="238">
        <f t="shared" si="11"/>
        <v>0</v>
      </c>
      <c r="W59" s="193">
        <v>5488.21</v>
      </c>
      <c r="X59" s="238">
        <f t="shared" si="12"/>
        <v>85067.255000000005</v>
      </c>
      <c r="Y59" s="193">
        <v>0</v>
      </c>
      <c r="Z59" s="238">
        <f t="shared" si="13"/>
        <v>0</v>
      </c>
      <c r="AA59" s="193">
        <v>0</v>
      </c>
      <c r="AB59" s="238">
        <f t="shared" si="14"/>
        <v>0</v>
      </c>
      <c r="AC59" s="193">
        <v>0</v>
      </c>
      <c r="AD59" s="238">
        <f t="shared" si="15"/>
        <v>0</v>
      </c>
      <c r="AE59" s="193">
        <v>0</v>
      </c>
      <c r="AF59" s="238">
        <f t="shared" si="16"/>
        <v>0</v>
      </c>
      <c r="AG59" s="193">
        <v>0</v>
      </c>
      <c r="AH59" s="238">
        <f t="shared" si="17"/>
        <v>0</v>
      </c>
      <c r="AI59" s="193">
        <v>0</v>
      </c>
      <c r="AJ59" s="238">
        <f t="shared" si="18"/>
        <v>0</v>
      </c>
      <c r="AK59" s="193">
        <v>0</v>
      </c>
      <c r="AL59" s="238">
        <f t="shared" si="19"/>
        <v>0</v>
      </c>
      <c r="AM59" s="193">
        <v>0</v>
      </c>
      <c r="AN59" s="238">
        <f t="shared" si="20"/>
        <v>0</v>
      </c>
      <c r="AO59" s="193">
        <v>0</v>
      </c>
      <c r="AP59" s="238">
        <f t="shared" si="21"/>
        <v>0</v>
      </c>
      <c r="AQ59" s="193">
        <v>0</v>
      </c>
      <c r="AR59" s="238">
        <f t="shared" si="22"/>
        <v>0</v>
      </c>
      <c r="AS59" s="193">
        <v>0</v>
      </c>
      <c r="AT59" s="238">
        <f t="shared" si="23"/>
        <v>0</v>
      </c>
      <c r="AU59" s="193">
        <v>0</v>
      </c>
      <c r="AV59" s="238">
        <f t="shared" si="24"/>
        <v>0</v>
      </c>
      <c r="AW59" s="193">
        <v>0</v>
      </c>
      <c r="AX59" s="238">
        <f t="shared" si="25"/>
        <v>0</v>
      </c>
      <c r="AY59" s="193">
        <v>0</v>
      </c>
      <c r="AZ59" s="238">
        <f t="shared" si="26"/>
        <v>0</v>
      </c>
      <c r="BA59" s="193">
        <v>0</v>
      </c>
      <c r="BB59" s="238">
        <f t="shared" si="27"/>
        <v>0</v>
      </c>
      <c r="BC59" s="193">
        <v>0</v>
      </c>
      <c r="BD59" s="238">
        <f t="shared" si="28"/>
        <v>0</v>
      </c>
      <c r="BE59" s="193">
        <v>0</v>
      </c>
      <c r="BF59" s="238">
        <f t="shared" si="29"/>
        <v>0</v>
      </c>
      <c r="BG59" s="193">
        <v>0</v>
      </c>
      <c r="BH59" s="238">
        <f t="shared" si="30"/>
        <v>0</v>
      </c>
      <c r="BI59" s="193">
        <v>0</v>
      </c>
      <c r="BJ59" s="238">
        <f t="shared" si="31"/>
        <v>0</v>
      </c>
      <c r="BK59" s="193">
        <v>0</v>
      </c>
      <c r="BL59" s="238">
        <f t="shared" si="32"/>
        <v>0</v>
      </c>
      <c r="BM59" s="193">
        <v>0</v>
      </c>
      <c r="BN59" s="238">
        <f t="shared" si="33"/>
        <v>0</v>
      </c>
      <c r="BO59" s="193">
        <v>0</v>
      </c>
      <c r="BP59" s="238">
        <f t="shared" si="34"/>
        <v>0</v>
      </c>
      <c r="BQ59" s="193">
        <v>0</v>
      </c>
      <c r="BR59" s="238">
        <f t="shared" si="35"/>
        <v>0</v>
      </c>
      <c r="BS59" s="225"/>
      <c r="BT59" s="239">
        <f t="shared" si="36"/>
        <v>27780.029999999999</v>
      </c>
      <c r="BU59" s="238">
        <f t="shared" si="38"/>
        <v>430590.46499999997</v>
      </c>
    </row>
    <row r="60" spans="1:73" ht="14.25">
      <c r="A60" s="241">
        <v>2005</v>
      </c>
      <c r="B60" s="528">
        <f t="shared" si="37"/>
        <v>14.5</v>
      </c>
      <c r="C60" s="193">
        <v>0</v>
      </c>
      <c r="D60" s="238">
        <f t="shared" si="2"/>
        <v>0</v>
      </c>
      <c r="E60" s="193">
        <v>0</v>
      </c>
      <c r="F60" s="238">
        <f t="shared" si="3"/>
        <v>0</v>
      </c>
      <c r="G60" s="193">
        <v>0</v>
      </c>
      <c r="H60" s="238">
        <f t="shared" si="4"/>
        <v>0</v>
      </c>
      <c r="I60" s="193">
        <v>0</v>
      </c>
      <c r="J60" s="238">
        <f t="shared" si="5"/>
        <v>0</v>
      </c>
      <c r="K60" s="193">
        <v>0</v>
      </c>
      <c r="L60" s="238">
        <f t="shared" si="6"/>
        <v>0</v>
      </c>
      <c r="M60" s="193">
        <v>0</v>
      </c>
      <c r="N60" s="238">
        <f t="shared" si="7"/>
        <v>0</v>
      </c>
      <c r="O60" s="193">
        <v>0</v>
      </c>
      <c r="P60" s="238">
        <f t="shared" si="8"/>
        <v>0</v>
      </c>
      <c r="Q60" s="193">
        <v>1584.78</v>
      </c>
      <c r="R60" s="238">
        <f t="shared" si="9"/>
        <v>22979.310000000001</v>
      </c>
      <c r="S60" s="193">
        <v>0</v>
      </c>
      <c r="T60" s="238">
        <f t="shared" si="10"/>
        <v>0</v>
      </c>
      <c r="U60" s="193">
        <v>0</v>
      </c>
      <c r="V60" s="238">
        <f t="shared" si="11"/>
        <v>0</v>
      </c>
      <c r="W60" s="193">
        <v>6251.54</v>
      </c>
      <c r="X60" s="238">
        <f t="shared" si="12"/>
        <v>90647.330000000002</v>
      </c>
      <c r="Y60" s="193">
        <v>0</v>
      </c>
      <c r="Z60" s="238">
        <f t="shared" si="13"/>
        <v>0</v>
      </c>
      <c r="AA60" s="193">
        <v>0</v>
      </c>
      <c r="AB60" s="238">
        <f t="shared" si="14"/>
        <v>0</v>
      </c>
      <c r="AC60" s="193">
        <v>0</v>
      </c>
      <c r="AD60" s="238">
        <f t="shared" si="15"/>
        <v>0</v>
      </c>
      <c r="AE60" s="193">
        <v>0</v>
      </c>
      <c r="AF60" s="238">
        <f t="shared" si="16"/>
        <v>0</v>
      </c>
      <c r="AG60" s="193">
        <v>0</v>
      </c>
      <c r="AH60" s="238">
        <f t="shared" si="17"/>
        <v>0</v>
      </c>
      <c r="AI60" s="193">
        <v>0</v>
      </c>
      <c r="AJ60" s="238">
        <f t="shared" si="18"/>
        <v>0</v>
      </c>
      <c r="AK60" s="193">
        <v>0</v>
      </c>
      <c r="AL60" s="238">
        <f t="shared" si="19"/>
        <v>0</v>
      </c>
      <c r="AM60" s="193">
        <v>0</v>
      </c>
      <c r="AN60" s="238">
        <f t="shared" si="20"/>
        <v>0</v>
      </c>
      <c r="AO60" s="193">
        <v>0</v>
      </c>
      <c r="AP60" s="238">
        <f t="shared" si="21"/>
        <v>0</v>
      </c>
      <c r="AQ60" s="193">
        <v>0</v>
      </c>
      <c r="AR60" s="238">
        <f t="shared" si="22"/>
        <v>0</v>
      </c>
      <c r="AS60" s="193">
        <v>0</v>
      </c>
      <c r="AT60" s="238">
        <f t="shared" si="23"/>
        <v>0</v>
      </c>
      <c r="AU60" s="193">
        <v>0</v>
      </c>
      <c r="AV60" s="238">
        <f t="shared" si="24"/>
        <v>0</v>
      </c>
      <c r="AW60" s="193">
        <v>0</v>
      </c>
      <c r="AX60" s="238">
        <f t="shared" si="25"/>
        <v>0</v>
      </c>
      <c r="AY60" s="193">
        <v>19031.080000000002</v>
      </c>
      <c r="AZ60" s="238">
        <f t="shared" si="26"/>
        <v>275950.66000000003</v>
      </c>
      <c r="BA60" s="193">
        <v>0</v>
      </c>
      <c r="BB60" s="238">
        <f t="shared" si="27"/>
        <v>0</v>
      </c>
      <c r="BC60" s="193">
        <v>0</v>
      </c>
      <c r="BD60" s="238">
        <f t="shared" si="28"/>
        <v>0</v>
      </c>
      <c r="BE60" s="193">
        <v>0</v>
      </c>
      <c r="BF60" s="238">
        <f t="shared" si="29"/>
        <v>0</v>
      </c>
      <c r="BG60" s="193">
        <v>0</v>
      </c>
      <c r="BH60" s="238">
        <f t="shared" si="30"/>
        <v>0</v>
      </c>
      <c r="BI60" s="193">
        <v>0</v>
      </c>
      <c r="BJ60" s="238">
        <f t="shared" si="31"/>
        <v>0</v>
      </c>
      <c r="BK60" s="193">
        <v>0</v>
      </c>
      <c r="BL60" s="238">
        <f t="shared" si="32"/>
        <v>0</v>
      </c>
      <c r="BM60" s="193">
        <v>13175.290000000001</v>
      </c>
      <c r="BN60" s="238">
        <f t="shared" si="33"/>
        <v>191041.70500000002</v>
      </c>
      <c r="BO60" s="193">
        <v>0</v>
      </c>
      <c r="BP60" s="238">
        <f t="shared" si="34"/>
        <v>0</v>
      </c>
      <c r="BQ60" s="193">
        <v>0</v>
      </c>
      <c r="BR60" s="238">
        <f t="shared" si="35"/>
        <v>0</v>
      </c>
      <c r="BS60" s="225"/>
      <c r="BT60" s="239">
        <f t="shared" si="36"/>
        <v>40042.690000000002</v>
      </c>
      <c r="BU60" s="238">
        <f t="shared" si="38"/>
        <v>580619.005</v>
      </c>
    </row>
    <row r="61" spans="1:73" ht="14.25">
      <c r="A61" s="241">
        <v>2006</v>
      </c>
      <c r="B61" s="528">
        <f t="shared" si="37"/>
        <v>13.5</v>
      </c>
      <c r="C61" s="193">
        <v>0</v>
      </c>
      <c r="D61" s="238">
        <f t="shared" si="2"/>
        <v>0</v>
      </c>
      <c r="E61" s="193">
        <v>0</v>
      </c>
      <c r="F61" s="238">
        <f t="shared" si="3"/>
        <v>0</v>
      </c>
      <c r="G61" s="193">
        <v>0</v>
      </c>
      <c r="H61" s="238">
        <f t="shared" si="4"/>
        <v>0</v>
      </c>
      <c r="I61" s="193">
        <v>0</v>
      </c>
      <c r="J61" s="238">
        <f t="shared" si="5"/>
        <v>0</v>
      </c>
      <c r="K61" s="193">
        <v>0</v>
      </c>
      <c r="L61" s="238">
        <f t="shared" si="6"/>
        <v>0</v>
      </c>
      <c r="M61" s="193">
        <v>0</v>
      </c>
      <c r="N61" s="238">
        <f t="shared" si="7"/>
        <v>0</v>
      </c>
      <c r="O61" s="193">
        <v>0</v>
      </c>
      <c r="P61" s="238">
        <f t="shared" si="8"/>
        <v>0</v>
      </c>
      <c r="Q61" s="193">
        <v>7072.3599999999997</v>
      </c>
      <c r="R61" s="238">
        <f t="shared" si="9"/>
        <v>95476.860000000001</v>
      </c>
      <c r="S61" s="193">
        <v>0</v>
      </c>
      <c r="T61" s="238">
        <f t="shared" si="10"/>
        <v>0</v>
      </c>
      <c r="U61" s="193">
        <v>0</v>
      </c>
      <c r="V61" s="238">
        <f t="shared" si="11"/>
        <v>0</v>
      </c>
      <c r="W61" s="193">
        <v>19972.73</v>
      </c>
      <c r="X61" s="238">
        <f t="shared" si="12"/>
        <v>269631.85499999998</v>
      </c>
      <c r="Y61" s="193">
        <v>0</v>
      </c>
      <c r="Z61" s="238">
        <f t="shared" si="13"/>
        <v>0</v>
      </c>
      <c r="AA61" s="193">
        <v>0</v>
      </c>
      <c r="AB61" s="238">
        <f t="shared" si="14"/>
        <v>0</v>
      </c>
      <c r="AC61" s="193">
        <v>0</v>
      </c>
      <c r="AD61" s="238">
        <f t="shared" si="15"/>
        <v>0</v>
      </c>
      <c r="AE61" s="193">
        <v>0</v>
      </c>
      <c r="AF61" s="238">
        <f t="shared" si="16"/>
        <v>0</v>
      </c>
      <c r="AG61" s="193">
        <v>0</v>
      </c>
      <c r="AH61" s="238">
        <f t="shared" si="17"/>
        <v>0</v>
      </c>
      <c r="AI61" s="193">
        <v>0</v>
      </c>
      <c r="AJ61" s="238">
        <f t="shared" si="18"/>
        <v>0</v>
      </c>
      <c r="AK61" s="193">
        <v>0</v>
      </c>
      <c r="AL61" s="238">
        <f t="shared" si="19"/>
        <v>0</v>
      </c>
      <c r="AM61" s="193">
        <v>0</v>
      </c>
      <c r="AN61" s="238">
        <f t="shared" si="20"/>
        <v>0</v>
      </c>
      <c r="AO61" s="193">
        <v>0</v>
      </c>
      <c r="AP61" s="238">
        <f t="shared" si="21"/>
        <v>0</v>
      </c>
      <c r="AQ61" s="193">
        <v>0</v>
      </c>
      <c r="AR61" s="238">
        <f t="shared" si="22"/>
        <v>0</v>
      </c>
      <c r="AS61" s="193">
        <v>1212.8900000000001</v>
      </c>
      <c r="AT61" s="238">
        <f t="shared" si="23"/>
        <v>16374.015000000001</v>
      </c>
      <c r="AU61" s="193">
        <v>0</v>
      </c>
      <c r="AV61" s="238">
        <f t="shared" si="24"/>
        <v>0</v>
      </c>
      <c r="AW61" s="193">
        <v>0</v>
      </c>
      <c r="AX61" s="238">
        <f t="shared" si="25"/>
        <v>0</v>
      </c>
      <c r="AY61" s="193">
        <v>96176.820000000007</v>
      </c>
      <c r="AZ61" s="238">
        <f t="shared" si="26"/>
        <v>1298387.0700000001</v>
      </c>
      <c r="BA61" s="193">
        <v>0</v>
      </c>
      <c r="BB61" s="238">
        <f t="shared" si="27"/>
        <v>0</v>
      </c>
      <c r="BC61" s="193">
        <v>0</v>
      </c>
      <c r="BD61" s="238">
        <f t="shared" si="28"/>
        <v>0</v>
      </c>
      <c r="BE61" s="193">
        <v>0</v>
      </c>
      <c r="BF61" s="238">
        <f t="shared" si="29"/>
        <v>0</v>
      </c>
      <c r="BG61" s="193">
        <v>0</v>
      </c>
      <c r="BH61" s="238">
        <f t="shared" si="30"/>
        <v>0</v>
      </c>
      <c r="BI61" s="193">
        <v>0</v>
      </c>
      <c r="BJ61" s="238">
        <f t="shared" si="31"/>
        <v>0</v>
      </c>
      <c r="BK61" s="193">
        <v>0</v>
      </c>
      <c r="BL61" s="238">
        <f t="shared" si="32"/>
        <v>0</v>
      </c>
      <c r="BM61" s="193">
        <v>6975</v>
      </c>
      <c r="BN61" s="238">
        <f t="shared" si="33"/>
        <v>94162.5</v>
      </c>
      <c r="BO61" s="193">
        <v>0</v>
      </c>
      <c r="BP61" s="238">
        <f t="shared" si="34"/>
        <v>0</v>
      </c>
      <c r="BQ61" s="193">
        <v>0</v>
      </c>
      <c r="BR61" s="238">
        <f t="shared" si="35"/>
        <v>0</v>
      </c>
      <c r="BS61" s="225"/>
      <c r="BT61" s="239">
        <f t="shared" si="36"/>
        <v>131409.80000000002</v>
      </c>
      <c r="BU61" s="238">
        <f t="shared" si="38"/>
        <v>1774032.3000000003</v>
      </c>
    </row>
    <row r="62" spans="1:73" ht="14.25">
      <c r="A62" s="241">
        <v>2007</v>
      </c>
      <c r="B62" s="528">
        <f t="shared" si="37"/>
        <v>12.5</v>
      </c>
      <c r="C62" s="193">
        <v>0</v>
      </c>
      <c r="D62" s="238">
        <f t="shared" si="2"/>
        <v>0</v>
      </c>
      <c r="E62" s="193">
        <v>0</v>
      </c>
      <c r="F62" s="238">
        <f t="shared" si="3"/>
        <v>0</v>
      </c>
      <c r="G62" s="193">
        <v>33.899999999999999</v>
      </c>
      <c r="H62" s="238">
        <f t="shared" si="4"/>
        <v>423.75</v>
      </c>
      <c r="I62" s="193">
        <v>0</v>
      </c>
      <c r="J62" s="238">
        <f t="shared" si="5"/>
        <v>0</v>
      </c>
      <c r="K62" s="193">
        <v>0</v>
      </c>
      <c r="L62" s="238">
        <f t="shared" si="6"/>
        <v>0</v>
      </c>
      <c r="M62" s="193">
        <v>0</v>
      </c>
      <c r="N62" s="238">
        <f t="shared" si="7"/>
        <v>0</v>
      </c>
      <c r="O62" s="193">
        <v>0</v>
      </c>
      <c r="P62" s="238">
        <f t="shared" si="8"/>
        <v>0</v>
      </c>
      <c r="Q62" s="193">
        <v>12586.959999999999</v>
      </c>
      <c r="R62" s="238">
        <f t="shared" si="9"/>
        <v>157337</v>
      </c>
      <c r="S62" s="193">
        <v>0</v>
      </c>
      <c r="T62" s="238">
        <f t="shared" si="10"/>
        <v>0</v>
      </c>
      <c r="U62" s="193">
        <v>0</v>
      </c>
      <c r="V62" s="238">
        <f t="shared" si="11"/>
        <v>0</v>
      </c>
      <c r="W62" s="193">
        <v>20360.66</v>
      </c>
      <c r="X62" s="238">
        <f t="shared" si="12"/>
        <v>254508.25</v>
      </c>
      <c r="Y62" s="193">
        <v>0</v>
      </c>
      <c r="Z62" s="238">
        <f t="shared" si="13"/>
        <v>0</v>
      </c>
      <c r="AA62" s="193">
        <v>0</v>
      </c>
      <c r="AB62" s="238">
        <f t="shared" si="14"/>
        <v>0</v>
      </c>
      <c r="AC62" s="193">
        <v>0</v>
      </c>
      <c r="AD62" s="238">
        <f t="shared" si="15"/>
        <v>0</v>
      </c>
      <c r="AE62" s="193">
        <v>0</v>
      </c>
      <c r="AF62" s="238">
        <f t="shared" si="16"/>
        <v>0</v>
      </c>
      <c r="AG62" s="193">
        <v>0</v>
      </c>
      <c r="AH62" s="238">
        <f t="shared" si="17"/>
        <v>0</v>
      </c>
      <c r="AI62" s="193">
        <v>0</v>
      </c>
      <c r="AJ62" s="238">
        <f t="shared" si="18"/>
        <v>0</v>
      </c>
      <c r="AK62" s="193">
        <v>0</v>
      </c>
      <c r="AL62" s="238">
        <f t="shared" si="19"/>
        <v>0</v>
      </c>
      <c r="AM62" s="193">
        <v>0</v>
      </c>
      <c r="AN62" s="238">
        <f t="shared" si="20"/>
        <v>0</v>
      </c>
      <c r="AO62" s="193">
        <v>0</v>
      </c>
      <c r="AP62" s="238">
        <f t="shared" si="21"/>
        <v>0</v>
      </c>
      <c r="AQ62" s="193">
        <v>0</v>
      </c>
      <c r="AR62" s="238">
        <f t="shared" si="22"/>
        <v>0</v>
      </c>
      <c r="AS62" s="193">
        <v>0</v>
      </c>
      <c r="AT62" s="238">
        <f t="shared" si="23"/>
        <v>0</v>
      </c>
      <c r="AU62" s="193">
        <v>0</v>
      </c>
      <c r="AV62" s="238">
        <f t="shared" si="24"/>
        <v>0</v>
      </c>
      <c r="AW62" s="193">
        <v>19778.849999999999</v>
      </c>
      <c r="AX62" s="238">
        <f t="shared" si="25"/>
        <v>247235.62499999997</v>
      </c>
      <c r="AY62" s="193">
        <v>45948.760000000002</v>
      </c>
      <c r="AZ62" s="238">
        <f t="shared" si="26"/>
        <v>574359.5</v>
      </c>
      <c r="BA62" s="193">
        <v>0</v>
      </c>
      <c r="BB62" s="238">
        <f t="shared" si="27"/>
        <v>0</v>
      </c>
      <c r="BC62" s="193">
        <v>0</v>
      </c>
      <c r="BD62" s="238">
        <f t="shared" si="28"/>
        <v>0</v>
      </c>
      <c r="BE62" s="193">
        <v>0</v>
      </c>
      <c r="BF62" s="238">
        <f t="shared" si="29"/>
        <v>0</v>
      </c>
      <c r="BG62" s="193">
        <v>0</v>
      </c>
      <c r="BH62" s="238">
        <f t="shared" si="30"/>
        <v>0</v>
      </c>
      <c r="BI62" s="193">
        <v>0</v>
      </c>
      <c r="BJ62" s="238">
        <f t="shared" si="31"/>
        <v>0</v>
      </c>
      <c r="BK62" s="193">
        <v>0</v>
      </c>
      <c r="BL62" s="238">
        <f t="shared" si="32"/>
        <v>0</v>
      </c>
      <c r="BM62" s="193">
        <v>0</v>
      </c>
      <c r="BN62" s="238">
        <f t="shared" si="33"/>
        <v>0</v>
      </c>
      <c r="BO62" s="193">
        <v>0</v>
      </c>
      <c r="BP62" s="238">
        <f t="shared" si="34"/>
        <v>0</v>
      </c>
      <c r="BQ62" s="193">
        <v>0</v>
      </c>
      <c r="BR62" s="238">
        <f t="shared" si="35"/>
        <v>0</v>
      </c>
      <c r="BS62" s="225"/>
      <c r="BT62" s="239">
        <f t="shared" si="36"/>
        <v>98709.130000000005</v>
      </c>
      <c r="BU62" s="238">
        <f t="shared" si="38"/>
        <v>1233864.125</v>
      </c>
    </row>
    <row r="63" spans="1:73" ht="14.25">
      <c r="A63" s="241">
        <v>2008</v>
      </c>
      <c r="B63" s="528">
        <f t="shared" si="37"/>
        <v>11.5</v>
      </c>
      <c r="C63" s="193">
        <v>0</v>
      </c>
      <c r="D63" s="238">
        <f t="shared" si="2"/>
        <v>0</v>
      </c>
      <c r="E63" s="193">
        <v>0</v>
      </c>
      <c r="F63" s="238">
        <f t="shared" si="3"/>
        <v>0</v>
      </c>
      <c r="G63" s="193">
        <v>604.20000000000005</v>
      </c>
      <c r="H63" s="238">
        <f t="shared" si="4"/>
        <v>6948.3000000000002</v>
      </c>
      <c r="I63" s="193">
        <v>0</v>
      </c>
      <c r="J63" s="238">
        <f t="shared" si="5"/>
        <v>0</v>
      </c>
      <c r="K63" s="193">
        <v>0</v>
      </c>
      <c r="L63" s="238">
        <f t="shared" si="6"/>
        <v>0</v>
      </c>
      <c r="M63" s="193">
        <v>0</v>
      </c>
      <c r="N63" s="238">
        <f t="shared" si="7"/>
        <v>0</v>
      </c>
      <c r="O63" s="193">
        <v>0</v>
      </c>
      <c r="P63" s="238">
        <f t="shared" si="8"/>
        <v>0</v>
      </c>
      <c r="Q63" s="193">
        <v>13081.870000000001</v>
      </c>
      <c r="R63" s="238">
        <f t="shared" si="9"/>
        <v>150441.505</v>
      </c>
      <c r="S63" s="193">
        <v>0</v>
      </c>
      <c r="T63" s="238">
        <f t="shared" si="10"/>
        <v>0</v>
      </c>
      <c r="U63" s="193">
        <v>0</v>
      </c>
      <c r="V63" s="238">
        <f t="shared" si="11"/>
        <v>0</v>
      </c>
      <c r="W63" s="193">
        <v>4488.2399999999998</v>
      </c>
      <c r="X63" s="238">
        <f t="shared" si="12"/>
        <v>51614.759999999995</v>
      </c>
      <c r="Y63" s="193">
        <v>0</v>
      </c>
      <c r="Z63" s="238">
        <f t="shared" si="13"/>
        <v>0</v>
      </c>
      <c r="AA63" s="193">
        <v>0</v>
      </c>
      <c r="AB63" s="238">
        <f t="shared" si="14"/>
        <v>0</v>
      </c>
      <c r="AC63" s="193">
        <v>0</v>
      </c>
      <c r="AD63" s="238">
        <f t="shared" si="15"/>
        <v>0</v>
      </c>
      <c r="AE63" s="193">
        <v>0</v>
      </c>
      <c r="AF63" s="238">
        <f t="shared" si="16"/>
        <v>0</v>
      </c>
      <c r="AG63" s="193">
        <v>0</v>
      </c>
      <c r="AH63" s="238">
        <f t="shared" si="17"/>
        <v>0</v>
      </c>
      <c r="AI63" s="193">
        <v>0</v>
      </c>
      <c r="AJ63" s="238">
        <f t="shared" si="18"/>
        <v>0</v>
      </c>
      <c r="AK63" s="193">
        <v>0</v>
      </c>
      <c r="AL63" s="238">
        <f t="shared" si="19"/>
        <v>0</v>
      </c>
      <c r="AM63" s="193">
        <v>0</v>
      </c>
      <c r="AN63" s="238">
        <f t="shared" si="20"/>
        <v>0</v>
      </c>
      <c r="AO63" s="193">
        <v>0</v>
      </c>
      <c r="AP63" s="238">
        <f t="shared" si="21"/>
        <v>0</v>
      </c>
      <c r="AQ63" s="193">
        <v>0</v>
      </c>
      <c r="AR63" s="238">
        <f t="shared" si="22"/>
        <v>0</v>
      </c>
      <c r="AS63" s="193">
        <v>0</v>
      </c>
      <c r="AT63" s="238">
        <f t="shared" si="23"/>
        <v>0</v>
      </c>
      <c r="AU63" s="193">
        <v>0</v>
      </c>
      <c r="AV63" s="238">
        <f t="shared" si="24"/>
        <v>0</v>
      </c>
      <c r="AW63" s="193">
        <v>0</v>
      </c>
      <c r="AX63" s="238">
        <f t="shared" si="25"/>
        <v>0</v>
      </c>
      <c r="AY63" s="193">
        <v>0</v>
      </c>
      <c r="AZ63" s="238">
        <f t="shared" si="26"/>
        <v>0</v>
      </c>
      <c r="BA63" s="193">
        <v>0</v>
      </c>
      <c r="BB63" s="238">
        <f t="shared" si="27"/>
        <v>0</v>
      </c>
      <c r="BC63" s="193">
        <v>0</v>
      </c>
      <c r="BD63" s="238">
        <f t="shared" si="28"/>
        <v>0</v>
      </c>
      <c r="BE63" s="193">
        <v>0</v>
      </c>
      <c r="BF63" s="238">
        <f t="shared" si="29"/>
        <v>0</v>
      </c>
      <c r="BG63" s="193">
        <v>0</v>
      </c>
      <c r="BH63" s="238">
        <f t="shared" si="30"/>
        <v>0</v>
      </c>
      <c r="BI63" s="193">
        <v>0</v>
      </c>
      <c r="BJ63" s="238">
        <f t="shared" si="31"/>
        <v>0</v>
      </c>
      <c r="BK63" s="193">
        <v>0</v>
      </c>
      <c r="BL63" s="238">
        <f t="shared" si="32"/>
        <v>0</v>
      </c>
      <c r="BM63" s="193">
        <v>0</v>
      </c>
      <c r="BN63" s="238">
        <f t="shared" si="33"/>
        <v>0</v>
      </c>
      <c r="BO63" s="193">
        <v>0</v>
      </c>
      <c r="BP63" s="238">
        <f t="shared" si="34"/>
        <v>0</v>
      </c>
      <c r="BQ63" s="193">
        <v>0</v>
      </c>
      <c r="BR63" s="238">
        <f t="shared" si="35"/>
        <v>0</v>
      </c>
      <c r="BS63" s="225"/>
      <c r="BT63" s="239">
        <f t="shared" si="36"/>
        <v>18174.310000000001</v>
      </c>
      <c r="BU63" s="238">
        <f t="shared" si="38"/>
        <v>209004.565</v>
      </c>
    </row>
    <row r="64" spans="1:73" ht="14.25">
      <c r="A64" s="241">
        <v>2009</v>
      </c>
      <c r="B64" s="528">
        <f t="shared" si="37"/>
        <v>10.5</v>
      </c>
      <c r="C64" s="193">
        <v>0</v>
      </c>
      <c r="D64" s="238">
        <f t="shared" si="2"/>
        <v>0</v>
      </c>
      <c r="E64" s="193">
        <v>0</v>
      </c>
      <c r="F64" s="238">
        <f t="shared" si="3"/>
        <v>0</v>
      </c>
      <c r="G64" s="193">
        <v>35165.68</v>
      </c>
      <c r="H64" s="238">
        <f t="shared" si="4"/>
        <v>369239.64000000001</v>
      </c>
      <c r="I64" s="193">
        <v>538.83000000000004</v>
      </c>
      <c r="J64" s="238">
        <f t="shared" si="5"/>
        <v>5657.7150000000001</v>
      </c>
      <c r="K64" s="193">
        <v>0</v>
      </c>
      <c r="L64" s="238">
        <f t="shared" si="6"/>
        <v>0</v>
      </c>
      <c r="M64" s="193">
        <v>0</v>
      </c>
      <c r="N64" s="238">
        <f t="shared" si="7"/>
        <v>0</v>
      </c>
      <c r="O64" s="193">
        <v>0</v>
      </c>
      <c r="P64" s="238">
        <f t="shared" si="8"/>
        <v>0</v>
      </c>
      <c r="Q64" s="193">
        <v>3357.4200000000001</v>
      </c>
      <c r="R64" s="238">
        <f t="shared" si="9"/>
        <v>35252.910000000003</v>
      </c>
      <c r="S64" s="193">
        <v>0</v>
      </c>
      <c r="T64" s="238">
        <f t="shared" si="10"/>
        <v>0</v>
      </c>
      <c r="U64" s="193">
        <v>0</v>
      </c>
      <c r="V64" s="238">
        <f t="shared" si="11"/>
        <v>0</v>
      </c>
      <c r="W64" s="193">
        <v>20456.790000000001</v>
      </c>
      <c r="X64" s="238">
        <f t="shared" si="12"/>
        <v>214796.29500000001</v>
      </c>
      <c r="Y64" s="193">
        <v>0</v>
      </c>
      <c r="Z64" s="238">
        <f t="shared" si="13"/>
        <v>0</v>
      </c>
      <c r="AA64" s="193">
        <v>0</v>
      </c>
      <c r="AB64" s="238">
        <f t="shared" si="14"/>
        <v>0</v>
      </c>
      <c r="AC64" s="193">
        <v>0</v>
      </c>
      <c r="AD64" s="238">
        <f t="shared" si="15"/>
        <v>0</v>
      </c>
      <c r="AE64" s="193">
        <v>0</v>
      </c>
      <c r="AF64" s="238">
        <f t="shared" si="16"/>
        <v>0</v>
      </c>
      <c r="AG64" s="193">
        <v>0</v>
      </c>
      <c r="AH64" s="238">
        <f t="shared" si="17"/>
        <v>0</v>
      </c>
      <c r="AI64" s="193">
        <v>0</v>
      </c>
      <c r="AJ64" s="238">
        <f t="shared" si="18"/>
        <v>0</v>
      </c>
      <c r="AK64" s="193">
        <v>0</v>
      </c>
      <c r="AL64" s="238">
        <f t="shared" si="19"/>
        <v>0</v>
      </c>
      <c r="AM64" s="193">
        <v>0</v>
      </c>
      <c r="AN64" s="238">
        <f t="shared" si="20"/>
        <v>0</v>
      </c>
      <c r="AO64" s="193">
        <v>0</v>
      </c>
      <c r="AP64" s="238">
        <f t="shared" si="21"/>
        <v>0</v>
      </c>
      <c r="AQ64" s="193">
        <v>0</v>
      </c>
      <c r="AR64" s="238">
        <f t="shared" si="22"/>
        <v>0</v>
      </c>
      <c r="AS64" s="193">
        <v>0</v>
      </c>
      <c r="AT64" s="238">
        <f t="shared" si="23"/>
        <v>0</v>
      </c>
      <c r="AU64" s="193">
        <v>0</v>
      </c>
      <c r="AV64" s="238">
        <f t="shared" si="24"/>
        <v>0</v>
      </c>
      <c r="AW64" s="193">
        <v>0</v>
      </c>
      <c r="AX64" s="238">
        <f t="shared" si="25"/>
        <v>0</v>
      </c>
      <c r="AY64" s="193">
        <v>0</v>
      </c>
      <c r="AZ64" s="238">
        <f t="shared" si="26"/>
        <v>0</v>
      </c>
      <c r="BA64" s="193">
        <v>0</v>
      </c>
      <c r="BB64" s="238">
        <f t="shared" si="27"/>
        <v>0</v>
      </c>
      <c r="BC64" s="193">
        <v>0</v>
      </c>
      <c r="BD64" s="238">
        <f t="shared" si="28"/>
        <v>0</v>
      </c>
      <c r="BE64" s="193">
        <v>0</v>
      </c>
      <c r="BF64" s="238">
        <f t="shared" si="29"/>
        <v>0</v>
      </c>
      <c r="BG64" s="193">
        <v>0</v>
      </c>
      <c r="BH64" s="238">
        <f t="shared" si="30"/>
        <v>0</v>
      </c>
      <c r="BI64" s="193">
        <v>0</v>
      </c>
      <c r="BJ64" s="238">
        <f t="shared" si="31"/>
        <v>0</v>
      </c>
      <c r="BK64" s="193">
        <v>0</v>
      </c>
      <c r="BL64" s="238">
        <f t="shared" si="32"/>
        <v>0</v>
      </c>
      <c r="BM64" s="193">
        <v>0</v>
      </c>
      <c r="BN64" s="238">
        <f t="shared" si="33"/>
        <v>0</v>
      </c>
      <c r="BO64" s="193">
        <v>0</v>
      </c>
      <c r="BP64" s="238">
        <f t="shared" si="34"/>
        <v>0</v>
      </c>
      <c r="BQ64" s="193">
        <v>0</v>
      </c>
      <c r="BR64" s="238">
        <f t="shared" si="35"/>
        <v>0</v>
      </c>
      <c r="BS64" s="225"/>
      <c r="BT64" s="239">
        <f t="shared" si="36"/>
        <v>59518.720000000001</v>
      </c>
      <c r="BU64" s="238">
        <f t="shared" si="38"/>
        <v>624946.56000000006</v>
      </c>
    </row>
    <row r="65" spans="1:73" ht="14.25">
      <c r="A65" s="241">
        <v>2010</v>
      </c>
      <c r="B65" s="528">
        <f t="shared" si="37"/>
        <v>9.5</v>
      </c>
      <c r="C65" s="193">
        <v>0</v>
      </c>
      <c r="D65" s="238">
        <f t="shared" si="2"/>
        <v>0</v>
      </c>
      <c r="E65" s="193">
        <v>0</v>
      </c>
      <c r="F65" s="238">
        <f t="shared" si="3"/>
        <v>0</v>
      </c>
      <c r="G65" s="193">
        <v>674.25</v>
      </c>
      <c r="H65" s="238">
        <f t="shared" si="4"/>
        <v>6405.375</v>
      </c>
      <c r="I65" s="193">
        <v>0</v>
      </c>
      <c r="J65" s="238">
        <f t="shared" si="5"/>
        <v>0</v>
      </c>
      <c r="K65" s="193">
        <v>0</v>
      </c>
      <c r="L65" s="238">
        <f t="shared" si="6"/>
        <v>0</v>
      </c>
      <c r="M65" s="193">
        <v>0</v>
      </c>
      <c r="N65" s="238">
        <f t="shared" si="7"/>
        <v>0</v>
      </c>
      <c r="O65" s="193">
        <v>0</v>
      </c>
      <c r="P65" s="238">
        <f t="shared" si="8"/>
        <v>0</v>
      </c>
      <c r="Q65" s="193">
        <v>10043.73</v>
      </c>
      <c r="R65" s="238">
        <f t="shared" si="9"/>
        <v>95415.434999999998</v>
      </c>
      <c r="S65" s="193">
        <v>0</v>
      </c>
      <c r="T65" s="238">
        <f t="shared" si="10"/>
        <v>0</v>
      </c>
      <c r="U65" s="193">
        <v>0</v>
      </c>
      <c r="V65" s="238">
        <f t="shared" si="11"/>
        <v>0</v>
      </c>
      <c r="W65" s="193">
        <v>2907.0899999999965</v>
      </c>
      <c r="X65" s="238">
        <f t="shared" si="12"/>
        <v>27617.354999999967</v>
      </c>
      <c r="Y65" s="193">
        <v>0</v>
      </c>
      <c r="Z65" s="238">
        <f t="shared" si="13"/>
        <v>0</v>
      </c>
      <c r="AA65" s="193">
        <v>0</v>
      </c>
      <c r="AB65" s="238">
        <f t="shared" si="14"/>
        <v>0</v>
      </c>
      <c r="AC65" s="193">
        <v>0</v>
      </c>
      <c r="AD65" s="238">
        <f t="shared" si="15"/>
        <v>0</v>
      </c>
      <c r="AE65" s="193">
        <v>0</v>
      </c>
      <c r="AF65" s="238">
        <f t="shared" si="16"/>
        <v>0</v>
      </c>
      <c r="AG65" s="193">
        <v>0</v>
      </c>
      <c r="AH65" s="238">
        <f t="shared" si="17"/>
        <v>0</v>
      </c>
      <c r="AI65" s="193">
        <v>0</v>
      </c>
      <c r="AJ65" s="238">
        <f t="shared" si="18"/>
        <v>0</v>
      </c>
      <c r="AK65" s="193">
        <v>0</v>
      </c>
      <c r="AL65" s="238">
        <f t="shared" si="19"/>
        <v>0</v>
      </c>
      <c r="AM65" s="193">
        <v>0</v>
      </c>
      <c r="AN65" s="238">
        <f t="shared" si="20"/>
        <v>0</v>
      </c>
      <c r="AO65" s="193">
        <v>10831.700000000001</v>
      </c>
      <c r="AP65" s="238">
        <f t="shared" si="21"/>
        <v>102901.15000000001</v>
      </c>
      <c r="AQ65" s="193">
        <v>0</v>
      </c>
      <c r="AR65" s="238">
        <f t="shared" si="22"/>
        <v>0</v>
      </c>
      <c r="AS65" s="193">
        <v>0</v>
      </c>
      <c r="AT65" s="238">
        <f t="shared" si="23"/>
        <v>0</v>
      </c>
      <c r="AU65" s="193">
        <v>12311.25</v>
      </c>
      <c r="AV65" s="238">
        <f t="shared" si="24"/>
        <v>116956.875</v>
      </c>
      <c r="AW65" s="193">
        <v>0</v>
      </c>
      <c r="AX65" s="238">
        <f t="shared" si="25"/>
        <v>0</v>
      </c>
      <c r="AY65" s="193">
        <v>0</v>
      </c>
      <c r="AZ65" s="238">
        <f t="shared" si="26"/>
        <v>0</v>
      </c>
      <c r="BA65" s="193">
        <v>0</v>
      </c>
      <c r="BB65" s="238">
        <f t="shared" si="27"/>
        <v>0</v>
      </c>
      <c r="BC65" s="193">
        <v>0</v>
      </c>
      <c r="BD65" s="238">
        <f t="shared" si="28"/>
        <v>0</v>
      </c>
      <c r="BE65" s="193">
        <v>0</v>
      </c>
      <c r="BF65" s="238">
        <f t="shared" si="29"/>
        <v>0</v>
      </c>
      <c r="BG65" s="193">
        <v>0</v>
      </c>
      <c r="BH65" s="238">
        <f t="shared" si="30"/>
        <v>0</v>
      </c>
      <c r="BI65" s="193">
        <v>0</v>
      </c>
      <c r="BJ65" s="238">
        <f t="shared" si="31"/>
        <v>0</v>
      </c>
      <c r="BK65" s="193">
        <v>0</v>
      </c>
      <c r="BL65" s="238">
        <f t="shared" si="32"/>
        <v>0</v>
      </c>
      <c r="BM65" s="193">
        <v>0</v>
      </c>
      <c r="BN65" s="238">
        <f t="shared" si="33"/>
        <v>0</v>
      </c>
      <c r="BO65" s="193">
        <v>0</v>
      </c>
      <c r="BP65" s="238">
        <f t="shared" si="34"/>
        <v>0</v>
      </c>
      <c r="BQ65" s="193">
        <v>0</v>
      </c>
      <c r="BR65" s="238">
        <f t="shared" si="35"/>
        <v>0</v>
      </c>
      <c r="BS65" s="225"/>
      <c r="BT65" s="239">
        <f t="shared" si="36"/>
        <v>36768.019999999997</v>
      </c>
      <c r="BU65" s="238">
        <f t="shared" si="38"/>
        <v>349296.18999999994</v>
      </c>
    </row>
    <row r="66" spans="1:73" ht="14.25">
      <c r="A66" s="241">
        <v>2011</v>
      </c>
      <c r="B66" s="528">
        <f t="shared" si="37"/>
        <v>8.5</v>
      </c>
      <c r="C66" s="193">
        <v>0</v>
      </c>
      <c r="D66" s="238">
        <f t="shared" si="2"/>
        <v>0</v>
      </c>
      <c r="E66" s="193">
        <v>0</v>
      </c>
      <c r="F66" s="238">
        <f t="shared" si="3"/>
        <v>0</v>
      </c>
      <c r="G66" s="193">
        <v>5063</v>
      </c>
      <c r="H66" s="238">
        <f t="shared" si="4"/>
        <v>43035.5</v>
      </c>
      <c r="I66" s="193">
        <v>0</v>
      </c>
      <c r="J66" s="238">
        <f t="shared" si="5"/>
        <v>0</v>
      </c>
      <c r="K66" s="193">
        <v>0</v>
      </c>
      <c r="L66" s="238">
        <f t="shared" si="6"/>
        <v>0</v>
      </c>
      <c r="M66" s="193">
        <v>0</v>
      </c>
      <c r="N66" s="238">
        <f t="shared" si="7"/>
        <v>0</v>
      </c>
      <c r="O66" s="193">
        <v>0</v>
      </c>
      <c r="P66" s="238">
        <f t="shared" si="8"/>
        <v>0</v>
      </c>
      <c r="Q66" s="193">
        <v>2420.29</v>
      </c>
      <c r="R66" s="238">
        <f t="shared" si="9"/>
        <v>20572.465</v>
      </c>
      <c r="S66" s="193">
        <v>0</v>
      </c>
      <c r="T66" s="238">
        <f t="shared" si="10"/>
        <v>0</v>
      </c>
      <c r="U66" s="193">
        <v>0</v>
      </c>
      <c r="V66" s="238">
        <f t="shared" si="11"/>
        <v>0</v>
      </c>
      <c r="W66" s="193">
        <v>191.56999999999999</v>
      </c>
      <c r="X66" s="238">
        <f t="shared" si="12"/>
        <v>1628.345</v>
      </c>
      <c r="Y66" s="193">
        <v>0</v>
      </c>
      <c r="Z66" s="238">
        <f t="shared" si="13"/>
        <v>0</v>
      </c>
      <c r="AA66" s="193">
        <v>0</v>
      </c>
      <c r="AB66" s="238">
        <f t="shared" si="14"/>
        <v>0</v>
      </c>
      <c r="AC66" s="193">
        <v>0</v>
      </c>
      <c r="AD66" s="238">
        <f t="shared" si="15"/>
        <v>0</v>
      </c>
      <c r="AE66" s="193">
        <v>0</v>
      </c>
      <c r="AF66" s="238">
        <f t="shared" si="16"/>
        <v>0</v>
      </c>
      <c r="AG66" s="193">
        <v>0</v>
      </c>
      <c r="AH66" s="238">
        <f t="shared" si="17"/>
        <v>0</v>
      </c>
      <c r="AI66" s="193">
        <v>0</v>
      </c>
      <c r="AJ66" s="238">
        <f t="shared" si="18"/>
        <v>0</v>
      </c>
      <c r="AK66" s="193">
        <v>0</v>
      </c>
      <c r="AL66" s="238">
        <f t="shared" si="19"/>
        <v>0</v>
      </c>
      <c r="AM66" s="193">
        <v>0</v>
      </c>
      <c r="AN66" s="238">
        <f t="shared" si="20"/>
        <v>0</v>
      </c>
      <c r="AO66" s="193">
        <v>107132.3</v>
      </c>
      <c r="AP66" s="238">
        <f t="shared" si="21"/>
        <v>910624.55000000005</v>
      </c>
      <c r="AQ66" s="193">
        <v>0</v>
      </c>
      <c r="AR66" s="238">
        <f t="shared" si="22"/>
        <v>0</v>
      </c>
      <c r="AS66" s="193">
        <v>0</v>
      </c>
      <c r="AT66" s="238">
        <f t="shared" si="23"/>
        <v>0</v>
      </c>
      <c r="AU66" s="193">
        <v>0</v>
      </c>
      <c r="AV66" s="238">
        <f t="shared" si="24"/>
        <v>0</v>
      </c>
      <c r="AW66" s="193">
        <v>0</v>
      </c>
      <c r="AX66" s="238">
        <f t="shared" si="25"/>
        <v>0</v>
      </c>
      <c r="AY66" s="193">
        <v>0</v>
      </c>
      <c r="AZ66" s="238">
        <f t="shared" si="26"/>
        <v>0</v>
      </c>
      <c r="BA66" s="193">
        <v>0</v>
      </c>
      <c r="BB66" s="238">
        <f t="shared" si="27"/>
        <v>0</v>
      </c>
      <c r="BC66" s="193">
        <v>0</v>
      </c>
      <c r="BD66" s="238">
        <f t="shared" si="28"/>
        <v>0</v>
      </c>
      <c r="BE66" s="193">
        <v>0</v>
      </c>
      <c r="BF66" s="238">
        <f t="shared" si="29"/>
        <v>0</v>
      </c>
      <c r="BG66" s="193">
        <v>0</v>
      </c>
      <c r="BH66" s="238">
        <f t="shared" si="30"/>
        <v>0</v>
      </c>
      <c r="BI66" s="193">
        <v>0</v>
      </c>
      <c r="BJ66" s="238">
        <f t="shared" si="31"/>
        <v>0</v>
      </c>
      <c r="BK66" s="193">
        <v>0</v>
      </c>
      <c r="BL66" s="238">
        <f t="shared" si="32"/>
        <v>0</v>
      </c>
      <c r="BM66" s="193">
        <v>0</v>
      </c>
      <c r="BN66" s="238">
        <f t="shared" si="33"/>
        <v>0</v>
      </c>
      <c r="BO66" s="193">
        <v>0</v>
      </c>
      <c r="BP66" s="238">
        <f t="shared" si="34"/>
        <v>0</v>
      </c>
      <c r="BQ66" s="193">
        <v>0</v>
      </c>
      <c r="BR66" s="238">
        <f t="shared" si="35"/>
        <v>0</v>
      </c>
      <c r="BS66" s="225"/>
      <c r="BT66" s="239">
        <f t="shared" si="36"/>
        <v>114807.16</v>
      </c>
      <c r="BU66" s="238">
        <f t="shared" si="38"/>
        <v>975860.85999999999</v>
      </c>
    </row>
    <row r="67" spans="1:73" ht="14.25">
      <c r="A67" s="241">
        <v>2012</v>
      </c>
      <c r="B67" s="528">
        <f t="shared" si="37"/>
        <v>7.5</v>
      </c>
      <c r="C67" s="193">
        <v>0</v>
      </c>
      <c r="D67" s="238">
        <f t="shared" si="2"/>
        <v>0</v>
      </c>
      <c r="E67" s="193">
        <v>0</v>
      </c>
      <c r="F67" s="238">
        <f t="shared" si="3"/>
        <v>0</v>
      </c>
      <c r="G67" s="193">
        <v>19936.209999999999</v>
      </c>
      <c r="H67" s="238">
        <f t="shared" si="4"/>
        <v>149521.57499999998</v>
      </c>
      <c r="I67" s="193">
        <v>0</v>
      </c>
      <c r="J67" s="238">
        <f t="shared" si="5"/>
        <v>0</v>
      </c>
      <c r="K67" s="193">
        <v>0</v>
      </c>
      <c r="L67" s="238">
        <f t="shared" si="6"/>
        <v>0</v>
      </c>
      <c r="M67" s="193">
        <v>717.55999999999995</v>
      </c>
      <c r="N67" s="238">
        <f t="shared" si="7"/>
        <v>5381.6999999999998</v>
      </c>
      <c r="O67" s="193">
        <v>0</v>
      </c>
      <c r="P67" s="238">
        <f t="shared" si="8"/>
        <v>0</v>
      </c>
      <c r="Q67" s="193">
        <v>7809.1800000000003</v>
      </c>
      <c r="R67" s="238">
        <f t="shared" si="9"/>
        <v>58568.850000000006</v>
      </c>
      <c r="S67" s="193">
        <v>0</v>
      </c>
      <c r="T67" s="238">
        <f t="shared" si="10"/>
        <v>0</v>
      </c>
      <c r="U67" s="193">
        <v>0</v>
      </c>
      <c r="V67" s="238">
        <f t="shared" si="11"/>
        <v>0</v>
      </c>
      <c r="W67" s="193">
        <v>5214.9300000000003</v>
      </c>
      <c r="X67" s="238">
        <f t="shared" si="12"/>
        <v>39111.975000000006</v>
      </c>
      <c r="Y67" s="193">
        <v>0</v>
      </c>
      <c r="Z67" s="238">
        <f t="shared" si="13"/>
        <v>0</v>
      </c>
      <c r="AA67" s="193">
        <v>896.04999999999995</v>
      </c>
      <c r="AB67" s="238">
        <f t="shared" si="14"/>
        <v>6720.375</v>
      </c>
      <c r="AC67" s="193">
        <v>0</v>
      </c>
      <c r="AD67" s="238">
        <f t="shared" si="15"/>
        <v>0</v>
      </c>
      <c r="AE67" s="193">
        <v>0</v>
      </c>
      <c r="AF67" s="238">
        <f t="shared" si="16"/>
        <v>0</v>
      </c>
      <c r="AG67" s="193">
        <v>0</v>
      </c>
      <c r="AH67" s="238">
        <f t="shared" si="17"/>
        <v>0</v>
      </c>
      <c r="AI67" s="193">
        <v>0</v>
      </c>
      <c r="AJ67" s="238">
        <f t="shared" si="18"/>
        <v>0</v>
      </c>
      <c r="AK67" s="193">
        <v>0</v>
      </c>
      <c r="AL67" s="238">
        <f t="shared" si="19"/>
        <v>0</v>
      </c>
      <c r="AM67" s="193">
        <v>84753.699999999997</v>
      </c>
      <c r="AN67" s="238">
        <f t="shared" si="20"/>
        <v>635652.75</v>
      </c>
      <c r="AO67" s="193">
        <v>0</v>
      </c>
      <c r="AP67" s="238">
        <f t="shared" si="21"/>
        <v>0</v>
      </c>
      <c r="AQ67" s="193">
        <v>0</v>
      </c>
      <c r="AR67" s="238">
        <f t="shared" si="22"/>
        <v>0</v>
      </c>
      <c r="AS67" s="193">
        <v>363442.77000000002</v>
      </c>
      <c r="AT67" s="238">
        <f t="shared" si="23"/>
        <v>2725820.7750000004</v>
      </c>
      <c r="AU67" s="193">
        <v>0</v>
      </c>
      <c r="AV67" s="238">
        <f t="shared" si="24"/>
        <v>0</v>
      </c>
      <c r="AW67" s="193">
        <v>0</v>
      </c>
      <c r="AX67" s="238">
        <f t="shared" si="25"/>
        <v>0</v>
      </c>
      <c r="AY67" s="193">
        <v>17606.279999999999</v>
      </c>
      <c r="AZ67" s="238">
        <f t="shared" si="26"/>
        <v>132047.09999999998</v>
      </c>
      <c r="BA67" s="193">
        <v>0</v>
      </c>
      <c r="BB67" s="238">
        <f t="shared" si="27"/>
        <v>0</v>
      </c>
      <c r="BC67" s="193">
        <v>0</v>
      </c>
      <c r="BD67" s="238">
        <f t="shared" si="28"/>
        <v>0</v>
      </c>
      <c r="BE67" s="193">
        <v>0</v>
      </c>
      <c r="BF67" s="238">
        <f t="shared" si="29"/>
        <v>0</v>
      </c>
      <c r="BG67" s="193">
        <v>0</v>
      </c>
      <c r="BH67" s="238">
        <f t="shared" si="30"/>
        <v>0</v>
      </c>
      <c r="BI67" s="193">
        <v>0</v>
      </c>
      <c r="BJ67" s="238">
        <f t="shared" si="31"/>
        <v>0</v>
      </c>
      <c r="BK67" s="193">
        <v>0</v>
      </c>
      <c r="BL67" s="238">
        <f t="shared" si="32"/>
        <v>0</v>
      </c>
      <c r="BM67" s="193">
        <v>12102.27</v>
      </c>
      <c r="BN67" s="238">
        <f t="shared" si="33"/>
        <v>90767.025000000009</v>
      </c>
      <c r="BO67" s="193">
        <v>0</v>
      </c>
      <c r="BP67" s="238">
        <f t="shared" si="34"/>
        <v>0</v>
      </c>
      <c r="BQ67" s="193">
        <v>0</v>
      </c>
      <c r="BR67" s="238">
        <f t="shared" si="35"/>
        <v>0</v>
      </c>
      <c r="BS67" s="225"/>
      <c r="BT67" s="239">
        <f t="shared" si="36"/>
        <v>512478.95000000001</v>
      </c>
      <c r="BU67" s="238">
        <f t="shared" si="38"/>
        <v>3843592.125</v>
      </c>
    </row>
    <row r="68" spans="1:73" ht="14.25">
      <c r="A68" s="241">
        <v>2013</v>
      </c>
      <c r="B68" s="528">
        <f t="shared" si="37"/>
        <v>6.5</v>
      </c>
      <c r="C68" s="193">
        <v>0</v>
      </c>
      <c r="D68" s="238">
        <f t="shared" si="2"/>
        <v>0</v>
      </c>
      <c r="E68" s="193">
        <v>0</v>
      </c>
      <c r="F68" s="238">
        <f t="shared" si="3"/>
        <v>0</v>
      </c>
      <c r="G68" s="193">
        <v>0</v>
      </c>
      <c r="H68" s="238">
        <f t="shared" si="4"/>
        <v>0</v>
      </c>
      <c r="I68" s="193">
        <v>0</v>
      </c>
      <c r="J68" s="238">
        <f t="shared" si="5"/>
        <v>0</v>
      </c>
      <c r="K68" s="193">
        <v>0</v>
      </c>
      <c r="L68" s="238">
        <f t="shared" si="6"/>
        <v>0</v>
      </c>
      <c r="M68" s="193">
        <v>825.25</v>
      </c>
      <c r="N68" s="238">
        <f t="shared" si="7"/>
        <v>5364.125</v>
      </c>
      <c r="O68" s="193">
        <v>0</v>
      </c>
      <c r="P68" s="238">
        <f t="shared" si="8"/>
        <v>0</v>
      </c>
      <c r="Q68" s="193">
        <v>8729.7800000000007</v>
      </c>
      <c r="R68" s="238">
        <f t="shared" si="9"/>
        <v>56743.570000000007</v>
      </c>
      <c r="S68" s="193">
        <v>0</v>
      </c>
      <c r="T68" s="238">
        <f t="shared" si="10"/>
        <v>0</v>
      </c>
      <c r="U68" s="193">
        <v>0</v>
      </c>
      <c r="V68" s="238">
        <f t="shared" si="11"/>
        <v>0</v>
      </c>
      <c r="W68" s="193">
        <v>9440.2999999999993</v>
      </c>
      <c r="X68" s="238">
        <f t="shared" si="12"/>
        <v>61361.949999999997</v>
      </c>
      <c r="Y68" s="193">
        <v>0</v>
      </c>
      <c r="Z68" s="238">
        <f t="shared" si="13"/>
        <v>0</v>
      </c>
      <c r="AA68" s="193">
        <v>0</v>
      </c>
      <c r="AB68" s="238">
        <f t="shared" si="14"/>
        <v>0</v>
      </c>
      <c r="AC68" s="193">
        <v>0</v>
      </c>
      <c r="AD68" s="238">
        <f t="shared" si="15"/>
        <v>0</v>
      </c>
      <c r="AE68" s="193">
        <v>0</v>
      </c>
      <c r="AF68" s="238">
        <f t="shared" si="16"/>
        <v>0</v>
      </c>
      <c r="AG68" s="193">
        <v>0</v>
      </c>
      <c r="AH68" s="238">
        <f t="shared" si="17"/>
        <v>0</v>
      </c>
      <c r="AI68" s="193">
        <v>0</v>
      </c>
      <c r="AJ68" s="238">
        <f t="shared" si="18"/>
        <v>0</v>
      </c>
      <c r="AK68" s="193">
        <v>0</v>
      </c>
      <c r="AL68" s="238">
        <f t="shared" si="19"/>
        <v>0</v>
      </c>
      <c r="AM68" s="193">
        <v>0</v>
      </c>
      <c r="AN68" s="238">
        <f t="shared" si="20"/>
        <v>0</v>
      </c>
      <c r="AO68" s="193">
        <v>0</v>
      </c>
      <c r="AP68" s="238">
        <f t="shared" si="21"/>
        <v>0</v>
      </c>
      <c r="AQ68" s="193">
        <v>0</v>
      </c>
      <c r="AR68" s="238">
        <f t="shared" si="22"/>
        <v>0</v>
      </c>
      <c r="AS68" s="193">
        <v>0</v>
      </c>
      <c r="AT68" s="238">
        <f t="shared" si="23"/>
        <v>0</v>
      </c>
      <c r="AU68" s="193">
        <v>0</v>
      </c>
      <c r="AV68" s="238">
        <f t="shared" si="24"/>
        <v>0</v>
      </c>
      <c r="AW68" s="193">
        <v>0</v>
      </c>
      <c r="AX68" s="238">
        <f t="shared" si="25"/>
        <v>0</v>
      </c>
      <c r="AY68" s="193">
        <v>33647.349999999999</v>
      </c>
      <c r="AZ68" s="238">
        <f t="shared" si="26"/>
        <v>218707.77499999999</v>
      </c>
      <c r="BA68" s="193">
        <v>0</v>
      </c>
      <c r="BB68" s="238">
        <f t="shared" si="27"/>
        <v>0</v>
      </c>
      <c r="BC68" s="193">
        <v>0</v>
      </c>
      <c r="BD68" s="238">
        <f t="shared" si="28"/>
        <v>0</v>
      </c>
      <c r="BE68" s="193">
        <v>0</v>
      </c>
      <c r="BF68" s="238">
        <f t="shared" si="29"/>
        <v>0</v>
      </c>
      <c r="BG68" s="193">
        <v>0</v>
      </c>
      <c r="BH68" s="238">
        <f t="shared" si="30"/>
        <v>0</v>
      </c>
      <c r="BI68" s="193">
        <v>0</v>
      </c>
      <c r="BJ68" s="238">
        <f t="shared" si="31"/>
        <v>0</v>
      </c>
      <c r="BK68" s="193">
        <v>0</v>
      </c>
      <c r="BL68" s="238">
        <f t="shared" si="32"/>
        <v>0</v>
      </c>
      <c r="BM68" s="193">
        <v>0</v>
      </c>
      <c r="BN68" s="238">
        <f t="shared" si="33"/>
        <v>0</v>
      </c>
      <c r="BO68" s="193">
        <v>0</v>
      </c>
      <c r="BP68" s="238">
        <f t="shared" si="34"/>
        <v>0</v>
      </c>
      <c r="BQ68" s="193">
        <v>0</v>
      </c>
      <c r="BR68" s="238">
        <f t="shared" si="35"/>
        <v>0</v>
      </c>
      <c r="BS68" s="225"/>
      <c r="BT68" s="239">
        <f t="shared" si="36"/>
        <v>52642.679999999993</v>
      </c>
      <c r="BU68" s="238">
        <f t="shared" si="38"/>
        <v>342177.41999999993</v>
      </c>
    </row>
    <row r="69" spans="1:73" ht="14.25">
      <c r="A69" s="241">
        <v>2014</v>
      </c>
      <c r="B69" s="528">
        <f t="shared" si="37"/>
        <v>5.5</v>
      </c>
      <c r="C69" s="193">
        <v>0</v>
      </c>
      <c r="D69" s="238">
        <f t="shared" si="2"/>
        <v>0</v>
      </c>
      <c r="E69" s="193">
        <v>0</v>
      </c>
      <c r="F69" s="238">
        <f t="shared" si="3"/>
        <v>0</v>
      </c>
      <c r="G69" s="193">
        <v>5991.5100000000002</v>
      </c>
      <c r="H69" s="238">
        <f t="shared" si="4"/>
        <v>32953.305</v>
      </c>
      <c r="I69" s="193">
        <v>0</v>
      </c>
      <c r="J69" s="238">
        <f t="shared" si="5"/>
        <v>0</v>
      </c>
      <c r="K69" s="193">
        <v>0</v>
      </c>
      <c r="L69" s="238">
        <f t="shared" si="6"/>
        <v>0</v>
      </c>
      <c r="M69" s="193">
        <v>0</v>
      </c>
      <c r="N69" s="238">
        <f t="shared" si="7"/>
        <v>0</v>
      </c>
      <c r="O69" s="193">
        <v>0</v>
      </c>
      <c r="P69" s="238">
        <f t="shared" si="8"/>
        <v>0</v>
      </c>
      <c r="Q69" s="193">
        <v>5764.71</v>
      </c>
      <c r="R69" s="238">
        <f t="shared" si="9"/>
        <v>31705.904999999999</v>
      </c>
      <c r="S69" s="193">
        <v>0</v>
      </c>
      <c r="T69" s="238">
        <f t="shared" si="10"/>
        <v>0</v>
      </c>
      <c r="U69" s="193">
        <v>0</v>
      </c>
      <c r="V69" s="238">
        <f t="shared" si="11"/>
        <v>0</v>
      </c>
      <c r="W69" s="193">
        <v>13222.27</v>
      </c>
      <c r="X69" s="238">
        <f t="shared" si="12"/>
        <v>72722.485000000001</v>
      </c>
      <c r="Y69" s="193">
        <v>0</v>
      </c>
      <c r="Z69" s="238">
        <f t="shared" si="13"/>
        <v>0</v>
      </c>
      <c r="AA69" s="193">
        <v>0</v>
      </c>
      <c r="AB69" s="238">
        <f t="shared" si="14"/>
        <v>0</v>
      </c>
      <c r="AC69" s="193">
        <v>0</v>
      </c>
      <c r="AD69" s="238">
        <f t="shared" si="15"/>
        <v>0</v>
      </c>
      <c r="AE69" s="193">
        <v>0</v>
      </c>
      <c r="AF69" s="238">
        <f t="shared" si="16"/>
        <v>0</v>
      </c>
      <c r="AG69" s="193">
        <v>0</v>
      </c>
      <c r="AH69" s="238">
        <f t="shared" si="17"/>
        <v>0</v>
      </c>
      <c r="AI69" s="193">
        <v>0</v>
      </c>
      <c r="AJ69" s="238">
        <f t="shared" si="18"/>
        <v>0</v>
      </c>
      <c r="AK69" s="193">
        <v>0</v>
      </c>
      <c r="AL69" s="238">
        <f t="shared" si="19"/>
        <v>0</v>
      </c>
      <c r="AM69" s="193">
        <v>0</v>
      </c>
      <c r="AN69" s="238">
        <f t="shared" si="20"/>
        <v>0</v>
      </c>
      <c r="AO69" s="193">
        <v>0</v>
      </c>
      <c r="AP69" s="238">
        <f t="shared" si="21"/>
        <v>0</v>
      </c>
      <c r="AQ69" s="193">
        <v>0</v>
      </c>
      <c r="AR69" s="238">
        <f t="shared" si="22"/>
        <v>0</v>
      </c>
      <c r="AS69" s="193">
        <v>0</v>
      </c>
      <c r="AT69" s="238">
        <f t="shared" si="23"/>
        <v>0</v>
      </c>
      <c r="AU69" s="193">
        <v>0</v>
      </c>
      <c r="AV69" s="238">
        <f t="shared" si="24"/>
        <v>0</v>
      </c>
      <c r="AW69" s="193">
        <v>0</v>
      </c>
      <c r="AX69" s="238">
        <f t="shared" si="25"/>
        <v>0</v>
      </c>
      <c r="AY69" s="193">
        <v>0</v>
      </c>
      <c r="AZ69" s="238">
        <f t="shared" si="26"/>
        <v>0</v>
      </c>
      <c r="BA69" s="193">
        <v>0</v>
      </c>
      <c r="BB69" s="238">
        <f t="shared" si="27"/>
        <v>0</v>
      </c>
      <c r="BC69" s="193">
        <v>0</v>
      </c>
      <c r="BD69" s="238">
        <f t="shared" si="28"/>
        <v>0</v>
      </c>
      <c r="BE69" s="193">
        <v>0</v>
      </c>
      <c r="BF69" s="238">
        <f t="shared" si="29"/>
        <v>0</v>
      </c>
      <c r="BG69" s="193">
        <v>0</v>
      </c>
      <c r="BH69" s="238">
        <f t="shared" si="30"/>
        <v>0</v>
      </c>
      <c r="BI69" s="193">
        <v>0</v>
      </c>
      <c r="BJ69" s="238">
        <f t="shared" si="31"/>
        <v>0</v>
      </c>
      <c r="BK69" s="193">
        <v>0</v>
      </c>
      <c r="BL69" s="238">
        <f t="shared" si="32"/>
        <v>0</v>
      </c>
      <c r="BM69" s="193">
        <v>0</v>
      </c>
      <c r="BN69" s="238">
        <f t="shared" si="33"/>
        <v>0</v>
      </c>
      <c r="BO69" s="193">
        <v>0</v>
      </c>
      <c r="BP69" s="238">
        <f t="shared" si="34"/>
        <v>0</v>
      </c>
      <c r="BQ69" s="193">
        <v>0</v>
      </c>
      <c r="BR69" s="238">
        <f t="shared" si="35"/>
        <v>0</v>
      </c>
      <c r="BS69" s="225"/>
      <c r="BT69" s="239">
        <f t="shared" si="36"/>
        <v>24978.490000000002</v>
      </c>
      <c r="BU69" s="238">
        <f t="shared" si="38"/>
        <v>137381.69500000001</v>
      </c>
    </row>
    <row r="70" spans="1:73" ht="14.25">
      <c r="A70" s="241">
        <v>2015</v>
      </c>
      <c r="B70" s="528">
        <f>$A$74-A70+0.5</f>
        <v>4.5</v>
      </c>
      <c r="C70" s="193">
        <v>0</v>
      </c>
      <c r="D70" s="238">
        <f t="shared" si="2"/>
        <v>0</v>
      </c>
      <c r="E70" s="193">
        <v>0</v>
      </c>
      <c r="F70" s="238">
        <f t="shared" si="3"/>
        <v>0</v>
      </c>
      <c r="G70" s="193">
        <v>0</v>
      </c>
      <c r="H70" s="238">
        <f t="shared" si="4"/>
        <v>0</v>
      </c>
      <c r="I70" s="193">
        <v>0</v>
      </c>
      <c r="J70" s="238">
        <f t="shared" si="5"/>
        <v>0</v>
      </c>
      <c r="K70" s="193">
        <v>0</v>
      </c>
      <c r="L70" s="238">
        <f t="shared" si="6"/>
        <v>0</v>
      </c>
      <c r="M70" s="193">
        <v>0</v>
      </c>
      <c r="N70" s="238">
        <f t="shared" si="7"/>
        <v>0</v>
      </c>
      <c r="O70" s="193">
        <v>0</v>
      </c>
      <c r="P70" s="238">
        <f t="shared" si="8"/>
        <v>0</v>
      </c>
      <c r="Q70" s="193">
        <v>12521.540000000001</v>
      </c>
      <c r="R70" s="238">
        <f t="shared" si="9"/>
        <v>56346.930000000008</v>
      </c>
      <c r="S70" s="193">
        <v>0</v>
      </c>
      <c r="T70" s="238">
        <f t="shared" si="10"/>
        <v>0</v>
      </c>
      <c r="U70" s="193">
        <v>0</v>
      </c>
      <c r="V70" s="238">
        <f t="shared" si="11"/>
        <v>0</v>
      </c>
      <c r="W70" s="193">
        <v>9610.8500000000004</v>
      </c>
      <c r="X70" s="238">
        <f t="shared" si="12"/>
        <v>43248.825000000004</v>
      </c>
      <c r="Y70" s="193">
        <v>0</v>
      </c>
      <c r="Z70" s="238">
        <f t="shared" si="13"/>
        <v>0</v>
      </c>
      <c r="AA70" s="193">
        <v>0</v>
      </c>
      <c r="AB70" s="238">
        <f t="shared" si="14"/>
        <v>0</v>
      </c>
      <c r="AC70" s="193">
        <v>0</v>
      </c>
      <c r="AD70" s="238">
        <f t="shared" si="15"/>
        <v>0</v>
      </c>
      <c r="AE70" s="193">
        <v>0</v>
      </c>
      <c r="AF70" s="238">
        <f t="shared" si="16"/>
        <v>0</v>
      </c>
      <c r="AG70" s="193">
        <v>0</v>
      </c>
      <c r="AH70" s="238">
        <f t="shared" si="17"/>
        <v>0</v>
      </c>
      <c r="AI70" s="193">
        <v>0</v>
      </c>
      <c r="AJ70" s="238">
        <f t="shared" si="18"/>
        <v>0</v>
      </c>
      <c r="AK70" s="193">
        <v>0</v>
      </c>
      <c r="AL70" s="238">
        <f t="shared" si="19"/>
        <v>0</v>
      </c>
      <c r="AM70" s="193">
        <v>0</v>
      </c>
      <c r="AN70" s="238">
        <f t="shared" si="20"/>
        <v>0</v>
      </c>
      <c r="AO70" s="193">
        <v>0</v>
      </c>
      <c r="AP70" s="238">
        <f t="shared" si="21"/>
        <v>0</v>
      </c>
      <c r="AQ70" s="193">
        <v>0</v>
      </c>
      <c r="AR70" s="238">
        <f t="shared" si="22"/>
        <v>0</v>
      </c>
      <c r="AS70" s="193">
        <v>0</v>
      </c>
      <c r="AT70" s="238">
        <f t="shared" si="23"/>
        <v>0</v>
      </c>
      <c r="AU70" s="193">
        <v>0</v>
      </c>
      <c r="AV70" s="238">
        <f t="shared" si="24"/>
        <v>0</v>
      </c>
      <c r="AW70" s="193">
        <v>0</v>
      </c>
      <c r="AX70" s="238">
        <f t="shared" si="25"/>
        <v>0</v>
      </c>
      <c r="AY70" s="193">
        <v>0</v>
      </c>
      <c r="AZ70" s="238">
        <f t="shared" si="26"/>
        <v>0</v>
      </c>
      <c r="BA70" s="193">
        <v>0</v>
      </c>
      <c r="BB70" s="238">
        <f t="shared" si="27"/>
        <v>0</v>
      </c>
      <c r="BC70" s="193">
        <v>0</v>
      </c>
      <c r="BD70" s="238">
        <f t="shared" si="28"/>
        <v>0</v>
      </c>
      <c r="BE70" s="193">
        <v>0</v>
      </c>
      <c r="BF70" s="238">
        <f t="shared" si="29"/>
        <v>0</v>
      </c>
      <c r="BG70" s="193">
        <v>0</v>
      </c>
      <c r="BH70" s="238">
        <f t="shared" si="30"/>
        <v>0</v>
      </c>
      <c r="BI70" s="193">
        <v>0</v>
      </c>
      <c r="BJ70" s="238">
        <f t="shared" si="31"/>
        <v>0</v>
      </c>
      <c r="BK70" s="193">
        <v>0</v>
      </c>
      <c r="BL70" s="238">
        <f t="shared" si="32"/>
        <v>0</v>
      </c>
      <c r="BM70" s="193">
        <v>0</v>
      </c>
      <c r="BN70" s="238">
        <f t="shared" si="33"/>
        <v>0</v>
      </c>
      <c r="BO70" s="193">
        <v>0</v>
      </c>
      <c r="BP70" s="238">
        <f t="shared" si="34"/>
        <v>0</v>
      </c>
      <c r="BQ70" s="193">
        <v>0</v>
      </c>
      <c r="BR70" s="238">
        <f t="shared" si="35"/>
        <v>0</v>
      </c>
      <c r="BS70" s="225"/>
      <c r="BT70" s="239">
        <f t="shared" si="36"/>
        <v>22132.389999999999</v>
      </c>
      <c r="BU70" s="238">
        <f>+BT70*$B70</f>
        <v>99595.755000000005</v>
      </c>
    </row>
    <row r="71" spans="1:73" ht="14.25">
      <c r="A71" s="241">
        <v>2016</v>
      </c>
      <c r="B71" s="528">
        <f>$A$74-A71+0.5</f>
        <v>3.5</v>
      </c>
      <c r="C71" s="193">
        <v>0</v>
      </c>
      <c r="D71" s="238">
        <f>+C71*$B71</f>
        <v>0</v>
      </c>
      <c r="E71" s="193">
        <v>0</v>
      </c>
      <c r="F71" s="238">
        <f>+E71*$B71</f>
        <v>0</v>
      </c>
      <c r="G71" s="193">
        <v>0</v>
      </c>
      <c r="H71" s="238">
        <f>+G71*$B71</f>
        <v>0</v>
      </c>
      <c r="I71" s="193">
        <v>0</v>
      </c>
      <c r="J71" s="238">
        <f>+I71*$B71</f>
        <v>0</v>
      </c>
      <c r="K71" s="193">
        <v>0</v>
      </c>
      <c r="L71" s="238">
        <f>+K71*$B71</f>
        <v>0</v>
      </c>
      <c r="M71" s="193">
        <v>0</v>
      </c>
      <c r="N71" s="238">
        <f>+M71*$B71</f>
        <v>0</v>
      </c>
      <c r="O71" s="193">
        <v>0</v>
      </c>
      <c r="P71" s="238">
        <f>+O71*$B71</f>
        <v>0</v>
      </c>
      <c r="Q71" s="193">
        <v>5342.8199999999997</v>
      </c>
      <c r="R71" s="238">
        <f>+Q71*$B71</f>
        <v>18699.869999999999</v>
      </c>
      <c r="S71" s="193">
        <v>0</v>
      </c>
      <c r="T71" s="238">
        <f>+S71*$B71</f>
        <v>0</v>
      </c>
      <c r="U71" s="193">
        <v>0</v>
      </c>
      <c r="V71" s="238">
        <f>+U71*$B71</f>
        <v>0</v>
      </c>
      <c r="W71" s="193">
        <v>13649.540000000001</v>
      </c>
      <c r="X71" s="238">
        <f>+W71*$B71</f>
        <v>47773.389999999999</v>
      </c>
      <c r="Y71" s="193">
        <v>0</v>
      </c>
      <c r="Z71" s="238">
        <f>+Y71*$B71</f>
        <v>0</v>
      </c>
      <c r="AA71" s="193">
        <v>0</v>
      </c>
      <c r="AB71" s="238">
        <f>+AA71*$B71</f>
        <v>0</v>
      </c>
      <c r="AC71" s="193">
        <v>0</v>
      </c>
      <c r="AD71" s="238">
        <f>+AC71*$B71</f>
        <v>0</v>
      </c>
      <c r="AE71" s="193">
        <v>0</v>
      </c>
      <c r="AF71" s="238">
        <f>+AE71*$B71</f>
        <v>0</v>
      </c>
      <c r="AG71" s="193">
        <v>0</v>
      </c>
      <c r="AH71" s="238">
        <f>+AG71*$B71</f>
        <v>0</v>
      </c>
      <c r="AI71" s="193">
        <v>0</v>
      </c>
      <c r="AJ71" s="238">
        <f>+AI71*$B71</f>
        <v>0</v>
      </c>
      <c r="AK71" s="193">
        <v>0</v>
      </c>
      <c r="AL71" s="238">
        <f>+AK71*$B71</f>
        <v>0</v>
      </c>
      <c r="AM71" s="193">
        <v>0</v>
      </c>
      <c r="AN71" s="238">
        <f>+AM71*$B71</f>
        <v>0</v>
      </c>
      <c r="AO71" s="193">
        <v>0</v>
      </c>
      <c r="AP71" s="238">
        <f>+AO71*$B71</f>
        <v>0</v>
      </c>
      <c r="AQ71" s="193">
        <v>0</v>
      </c>
      <c r="AR71" s="238">
        <f>+AQ71*$B71</f>
        <v>0</v>
      </c>
      <c r="AS71" s="193">
        <v>0</v>
      </c>
      <c r="AT71" s="238">
        <f>+AS71*$B71</f>
        <v>0</v>
      </c>
      <c r="AU71" s="193">
        <v>0</v>
      </c>
      <c r="AV71" s="238">
        <f>+AU71*$B71</f>
        <v>0</v>
      </c>
      <c r="AW71" s="193">
        <v>0</v>
      </c>
      <c r="AX71" s="238">
        <f>+AW71*$B71</f>
        <v>0</v>
      </c>
      <c r="AY71" s="193">
        <v>0</v>
      </c>
      <c r="AZ71" s="238">
        <f>+AY71*$B71</f>
        <v>0</v>
      </c>
      <c r="BA71" s="193">
        <v>0</v>
      </c>
      <c r="BB71" s="238">
        <f>+BA71*$B71</f>
        <v>0</v>
      </c>
      <c r="BC71" s="193">
        <v>0</v>
      </c>
      <c r="BD71" s="238">
        <f>+BC71*$B71</f>
        <v>0</v>
      </c>
      <c r="BE71" s="193">
        <v>0</v>
      </c>
      <c r="BF71" s="238">
        <f>+BE71*$B71</f>
        <v>0</v>
      </c>
      <c r="BG71" s="193">
        <v>0</v>
      </c>
      <c r="BH71" s="238">
        <f>+BG71*$B71</f>
        <v>0</v>
      </c>
      <c r="BI71" s="193">
        <v>0</v>
      </c>
      <c r="BJ71" s="238">
        <f>+BI71*$B71</f>
        <v>0</v>
      </c>
      <c r="BK71" s="193">
        <v>0</v>
      </c>
      <c r="BL71" s="238">
        <f>+BK71*$B71</f>
        <v>0</v>
      </c>
      <c r="BM71" s="193">
        <v>0</v>
      </c>
      <c r="BN71" s="238">
        <f>+BM71*$B71</f>
        <v>0</v>
      </c>
      <c r="BO71" s="193">
        <v>0</v>
      </c>
      <c r="BP71" s="238">
        <f>+BO71*$B71</f>
        <v>0</v>
      </c>
      <c r="BQ71" s="193">
        <v>0</v>
      </c>
      <c r="BR71" s="238">
        <f>+BQ71*$B71</f>
        <v>0</v>
      </c>
      <c r="BS71" s="225"/>
      <c r="BT71" s="239">
        <f t="shared" si="39" ref="BT71:BT74">+BO71+BM71+BK71+BG71+BE71+BC71+AY71+AW71+AS71+AQ71+AO71+AM71+AK71+AI71+AG71+AE71+AA71+C71+E71+G71+I71+M71+O71+Q71+S71+W71+BQ71+AC71+Y71+BI71+BA71+K71+U71+AU71</f>
        <v>18992.360000000001</v>
      </c>
      <c r="BU71" s="238">
        <f>+BT71*$B71</f>
        <v>66473.260000000009</v>
      </c>
    </row>
    <row r="72" spans="1:73" ht="14.25">
      <c r="A72" s="241">
        <v>2017</v>
      </c>
      <c r="B72" s="528">
        <f>$A$74-A72+0.5</f>
        <v>2.5</v>
      </c>
      <c r="C72" s="193">
        <v>0</v>
      </c>
      <c r="D72" s="238">
        <f>+C72*$B72</f>
        <v>0</v>
      </c>
      <c r="E72" s="193">
        <v>0</v>
      </c>
      <c r="F72" s="238">
        <f>+E72*$B72</f>
        <v>0</v>
      </c>
      <c r="G72" s="193">
        <v>0</v>
      </c>
      <c r="H72" s="238">
        <f>+G72*$B72</f>
        <v>0</v>
      </c>
      <c r="I72" s="193">
        <v>0</v>
      </c>
      <c r="J72" s="238">
        <f>+I72*$B72</f>
        <v>0</v>
      </c>
      <c r="K72" s="193">
        <v>0</v>
      </c>
      <c r="L72" s="238">
        <f>+K72*$B72</f>
        <v>0</v>
      </c>
      <c r="M72" s="193">
        <v>0</v>
      </c>
      <c r="N72" s="238">
        <f>+M72*$B72</f>
        <v>0</v>
      </c>
      <c r="O72" s="193">
        <v>0</v>
      </c>
      <c r="P72" s="238">
        <f>+O72*$B72</f>
        <v>0</v>
      </c>
      <c r="Q72" s="193">
        <v>19325.349999999999</v>
      </c>
      <c r="R72" s="238">
        <f>+Q72*$B72</f>
        <v>48313.375</v>
      </c>
      <c r="S72" s="193">
        <v>0</v>
      </c>
      <c r="T72" s="238">
        <f>+S72*$B72</f>
        <v>0</v>
      </c>
      <c r="U72" s="193">
        <v>0</v>
      </c>
      <c r="V72" s="238">
        <f>+U72*$B72</f>
        <v>0</v>
      </c>
      <c r="W72" s="193">
        <v>4780.3900000000003</v>
      </c>
      <c r="X72" s="238">
        <f>+W72*$B72</f>
        <v>11950.975</v>
      </c>
      <c r="Y72" s="193">
        <v>0</v>
      </c>
      <c r="Z72" s="238">
        <f>+Y72*$B72</f>
        <v>0</v>
      </c>
      <c r="AA72" s="193">
        <v>0</v>
      </c>
      <c r="AB72" s="238">
        <f>+AA72*$B72</f>
        <v>0</v>
      </c>
      <c r="AC72" s="193">
        <v>0</v>
      </c>
      <c r="AD72" s="238">
        <f>+AC72*$B72</f>
        <v>0</v>
      </c>
      <c r="AE72" s="193">
        <v>0</v>
      </c>
      <c r="AF72" s="238">
        <f>+AE72*$B72</f>
        <v>0</v>
      </c>
      <c r="AG72" s="193">
        <v>0</v>
      </c>
      <c r="AH72" s="238">
        <f>+AG72*$B72</f>
        <v>0</v>
      </c>
      <c r="AI72" s="193">
        <v>0</v>
      </c>
      <c r="AJ72" s="238">
        <f>+AI72*$B72</f>
        <v>0</v>
      </c>
      <c r="AK72" s="193">
        <v>0</v>
      </c>
      <c r="AL72" s="238">
        <f>+AK72*$B72</f>
        <v>0</v>
      </c>
      <c r="AM72" s="193">
        <v>0</v>
      </c>
      <c r="AN72" s="238">
        <f>+AM72*$B72</f>
        <v>0</v>
      </c>
      <c r="AO72" s="193">
        <v>0</v>
      </c>
      <c r="AP72" s="238">
        <f>+AO72*$B72</f>
        <v>0</v>
      </c>
      <c r="AQ72" s="193">
        <v>0</v>
      </c>
      <c r="AR72" s="238">
        <f>+AQ72*$B72</f>
        <v>0</v>
      </c>
      <c r="AS72" s="193">
        <v>0</v>
      </c>
      <c r="AT72" s="238">
        <f>+AS72*$B72</f>
        <v>0</v>
      </c>
      <c r="AU72" s="193">
        <v>0</v>
      </c>
      <c r="AV72" s="238">
        <f>+AU72*$B72</f>
        <v>0</v>
      </c>
      <c r="AW72" s="193">
        <v>0</v>
      </c>
      <c r="AX72" s="238">
        <f>+AW72*$B72</f>
        <v>0</v>
      </c>
      <c r="AY72" s="193">
        <v>0</v>
      </c>
      <c r="AZ72" s="238">
        <f>+AY72*$B72</f>
        <v>0</v>
      </c>
      <c r="BA72" s="193">
        <v>0</v>
      </c>
      <c r="BB72" s="238">
        <f>+BA72*$B72</f>
        <v>0</v>
      </c>
      <c r="BC72" s="193">
        <v>0</v>
      </c>
      <c r="BD72" s="238">
        <f>+BC72*$B72</f>
        <v>0</v>
      </c>
      <c r="BE72" s="193">
        <v>0</v>
      </c>
      <c r="BF72" s="238">
        <f>+BE72*$B72</f>
        <v>0</v>
      </c>
      <c r="BG72" s="193">
        <v>0</v>
      </c>
      <c r="BH72" s="238">
        <f>+BG72*$B72</f>
        <v>0</v>
      </c>
      <c r="BI72" s="193">
        <v>0</v>
      </c>
      <c r="BJ72" s="238">
        <f>+BI72*$B72</f>
        <v>0</v>
      </c>
      <c r="BK72" s="193">
        <v>0</v>
      </c>
      <c r="BL72" s="238">
        <f>+BK72*$B72</f>
        <v>0</v>
      </c>
      <c r="BM72" s="193">
        <v>0</v>
      </c>
      <c r="BN72" s="238">
        <f>+BM72*$B72</f>
        <v>0</v>
      </c>
      <c r="BO72" s="193">
        <v>0</v>
      </c>
      <c r="BP72" s="238">
        <f>+BO72*$B72</f>
        <v>0</v>
      </c>
      <c r="BQ72" s="193">
        <v>0</v>
      </c>
      <c r="BR72" s="238">
        <f>+BQ72*$B72</f>
        <v>0</v>
      </c>
      <c r="BS72" s="225"/>
      <c r="BT72" s="239">
        <f t="shared" si="39"/>
        <v>24105.739999999998</v>
      </c>
      <c r="BU72" s="238">
        <f>+BT72*$B72</f>
        <v>60264.349999999991</v>
      </c>
    </row>
    <row r="73" spans="1:73" ht="14.25">
      <c r="A73" s="241">
        <v>2018</v>
      </c>
      <c r="B73" s="528">
        <f>$A$74-A73+0.5</f>
        <v>1.5</v>
      </c>
      <c r="C73" s="193">
        <v>0</v>
      </c>
      <c r="D73" s="238">
        <f>+C73*$B73</f>
        <v>0</v>
      </c>
      <c r="E73" s="193">
        <v>0</v>
      </c>
      <c r="F73" s="238">
        <f>+E73*$B73</f>
        <v>0</v>
      </c>
      <c r="G73" s="193">
        <v>2873.1199999999999</v>
      </c>
      <c r="H73" s="238">
        <f>+G73*$B73</f>
        <v>4309.6800000000003</v>
      </c>
      <c r="I73" s="193">
        <v>0</v>
      </c>
      <c r="J73" s="238">
        <f>+I73*$B73</f>
        <v>0</v>
      </c>
      <c r="K73" s="193">
        <v>0</v>
      </c>
      <c r="L73" s="238">
        <f>+K73*$B73</f>
        <v>0</v>
      </c>
      <c r="M73" s="193">
        <v>0</v>
      </c>
      <c r="N73" s="238">
        <f>+M73*$B73</f>
        <v>0</v>
      </c>
      <c r="O73" s="193">
        <v>0</v>
      </c>
      <c r="P73" s="238">
        <f>+O73*$B73</f>
        <v>0</v>
      </c>
      <c r="Q73" s="193">
        <v>6995.0799999999999</v>
      </c>
      <c r="R73" s="238">
        <f>+Q73*$B73</f>
        <v>10492.619999999999</v>
      </c>
      <c r="S73" s="193">
        <v>0</v>
      </c>
      <c r="T73" s="238">
        <f>+S73*$B73</f>
        <v>0</v>
      </c>
      <c r="U73" s="193">
        <v>0</v>
      </c>
      <c r="V73" s="238">
        <f>+U73*$B73</f>
        <v>0</v>
      </c>
      <c r="W73" s="193">
        <v>18324.759999999998</v>
      </c>
      <c r="X73" s="238">
        <f>+W73*$B73</f>
        <v>27487.139999999999</v>
      </c>
      <c r="Y73" s="193">
        <v>0</v>
      </c>
      <c r="Z73" s="238">
        <f>+Y73*$B73</f>
        <v>0</v>
      </c>
      <c r="AA73" s="193">
        <v>0</v>
      </c>
      <c r="AB73" s="238">
        <f>+AA73*$B73</f>
        <v>0</v>
      </c>
      <c r="AC73" s="193">
        <v>0</v>
      </c>
      <c r="AD73" s="238">
        <f>+AC73*$B73</f>
        <v>0</v>
      </c>
      <c r="AE73" s="193">
        <v>0</v>
      </c>
      <c r="AF73" s="238">
        <f>+AE73*$B73</f>
        <v>0</v>
      </c>
      <c r="AG73" s="193">
        <v>0</v>
      </c>
      <c r="AH73" s="238">
        <f>+AG73*$B73</f>
        <v>0</v>
      </c>
      <c r="AI73" s="193">
        <v>0</v>
      </c>
      <c r="AJ73" s="238">
        <f>+AI73*$B73</f>
        <v>0</v>
      </c>
      <c r="AK73" s="193">
        <v>0</v>
      </c>
      <c r="AL73" s="238">
        <f>+AK73*$B73</f>
        <v>0</v>
      </c>
      <c r="AM73" s="193">
        <v>0</v>
      </c>
      <c r="AN73" s="238">
        <f>+AM73*$B73</f>
        <v>0</v>
      </c>
      <c r="AO73" s="193">
        <v>0</v>
      </c>
      <c r="AP73" s="238">
        <f>+AO73*$B73</f>
        <v>0</v>
      </c>
      <c r="AQ73" s="193">
        <v>0</v>
      </c>
      <c r="AR73" s="238">
        <f>+AQ73*$B73</f>
        <v>0</v>
      </c>
      <c r="AS73" s="193">
        <v>0</v>
      </c>
      <c r="AT73" s="238">
        <f>+AS73*$B73</f>
        <v>0</v>
      </c>
      <c r="AU73" s="193">
        <v>0</v>
      </c>
      <c r="AV73" s="238">
        <f>+AU73*$B73</f>
        <v>0</v>
      </c>
      <c r="AW73" s="193">
        <v>0</v>
      </c>
      <c r="AX73" s="238">
        <f>+AW73*$B73</f>
        <v>0</v>
      </c>
      <c r="AY73" s="193">
        <v>0</v>
      </c>
      <c r="AZ73" s="238">
        <f>+AY73*$B73</f>
        <v>0</v>
      </c>
      <c r="BA73" s="193">
        <v>0</v>
      </c>
      <c r="BB73" s="238">
        <f>+BA73*$B73</f>
        <v>0</v>
      </c>
      <c r="BC73" s="193">
        <v>0</v>
      </c>
      <c r="BD73" s="238">
        <f>+BC73*$B73</f>
        <v>0</v>
      </c>
      <c r="BE73" s="193">
        <v>0</v>
      </c>
      <c r="BF73" s="238">
        <f>+BE73*$B73</f>
        <v>0</v>
      </c>
      <c r="BG73" s="193">
        <v>0</v>
      </c>
      <c r="BH73" s="238">
        <f>+BG73*$B73</f>
        <v>0</v>
      </c>
      <c r="BI73" s="193">
        <v>0</v>
      </c>
      <c r="BJ73" s="238">
        <f>+BI73*$B73</f>
        <v>0</v>
      </c>
      <c r="BK73" s="193">
        <v>0</v>
      </c>
      <c r="BL73" s="238">
        <f>+BK73*$B73</f>
        <v>0</v>
      </c>
      <c r="BM73" s="193">
        <v>0</v>
      </c>
      <c r="BN73" s="238">
        <f>+BM73*$B73</f>
        <v>0</v>
      </c>
      <c r="BO73" s="193">
        <v>0</v>
      </c>
      <c r="BP73" s="238">
        <f>+BO73*$B73</f>
        <v>0</v>
      </c>
      <c r="BQ73" s="193">
        <v>0</v>
      </c>
      <c r="BR73" s="238">
        <f>+BQ73*$B73</f>
        <v>0</v>
      </c>
      <c r="BS73" s="225"/>
      <c r="BT73" s="239">
        <f t="shared" si="39"/>
        <v>28192.959999999999</v>
      </c>
      <c r="BU73" s="238">
        <f>+BT73*$B73</f>
        <v>42289.440000000002</v>
      </c>
    </row>
    <row r="74" spans="1:73" ht="14.25">
      <c r="A74" s="529">
        <v>2019</v>
      </c>
      <c r="B74" s="530">
        <v>0.5</v>
      </c>
      <c r="C74" s="193">
        <v>0</v>
      </c>
      <c r="D74" s="238">
        <f>+C74*$B74</f>
        <v>0</v>
      </c>
      <c r="E74" s="193">
        <v>0</v>
      </c>
      <c r="F74" s="238">
        <f>+E74*$B74</f>
        <v>0</v>
      </c>
      <c r="G74" s="193">
        <v>0</v>
      </c>
      <c r="H74" s="238">
        <f>+G74*$B74</f>
        <v>0</v>
      </c>
      <c r="I74" s="193">
        <v>0</v>
      </c>
      <c r="J74" s="238">
        <f>+I74*$B74</f>
        <v>0</v>
      </c>
      <c r="K74" s="193">
        <v>0</v>
      </c>
      <c r="L74" s="238">
        <f>+K74*$B74</f>
        <v>0</v>
      </c>
      <c r="M74" s="193">
        <v>0</v>
      </c>
      <c r="N74" s="238">
        <f>+M74*$B74</f>
        <v>0</v>
      </c>
      <c r="O74" s="193">
        <v>0</v>
      </c>
      <c r="P74" s="238">
        <f>+O74*$B74</f>
        <v>0</v>
      </c>
      <c r="Q74" s="193">
        <v>4188.3800000000001</v>
      </c>
      <c r="R74" s="238">
        <f>+Q74*$B74</f>
        <v>2094.1900000000001</v>
      </c>
      <c r="S74" s="193">
        <v>0</v>
      </c>
      <c r="T74" s="238">
        <f>+S74*$B74</f>
        <v>0</v>
      </c>
      <c r="U74" s="193">
        <v>0</v>
      </c>
      <c r="V74" s="238">
        <f>+U74*$B74</f>
        <v>0</v>
      </c>
      <c r="W74" s="193">
        <v>1602.21</v>
      </c>
      <c r="X74" s="238">
        <f>+W74*$B74</f>
        <v>801.10500000000002</v>
      </c>
      <c r="Y74" s="193">
        <v>0</v>
      </c>
      <c r="Z74" s="238">
        <f>+Y74*$B74</f>
        <v>0</v>
      </c>
      <c r="AA74" s="193">
        <v>0</v>
      </c>
      <c r="AB74" s="238">
        <f>+AA74*$B74</f>
        <v>0</v>
      </c>
      <c r="AC74" s="193">
        <v>0</v>
      </c>
      <c r="AD74" s="238">
        <f>+AC74*$B74</f>
        <v>0</v>
      </c>
      <c r="AE74" s="193">
        <v>0</v>
      </c>
      <c r="AF74" s="238">
        <f>+AE74*$B74</f>
        <v>0</v>
      </c>
      <c r="AG74" s="193">
        <v>0</v>
      </c>
      <c r="AH74" s="238">
        <f>+AG74*$B74</f>
        <v>0</v>
      </c>
      <c r="AI74" s="193">
        <v>0</v>
      </c>
      <c r="AJ74" s="238">
        <f>+AI74*$B74</f>
        <v>0</v>
      </c>
      <c r="AK74" s="193">
        <v>0</v>
      </c>
      <c r="AL74" s="238">
        <f>+AK74*$B74</f>
        <v>0</v>
      </c>
      <c r="AM74" s="193">
        <v>0</v>
      </c>
      <c r="AN74" s="238">
        <f>+AM74*$B74</f>
        <v>0</v>
      </c>
      <c r="AO74" s="193">
        <v>0</v>
      </c>
      <c r="AP74" s="238">
        <f>+AO74*$B74</f>
        <v>0</v>
      </c>
      <c r="AQ74" s="193">
        <v>0</v>
      </c>
      <c r="AR74" s="238">
        <f>+AQ74*$B74</f>
        <v>0</v>
      </c>
      <c r="AS74" s="193">
        <v>0</v>
      </c>
      <c r="AT74" s="238">
        <f>+AS74*$B74</f>
        <v>0</v>
      </c>
      <c r="AU74" s="193">
        <v>0</v>
      </c>
      <c r="AV74" s="238">
        <f>+AU74*$B74</f>
        <v>0</v>
      </c>
      <c r="AW74" s="193">
        <v>0</v>
      </c>
      <c r="AX74" s="238">
        <f>+AW74*$B74</f>
        <v>0</v>
      </c>
      <c r="AY74" s="193">
        <v>0</v>
      </c>
      <c r="AZ74" s="238">
        <f>+AY74*$B74</f>
        <v>0</v>
      </c>
      <c r="BA74" s="193">
        <v>0</v>
      </c>
      <c r="BB74" s="238">
        <f>+BA74*$B74</f>
        <v>0</v>
      </c>
      <c r="BC74" s="193">
        <v>0</v>
      </c>
      <c r="BD74" s="238">
        <f>+BC74*$B74</f>
        <v>0</v>
      </c>
      <c r="BE74" s="193">
        <v>0</v>
      </c>
      <c r="BF74" s="238">
        <f>+BE74*$B74</f>
        <v>0</v>
      </c>
      <c r="BG74" s="193">
        <v>0</v>
      </c>
      <c r="BH74" s="238">
        <f>+BG74*$B74</f>
        <v>0</v>
      </c>
      <c r="BI74" s="193">
        <v>0</v>
      </c>
      <c r="BJ74" s="238">
        <f>+BI74*$B74</f>
        <v>0</v>
      </c>
      <c r="BK74" s="193">
        <v>0</v>
      </c>
      <c r="BL74" s="238">
        <f>+BK74*$B74</f>
        <v>0</v>
      </c>
      <c r="BM74" s="193">
        <v>0</v>
      </c>
      <c r="BN74" s="238">
        <f>+BM74*$B74</f>
        <v>0</v>
      </c>
      <c r="BO74" s="193">
        <v>0</v>
      </c>
      <c r="BP74" s="238">
        <f>+BO74*$B74</f>
        <v>0</v>
      </c>
      <c r="BQ74" s="193">
        <v>0</v>
      </c>
      <c r="BR74" s="238">
        <f>+BQ74*$B74</f>
        <v>0</v>
      </c>
      <c r="BS74" s="225"/>
      <c r="BT74" s="239">
        <f t="shared" si="39"/>
        <v>5790.5900000000001</v>
      </c>
      <c r="BU74" s="238">
        <f>+BT74*$B74</f>
        <v>2895.2950000000001</v>
      </c>
    </row>
    <row r="75" spans="1:73" ht="14.25">
      <c r="A75" s="237"/>
      <c r="B75" s="236"/>
      <c r="C75" s="235">
        <f>SUM(C6:C74)</f>
        <v>0</v>
      </c>
      <c r="D75" s="234"/>
      <c r="E75" s="235">
        <f>SUM(E6:E74)</f>
        <v>0</v>
      </c>
      <c r="F75" s="234"/>
      <c r="G75" s="235">
        <f>SUM(G6:G74)</f>
        <v>210843.22</v>
      </c>
      <c r="H75" s="234"/>
      <c r="I75" s="235">
        <f>SUM(I6:I74)</f>
        <v>386560.69000000006</v>
      </c>
      <c r="J75" s="234"/>
      <c r="K75" s="235">
        <f>SUM(K6:K74)</f>
        <v>0</v>
      </c>
      <c r="L75" s="234"/>
      <c r="M75" s="235">
        <f>SUM(M6:M74)</f>
        <v>1542.8099999999999</v>
      </c>
      <c r="N75" s="234"/>
      <c r="O75" s="235">
        <f>SUM(O6:O74)</f>
        <v>0</v>
      </c>
      <c r="P75" s="234"/>
      <c r="Q75" s="235">
        <f>SUM(Q6:Q74)</f>
        <v>339686.29999999999</v>
      </c>
      <c r="R75" s="234"/>
      <c r="S75" s="235">
        <f>SUM(S6:S74)</f>
        <v>72249.549999999988</v>
      </c>
      <c r="T75" s="234"/>
      <c r="U75" s="235">
        <f>SUM(U6:U74)</f>
        <v>0</v>
      </c>
      <c r="V75" s="234"/>
      <c r="W75" s="235">
        <f>SUM(W6:W74)</f>
        <v>334860.79000000004</v>
      </c>
      <c r="X75" s="234"/>
      <c r="Y75" s="235">
        <f>SUM(Y6:Y74)</f>
        <v>0</v>
      </c>
      <c r="Z75" s="234"/>
      <c r="AA75" s="235">
        <f>SUM(AA6:AA74)</f>
        <v>17343.549999999999</v>
      </c>
      <c r="AB75" s="234"/>
      <c r="AC75" s="235">
        <f>SUM(AC6:AC74)</f>
        <v>0</v>
      </c>
      <c r="AD75" s="234"/>
      <c r="AE75" s="235">
        <f>SUM(AE6:AE74)</f>
        <v>15612.139999999998</v>
      </c>
      <c r="AF75" s="234"/>
      <c r="AG75" s="235">
        <f>SUM(AG6:AG74)</f>
        <v>0</v>
      </c>
      <c r="AH75" s="234"/>
      <c r="AI75" s="235">
        <f>SUM(AI6:AI74)</f>
        <v>0</v>
      </c>
      <c r="AJ75" s="234"/>
      <c r="AK75" s="235">
        <f>SUM(AK6:AK74)</f>
        <v>0</v>
      </c>
      <c r="AL75" s="234"/>
      <c r="AM75" s="235">
        <f>SUM(AM6:AM74)</f>
        <v>84753.699999999997</v>
      </c>
      <c r="AN75" s="234"/>
      <c r="AO75" s="235">
        <f>SUM(AO6:AO74)</f>
        <v>117964</v>
      </c>
      <c r="AP75" s="234"/>
      <c r="AQ75" s="235">
        <f>SUM(AQ6:AQ74)</f>
        <v>0</v>
      </c>
      <c r="AR75" s="234"/>
      <c r="AS75" s="235">
        <f>SUM(AS6:AS74)</f>
        <v>364655.66000000003</v>
      </c>
      <c r="AT75" s="234"/>
      <c r="AU75" s="235">
        <f>SUM(AU6:AU74)</f>
        <v>12311.25</v>
      </c>
      <c r="AV75" s="234"/>
      <c r="AW75" s="235">
        <f>SUM(AW6:AW74)</f>
        <v>19778.849999999999</v>
      </c>
      <c r="AX75" s="234"/>
      <c r="AY75" s="235">
        <f>SUM(AY6:AY74)</f>
        <v>228907.79000000004</v>
      </c>
      <c r="AZ75" s="234"/>
      <c r="BA75" s="235">
        <f>SUM(BA6:BA74)</f>
        <v>0</v>
      </c>
      <c r="BB75" s="234"/>
      <c r="BC75" s="235">
        <f>SUM(BC6:BC74)</f>
        <v>7855.9399999999996</v>
      </c>
      <c r="BD75" s="234"/>
      <c r="BE75" s="235">
        <f>SUM(BE6:BE74)</f>
        <v>7116.5900000000001</v>
      </c>
      <c r="BF75" s="234"/>
      <c r="BG75" s="235">
        <f>SUM(BG6:BG74)</f>
        <v>319243.82000000001</v>
      </c>
      <c r="BH75" s="234"/>
      <c r="BI75" s="235">
        <f>SUM(BI6:BI74)</f>
        <v>0</v>
      </c>
      <c r="BJ75" s="234"/>
      <c r="BK75" s="235">
        <f>SUM(BK6:BK74)</f>
        <v>40024.419999999998</v>
      </c>
      <c r="BL75" s="234"/>
      <c r="BM75" s="235">
        <f>SUM(BM6:BM74)</f>
        <v>195703.27000000002</v>
      </c>
      <c r="BN75" s="234"/>
      <c r="BO75" s="235">
        <f>SUM(BO6:BO74)</f>
        <v>54625.860000000001</v>
      </c>
      <c r="BP75" s="234"/>
      <c r="BQ75" s="235">
        <f>SUM(BQ6:BQ74)</f>
        <v>0</v>
      </c>
      <c r="BR75" s="234"/>
      <c r="BS75" s="225"/>
      <c r="BT75" s="235">
        <f>SUM(BT6:BT74)</f>
        <v>2831640.2000000007</v>
      </c>
      <c r="BU75" s="234"/>
    </row>
    <row r="76" spans="1:73" ht="15" thickBot="1">
      <c r="A76" s="233"/>
      <c r="B76" s="232"/>
      <c r="C76" s="231"/>
      <c r="D76" s="230">
        <f>SUM(D6:D74)</f>
        <v>0</v>
      </c>
      <c r="E76" s="231"/>
      <c r="F76" s="230">
        <f>SUM(F6:F74)</f>
        <v>0</v>
      </c>
      <c r="G76" s="231"/>
      <c r="H76" s="230">
        <f>SUM(H6:H74)</f>
        <v>4607604.9399999985</v>
      </c>
      <c r="I76" s="231"/>
      <c r="J76" s="230">
        <f>SUM(J6:J74)</f>
        <v>12564255.377349477</v>
      </c>
      <c r="K76" s="231"/>
      <c r="L76" s="230">
        <f>SUM(L6:L74)</f>
        <v>0</v>
      </c>
      <c r="M76" s="231"/>
      <c r="N76" s="230">
        <f>SUM(N6:N74)</f>
        <v>10745.825000000001</v>
      </c>
      <c r="O76" s="231"/>
      <c r="P76" s="230">
        <f>SUM(P6:P74)</f>
        <v>0</v>
      </c>
      <c r="Q76" s="231"/>
      <c r="R76" s="230">
        <f>SUM(R6:R74)</f>
        <v>7300046.7799999993</v>
      </c>
      <c r="S76" s="231"/>
      <c r="T76" s="230">
        <f>SUM(T6:T74)</f>
        <v>3202765.2650000001</v>
      </c>
      <c r="U76" s="231"/>
      <c r="V76" s="230">
        <f>SUM(V6:V74)</f>
        <v>0</v>
      </c>
      <c r="W76" s="231"/>
      <c r="X76" s="230">
        <f>SUM(X6:X74)</f>
        <v>6036574.254999998</v>
      </c>
      <c r="Y76" s="231"/>
      <c r="Z76" s="230">
        <f>SUM(Z6:Z74)</f>
        <v>0</v>
      </c>
      <c r="AA76" s="231"/>
      <c r="AB76" s="230">
        <f>SUM(AB6:AB74)</f>
        <v>1478771.625</v>
      </c>
      <c r="AC76" s="231"/>
      <c r="AD76" s="230">
        <f>SUM(AD6:AD74)</f>
        <v>0</v>
      </c>
      <c r="AE76" s="231"/>
      <c r="AF76" s="230">
        <f>SUM(AF6:AF74)</f>
        <v>622020.88</v>
      </c>
      <c r="AG76" s="231"/>
      <c r="AH76" s="230">
        <f>SUM(AH6:AH74)</f>
        <v>0</v>
      </c>
      <c r="AI76" s="231"/>
      <c r="AJ76" s="230">
        <f>SUM(AJ6:AJ74)</f>
        <v>0</v>
      </c>
      <c r="AK76" s="231"/>
      <c r="AL76" s="230">
        <f>SUM(AL6:AL74)</f>
        <v>0</v>
      </c>
      <c r="AM76" s="231"/>
      <c r="AN76" s="230">
        <f>SUM(AN6:AN74)</f>
        <v>635652.75</v>
      </c>
      <c r="AO76" s="231"/>
      <c r="AP76" s="230">
        <f>SUM(AP6:AP74)</f>
        <v>1013525.7000000001</v>
      </c>
      <c r="AQ76" s="231"/>
      <c r="AR76" s="230">
        <f>SUM(AR6:AR74)</f>
        <v>0</v>
      </c>
      <c r="AS76" s="231"/>
      <c r="AT76" s="230">
        <f>SUM(AT6:AT74)</f>
        <v>2742194.7900000005</v>
      </c>
      <c r="AU76" s="231"/>
      <c r="AV76" s="230">
        <f>SUM(AV6:AV74)</f>
        <v>116956.875</v>
      </c>
      <c r="AW76" s="231"/>
      <c r="AX76" s="230">
        <f>SUM(AX6:AX74)</f>
        <v>247235.62499999997</v>
      </c>
      <c r="AY76" s="231"/>
      <c r="AZ76" s="230">
        <f>SUM(AZ6:AZ74)</f>
        <v>2771660.855</v>
      </c>
      <c r="BA76" s="231"/>
      <c r="BB76" s="230">
        <f>SUM(BB6:BB74)</f>
        <v>0</v>
      </c>
      <c r="BC76" s="231"/>
      <c r="BD76" s="230">
        <f>SUM(BD6:BD74)</f>
        <v>161046.76999999999</v>
      </c>
      <c r="BE76" s="231"/>
      <c r="BF76" s="230">
        <f>SUM(BF6:BF74)</f>
        <v>330921.435</v>
      </c>
      <c r="BG76" s="231"/>
      <c r="BH76" s="230">
        <f>SUM(BH6:BH74)</f>
        <v>7189891.3599999994</v>
      </c>
      <c r="BI76" s="231"/>
      <c r="BJ76" s="230">
        <f>SUM(BJ6:BJ74)</f>
        <v>0</v>
      </c>
      <c r="BK76" s="231"/>
      <c r="BL76" s="230">
        <f>SUM(BL6:BL74)</f>
        <v>980598.28999999992</v>
      </c>
      <c r="BM76" s="231"/>
      <c r="BN76" s="230">
        <f>SUM(BN6:BN74)</f>
        <v>3310720.9250000003</v>
      </c>
      <c r="BO76" s="231"/>
      <c r="BP76" s="230">
        <f>SUM(BP6:BP74)</f>
        <v>1198990.51</v>
      </c>
      <c r="BQ76" s="231"/>
      <c r="BR76" s="230">
        <f>SUM(BR6:BR74)</f>
        <v>0</v>
      </c>
      <c r="BS76" s="225"/>
      <c r="BT76" s="231"/>
      <c r="BU76" s="230">
        <f>SUM(BU6:BU74)</f>
        <v>56522180.832349472</v>
      </c>
    </row>
    <row r="77" spans="1:73" ht="14.25">
      <c r="A77" s="229"/>
      <c r="B77" s="228"/>
      <c r="C77" s="224">
        <f>IFERROR(ROUND(D76/C75,2),0)</f>
        <v>0</v>
      </c>
      <c r="D77" s="223"/>
      <c r="E77" s="224">
        <f>IFERROR(ROUND(F76/E75,2),0)</f>
        <v>0</v>
      </c>
      <c r="F77" s="223"/>
      <c r="G77" s="224">
        <f>IFERROR(ROUND(H76/G75,2),0)</f>
        <v>21.850000000000001</v>
      </c>
      <c r="H77" s="223"/>
      <c r="I77" s="224">
        <f>IFERROR(ROUND(J76/I75,2),0)</f>
        <v>32.5</v>
      </c>
      <c r="J77" s="223"/>
      <c r="K77" s="224">
        <f>IFERROR(ROUND(L76/K75,2),0)</f>
        <v>0</v>
      </c>
      <c r="L77" s="223"/>
      <c r="M77" s="224">
        <f>IFERROR(ROUND(N76/M75,2),0)</f>
        <v>6.9699999999999998</v>
      </c>
      <c r="N77" s="223"/>
      <c r="O77" s="224">
        <f>IFERROR(ROUND(P76/O75,2),0)</f>
        <v>0</v>
      </c>
      <c r="P77" s="223"/>
      <c r="Q77" s="224">
        <f>IFERROR(ROUND(R76/Q75,2),0)</f>
        <v>21.489999999999998</v>
      </c>
      <c r="R77" s="223"/>
      <c r="S77" s="224">
        <f>IFERROR(ROUND(T76/S75,2),0)</f>
        <v>44.329999999999998</v>
      </c>
      <c r="T77" s="223"/>
      <c r="U77" s="224">
        <f>IFERROR(ROUND(V76/U75,2),0)</f>
        <v>0</v>
      </c>
      <c r="V77" s="223"/>
      <c r="W77" s="227">
        <f>IFERROR(ROUND(X76/W75,2),0)</f>
        <v>18.030000000000001</v>
      </c>
      <c r="X77" s="223"/>
      <c r="Y77" s="226">
        <f>IFERROR(ROUND(Z76/Y75,2),0)</f>
        <v>0</v>
      </c>
      <c r="Z77" s="226"/>
      <c r="AA77" s="224">
        <f>IFERROR(ROUND(AB76/AA75,2),0)</f>
        <v>85.260000000000005</v>
      </c>
      <c r="AB77" s="223"/>
      <c r="AC77" s="226">
        <f>IFERROR(ROUND(AD76/AC75,2),0)</f>
        <v>0</v>
      </c>
      <c r="AD77" s="226"/>
      <c r="AE77" s="224">
        <f>IFERROR(ROUND(AF76/AE75,2),0)</f>
        <v>39.840000000000003</v>
      </c>
      <c r="AF77" s="223"/>
      <c r="AG77" s="224">
        <f>IFERROR(ROUND(AH76/AG75,2),0)</f>
        <v>0</v>
      </c>
      <c r="AH77" s="223"/>
      <c r="AI77" s="224">
        <f>IFERROR(ROUND(AJ76/AI75,2),0)</f>
        <v>0</v>
      </c>
      <c r="AJ77" s="223"/>
      <c r="AK77" s="224">
        <f>IFERROR(ROUND(AL76/AK75,2),0)</f>
        <v>0</v>
      </c>
      <c r="AL77" s="223"/>
      <c r="AM77" s="224">
        <f>IFERROR(ROUND(AN76/AM75,2),0)</f>
        <v>7.5</v>
      </c>
      <c r="AN77" s="223"/>
      <c r="AO77" s="224">
        <f>IFERROR(ROUND(AP76/AO75,2),0)</f>
        <v>8.5899999999999999</v>
      </c>
      <c r="AP77" s="223"/>
      <c r="AQ77" s="224">
        <f>IFERROR(ROUND(AR76/AQ75,2),0)</f>
        <v>0</v>
      </c>
      <c r="AR77" s="223"/>
      <c r="AS77" s="224">
        <f>IFERROR(ROUND(AT76/AS75,2),0)</f>
        <v>7.5199999999999996</v>
      </c>
      <c r="AT77" s="223"/>
      <c r="AU77" s="224">
        <f>IFERROR(ROUND(AV76/AU75,2),0)</f>
        <v>9.5</v>
      </c>
      <c r="AV77" s="223"/>
      <c r="AW77" s="224">
        <f>IFERROR(ROUND(AX76/AW75,2),0)</f>
        <v>12.5</v>
      </c>
      <c r="AX77" s="223"/>
      <c r="AY77" s="224">
        <f>IFERROR(ROUND(AZ76/AY75,2),0)</f>
        <v>12.109999999999999</v>
      </c>
      <c r="AZ77" s="223"/>
      <c r="BA77" s="224">
        <f>IFERROR(ROUND(BB76/BA75,2),0)</f>
        <v>0</v>
      </c>
      <c r="BB77" s="223"/>
      <c r="BC77" s="224">
        <f>IFERROR(ROUND(BD76/BC75,2),0)</f>
        <v>20.5</v>
      </c>
      <c r="BD77" s="223"/>
      <c r="BE77" s="224">
        <f>IFERROR(ROUND(BF76/BE75,2),0)</f>
        <v>46.5</v>
      </c>
      <c r="BF77" s="223"/>
      <c r="BG77" s="224">
        <f>IFERROR(ROUND(BH76/BG75,2),0)</f>
        <v>22.52</v>
      </c>
      <c r="BH77" s="223"/>
      <c r="BI77" s="224">
        <f>IFERROR(ROUND(BJ76/BI75,2),0)</f>
        <v>0</v>
      </c>
      <c r="BJ77" s="223"/>
      <c r="BK77" s="224">
        <f>IFERROR(ROUND(BL76/BK75,2),0)</f>
        <v>24.5</v>
      </c>
      <c r="BL77" s="223"/>
      <c r="BM77" s="224">
        <f>IFERROR(ROUND(BN76/BM75,2),0)</f>
        <v>16.920000000000002</v>
      </c>
      <c r="BN77" s="223"/>
      <c r="BO77" s="224">
        <f>IFERROR(ROUND(BP76/BO75,2),0)</f>
        <v>21.949999999999999</v>
      </c>
      <c r="BP77" s="223"/>
      <c r="BQ77" s="224">
        <f>IFERROR(ROUND(BR76/BQ75,2),0)</f>
        <v>0</v>
      </c>
      <c r="BR77" s="223"/>
      <c r="BS77" s="225"/>
      <c r="BT77" s="224">
        <f>IFERROR(ROUND(BU76/BT75,2),0)</f>
        <v>19.960000000000001</v>
      </c>
      <c r="BU77" s="223"/>
    </row>
  </sheetData>
  <mergeCells count="9">
    <mergeCell ref="BC1:BU1"/>
    <mergeCell ref="BC2:BU2"/>
    <mergeCell ref="BC3:BU3"/>
    <mergeCell ref="G1:AB1"/>
    <mergeCell ref="G2:AB2"/>
    <mergeCell ref="G3:AB3"/>
    <mergeCell ref="AE1:AZ1"/>
    <mergeCell ref="AE2:AZ2"/>
    <mergeCell ref="AE3:AZ3"/>
  </mergeCells>
  <printOptions horizontalCentered="1"/>
  <pageMargins left="0.5" right="0.5" top="0.97" bottom="0.5" header="0.5" footer="0.2"/>
  <pageSetup fitToWidth="0" orientation="portrait" scale="65" r:id="rId1"/>
  <headerFooter>
    <oddHeader>&amp;L&amp;"Arial,Bold"&amp;12Florida Public Utilities Natural Gas Division
2023 Consolidated Depreciation Study Workbook
Docket No. 20220067&amp;R&amp;"Arial,Bold"&amp;12Revised Exhibit PSL-2
Page &amp;P of 93
Schedule F</oddHeader>
    <oddFooter>&amp;C&amp;A</oddFooter>
  </headerFooter>
  <colBreaks count="2" manualBreakCount="2">
    <brk id="28" max="1048575" man="1"/>
    <brk id="54" max="1048575" man="1"/>
  </colBreaks>
</worksheet>
</file>

<file path=customXml/item1.xml>��< ? x m l   v e r s i o n = " 1 . 0 "   e n c o d i n g = " u t f - 1 6 " ? >  
 < p r o p e r t i e s   x m l n s = " h t t p : / / w w w . i m a n a g e . c o m / w o r k / x m l s c h e m a " >  
     < d o c u m e n t i d > A C T I V E ! 1 6 0 6 1 6 3 2 . 1 < / d o c u m e n t i d >  
     < s e n d e r i d > K E A B E T < / s e n d e r i d >  
     < s e n d e r e m a i l > B K E A T I N G @ G U N S T E R . C O M < / s e n d e r e m a i l >  
     < l a s t m o d i f i e d > 2 0 2 2 - 0 9 - 1 2 T 1 5 : 0 4 : 2 2 . 0 0 0 0 0 0 0 - 0 4 : 0 0 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2</DocSecurity>
  <ScaleCrop>false</ScaleCrop>
  <HeadingPairs>
    <vt:vector size="2" baseType="variant">
      <vt:variant>
        <vt:lpstr>Worksheets</vt:lpstr>
      </vt:variant>
      <vt:variant>
        <vt:i4>29</vt:i4>
      </vt:variant>
    </vt:vector>
  </HeadingPairs>
  <TitlesOfParts>
    <vt:vector size="29" baseType="lpstr">
      <vt:lpstr>Input</vt:lpstr>
      <vt:lpstr>Index</vt:lpstr>
      <vt:lpstr>Sch. A</vt:lpstr>
      <vt:lpstr>Sch. B</vt:lpstr>
      <vt:lpstr>Sch. C</vt:lpstr>
      <vt:lpstr>Sch. D</vt:lpstr>
      <vt:lpstr>Sch. E</vt:lpstr>
      <vt:lpstr>Sch. F 2018</vt:lpstr>
      <vt:lpstr>Sch. F 2019</vt:lpstr>
      <vt:lpstr>Sch. F 2020</vt:lpstr>
      <vt:lpstr>Sch. F 2021</vt:lpstr>
      <vt:lpstr>Sch. F 2022</vt:lpstr>
      <vt:lpstr>Sch. F 2022 p2</vt:lpstr>
      <vt:lpstr>Sch. G 2018</vt:lpstr>
      <vt:lpstr>Sch. G 2018 - Notes</vt:lpstr>
      <vt:lpstr>Sch. G 2019</vt:lpstr>
      <vt:lpstr>Sch. G 2019 - Notes</vt:lpstr>
      <vt:lpstr>Sch. G 2020</vt:lpstr>
      <vt:lpstr>Sch. G 2020 - Notes</vt:lpstr>
      <vt:lpstr>Sch. G 2021</vt:lpstr>
      <vt:lpstr>Sch. G 2021 - Notes</vt:lpstr>
      <vt:lpstr>Sch. G 2022</vt:lpstr>
      <vt:lpstr>Sch. H</vt:lpstr>
      <vt:lpstr>Sch. I</vt:lpstr>
      <vt:lpstr>Sch. J</vt:lpstr>
      <vt:lpstr>Sch. K</vt:lpstr>
      <vt:lpstr>Sch. L</vt:lpstr>
      <vt:lpstr>Sch. M</vt:lpstr>
      <vt:lpstr>Sch. N</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