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 20220067-GU\ROG's and POD's\OPC\ROG's 1-120\Filing\"/>
    </mc:Choice>
  </mc:AlternateContent>
  <bookViews>
    <workbookView xWindow="0" yWindow="45" windowWidth="15525" windowHeight="7335" activeTab="2"/>
  </bookViews>
  <sheets>
    <sheet name="FN" sheetId="2" r:id="rId1"/>
    <sheet name="CFG" sheetId="3" r:id="rId2"/>
    <sheet name="FI" sheetId="4" r:id="rId3"/>
    <sheet name="FT" sheetId="5" r:id="rId4"/>
  </sheets>
  <definedNames>
    <definedName name="_xlnm.Print_Area" localSheetId="0">FN!$A$1:$R$44</definedName>
  </definedNames>
  <calcPr calcId="162913"/>
</workbook>
</file>

<file path=xl/calcChain.xml><?xml version="1.0" encoding="utf-8"?>
<calcChain xmlns="http://schemas.openxmlformats.org/spreadsheetml/2006/main">
  <c r="R28" i="4" l="1"/>
  <c r="L33" i="4"/>
  <c r="N27" i="4" l="1"/>
  <c r="O27" i="4"/>
  <c r="P27" i="4"/>
  <c r="Q27" i="4"/>
  <c r="S24" i="2" l="1"/>
  <c r="S23" i="2"/>
  <c r="S9" i="3" l="1"/>
  <c r="S8" i="3"/>
  <c r="S36" i="3" l="1"/>
  <c r="S35" i="3"/>
  <c r="R13" i="3" l="1"/>
  <c r="S13" i="3" s="1"/>
  <c r="S10" i="3" l="1"/>
  <c r="S28" i="3"/>
  <c r="S27" i="3"/>
  <c r="S26" i="3"/>
  <c r="S15" i="3"/>
  <c r="S23" i="3"/>
  <c r="S18" i="3"/>
  <c r="S24" i="4"/>
  <c r="S23" i="4"/>
  <c r="S17" i="4"/>
  <c r="S16" i="4"/>
  <c r="S15" i="4"/>
  <c r="S14" i="4"/>
  <c r="S13" i="4"/>
  <c r="S12" i="4"/>
  <c r="S10" i="4"/>
  <c r="S6" i="4"/>
  <c r="S9" i="4"/>
  <c r="S8" i="4"/>
  <c r="S19" i="5"/>
  <c r="S18" i="5"/>
  <c r="S14" i="5"/>
  <c r="S13" i="5"/>
  <c r="S6" i="5"/>
  <c r="S8" i="5"/>
  <c r="R25" i="4"/>
  <c r="S33" i="2" l="1"/>
  <c r="S32" i="2"/>
  <c r="S29" i="2"/>
  <c r="S26" i="2"/>
  <c r="S10" i="2"/>
  <c r="S9" i="2"/>
  <c r="S8" i="2"/>
  <c r="S7" i="2"/>
  <c r="S17" i="2"/>
  <c r="S14" i="2"/>
  <c r="S13" i="2"/>
  <c r="G15" i="2"/>
  <c r="R15" i="5" l="1"/>
  <c r="Q15" i="5"/>
  <c r="P15" i="5"/>
  <c r="O15" i="5"/>
  <c r="N15" i="5"/>
  <c r="M15" i="5"/>
  <c r="L15" i="5"/>
  <c r="K15" i="5"/>
  <c r="J15" i="5"/>
  <c r="I15" i="5"/>
  <c r="H15" i="5"/>
  <c r="G15" i="5"/>
  <c r="F15" i="5"/>
  <c r="R30" i="3"/>
  <c r="S30" i="3" s="1"/>
  <c r="G19" i="2"/>
  <c r="S15" i="5" l="1"/>
  <c r="H19" i="2"/>
  <c r="I19" i="2" l="1"/>
  <c r="F25" i="4"/>
  <c r="F20" i="4"/>
  <c r="G11" i="4"/>
  <c r="F20" i="5"/>
  <c r="J19" i="2" l="1"/>
  <c r="H11" i="4"/>
  <c r="I11" i="4" s="1"/>
  <c r="J11" i="4" s="1"/>
  <c r="K11" i="4" s="1"/>
  <c r="L11" i="4" s="1"/>
  <c r="M11" i="4" s="1"/>
  <c r="N11" i="4" s="1"/>
  <c r="O11" i="4" s="1"/>
  <c r="P11" i="4" s="1"/>
  <c r="Q11" i="4" s="1"/>
  <c r="R11" i="4" s="1"/>
  <c r="R31" i="3"/>
  <c r="S31" i="3" s="1"/>
  <c r="K19" i="2" l="1"/>
  <c r="S11" i="4"/>
  <c r="L19" i="2" l="1"/>
  <c r="Q37" i="3"/>
  <c r="P37" i="3"/>
  <c r="O37" i="3"/>
  <c r="N37" i="3"/>
  <c r="M37" i="3"/>
  <c r="L37" i="3"/>
  <c r="K37" i="3"/>
  <c r="J37" i="3"/>
  <c r="I37" i="3"/>
  <c r="H37" i="3"/>
  <c r="G37" i="3"/>
  <c r="F37" i="3"/>
  <c r="M19" i="2" l="1"/>
  <c r="N19" i="2" l="1"/>
  <c r="O19" i="2" l="1"/>
  <c r="R27" i="2"/>
  <c r="S27" i="2" s="1"/>
  <c r="P19" i="2" l="1"/>
  <c r="G28" i="2"/>
  <c r="H15" i="2"/>
  <c r="Q19" i="2" l="1"/>
  <c r="H28" i="2"/>
  <c r="I15" i="2"/>
  <c r="R19" i="2" l="1"/>
  <c r="J15" i="2"/>
  <c r="S19" i="2" l="1"/>
  <c r="K15" i="2"/>
  <c r="L15" i="2" l="1"/>
  <c r="M15" i="2" l="1"/>
  <c r="G20" i="5" l="1"/>
  <c r="G25" i="4"/>
  <c r="H20" i="5"/>
  <c r="N15" i="2"/>
  <c r="I20" i="5" l="1"/>
  <c r="H25" i="4"/>
  <c r="O15" i="2"/>
  <c r="J20" i="5" l="1"/>
  <c r="I25" i="4"/>
  <c r="P15" i="2"/>
  <c r="K20" i="5" l="1"/>
  <c r="J25" i="4"/>
  <c r="Q15" i="2"/>
  <c r="L20" i="5" l="1"/>
  <c r="K25" i="4"/>
  <c r="R15" i="2"/>
  <c r="S15" i="2" l="1"/>
  <c r="M20" i="5"/>
  <c r="L25" i="4"/>
  <c r="N20" i="5" l="1"/>
  <c r="M25" i="4"/>
  <c r="O20" i="5" l="1"/>
  <c r="N25" i="4"/>
  <c r="P20" i="5" l="1"/>
  <c r="O25" i="4"/>
  <c r="Q20" i="5" l="1"/>
  <c r="P25" i="4"/>
  <c r="R20" i="5" l="1"/>
  <c r="S20" i="5" s="1"/>
  <c r="Q25" i="4"/>
  <c r="S25" i="4" s="1"/>
  <c r="R37" i="3" l="1"/>
  <c r="S37" i="3" l="1"/>
  <c r="O28" i="2" l="1"/>
  <c r="Q28" i="2"/>
  <c r="P28" i="2"/>
  <c r="R28" i="2"/>
  <c r="S28" i="2" l="1"/>
  <c r="R7" i="3" l="1"/>
  <c r="S7" i="3" l="1"/>
  <c r="G18" i="4" l="1"/>
  <c r="H18" i="4" l="1"/>
  <c r="G19" i="4"/>
  <c r="G20" i="4" l="1"/>
  <c r="I18" i="4"/>
  <c r="H19" i="4"/>
  <c r="H20" i="4" s="1"/>
  <c r="J18" i="4" l="1"/>
  <c r="I19" i="4"/>
  <c r="I20" i="4" s="1"/>
  <c r="R20" i="3"/>
  <c r="S20" i="3" s="1"/>
  <c r="J19" i="4" l="1"/>
  <c r="J20" i="4" s="1"/>
  <c r="K18" i="4"/>
  <c r="K19" i="4" l="1"/>
  <c r="K20" i="4" s="1"/>
  <c r="L18" i="4"/>
  <c r="M18" i="4" l="1"/>
  <c r="L19" i="4"/>
  <c r="L20" i="4" l="1"/>
  <c r="N18" i="4"/>
  <c r="M19" i="4"/>
  <c r="M20" i="4" s="1"/>
  <c r="O18" i="4" l="1"/>
  <c r="N19" i="4"/>
  <c r="N20" i="4" s="1"/>
  <c r="P18" i="4" l="1"/>
  <c r="O19" i="4"/>
  <c r="O20" i="4" s="1"/>
  <c r="P19" i="4" l="1"/>
  <c r="P20" i="4" s="1"/>
  <c r="Q18" i="4"/>
  <c r="R18" i="4" s="1"/>
  <c r="S18" i="4" s="1"/>
  <c r="R19" i="4" l="1"/>
  <c r="R20" i="4" s="1"/>
  <c r="Q19" i="4"/>
  <c r="Q20" i="4" s="1"/>
  <c r="S20" i="4" l="1"/>
  <c r="S19" i="4"/>
  <c r="R19" i="3"/>
  <c r="S19" i="3" s="1"/>
</calcChain>
</file>

<file path=xl/sharedStrings.xml><?xml version="1.0" encoding="utf-8"?>
<sst xmlns="http://schemas.openxmlformats.org/spreadsheetml/2006/main" count="459" uniqueCount="182">
  <si>
    <t>Regulatory assets</t>
  </si>
  <si>
    <t>Deferred Rate Case - Miscellaneous Deferred Debits</t>
  </si>
  <si>
    <t>Retirement Plans - Other Regulatory Assets</t>
  </si>
  <si>
    <t>Regulatory Asset - Other Regulatory Assets (Self Ins)</t>
  </si>
  <si>
    <t>Regulatory liabilities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</si>
  <si>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</si>
  <si>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</si>
  <si>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</si>
  <si>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</si>
  <si>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</si>
  <si>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</si>
  <si>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</si>
  <si>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</si>
  <si>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</si>
  <si>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</si>
  <si>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</si>
  <si>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</si>
  <si>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GRIP Clearing - Miscellaneous Deferred Debits GRIP</t>
  </si>
  <si>
    <t>Environmental Regulatory Assets - Other Regulatory Assets</t>
  </si>
  <si>
    <t>Unrecovered Piping &amp; Conversion - Miscellaneous Deferred Debits</t>
  </si>
  <si>
    <t>Unrecovered Area Expansion Costs - Accounts Receivable</t>
  </si>
  <si>
    <t>Conservation Cost Recovery Liability - Other Deferred Credits</t>
  </si>
  <si>
    <t>26002530</t>
  </si>
  <si>
    <t>Over/Under Collections GRIP - Other Deferred Credits GRIP</t>
  </si>
  <si>
    <t>GRIP Clearing - Other Deferred Credits GRIP</t>
  </si>
  <si>
    <t>Over-recovered PGC - Other Deferred Credits</t>
  </si>
  <si>
    <t>Environmental Regulatory Assets - Environmental Regulatory Assets</t>
  </si>
  <si>
    <t>Environmental Regulatory Assets Contra - Environmental Regulatory Assets</t>
  </si>
  <si>
    <t>Flex Rate Liability - Prior Yr-Misc Current &amp; Accr Liab</t>
  </si>
  <si>
    <t>Self Insurance-Current - Misc Current &amp; Accrued Liabilities</t>
  </si>
  <si>
    <t>Operational Balancing Acct Credit - Operational Balancing Account</t>
  </si>
  <si>
    <t>Unrecovered PGC-DB CLR - Miscellaneous Deferred Debits</t>
  </si>
  <si>
    <t>Actual</t>
  </si>
  <si>
    <t>Forecast</t>
  </si>
  <si>
    <t>Unrecovered PGC-Operational Balance</t>
  </si>
  <si>
    <t>Regulatory Asset-Mic. Debit</t>
  </si>
  <si>
    <t>Over-recovered PGC - Unrecovered Purchased Gas Costs</t>
  </si>
  <si>
    <t>Regulatory Liabilities</t>
  </si>
  <si>
    <t xml:space="preserve">Conservation Cost Recovery  </t>
  </si>
  <si>
    <t>Regulatory Liability Tax Rate Change - Othr Reg Liab-Protected</t>
  </si>
  <si>
    <t>Regulatory Liability Tax Rate Change - Othr Reg Liab-Not Protected ACQ ADJ</t>
  </si>
  <si>
    <t>Self Insurance Asset - Other Regulatory Asset</t>
  </si>
  <si>
    <t>Regulatory Asset-COVID-19 - Other Regulatory Assets</t>
  </si>
  <si>
    <t>Docket # YYYY0004 / PSC-2000-1663-PAA-EG</t>
  </si>
  <si>
    <t>Docket # 20120036 / Order No. PSC-2012-0490-TRF-GU</t>
  </si>
  <si>
    <t>Docket # 20200194 / Order # PSC-2021-0266-S-PU</t>
  </si>
  <si>
    <t>Docket # 20220003 / Order No. PSC-20202-0063-PCO-GU</t>
  </si>
  <si>
    <t>Docket # 20080029 / Order No. PSC-2008-0134-PAA-PU</t>
  </si>
  <si>
    <t>Docket # 20180051 / Order # PSC-2019-0076-FOF-GU</t>
  </si>
  <si>
    <t>Docket/Order</t>
  </si>
  <si>
    <t>Docket # 20220004 / Orrder No. PSC-2022-0054-PCO-GU</t>
  </si>
  <si>
    <t>Docket # 20180054 / Order # PSC-2019-0078-FOF-GU</t>
  </si>
  <si>
    <t>Docket # 20070246 / Order No. PSC-2007-0531-TRF-EG</t>
  </si>
  <si>
    <t>Docket # 20180052 / Order # PSC-2019-0077-FOF-GU</t>
  </si>
  <si>
    <t>Docket # 20150191 / Order No. PSC-2015-0578-TRF-GU</t>
  </si>
  <si>
    <t>Docket # 20180053 / Order # PSC-2019-0079-FOF-GU</t>
  </si>
  <si>
    <t>Note A</t>
  </si>
  <si>
    <t>13 Month</t>
  </si>
  <si>
    <t>Average</t>
  </si>
  <si>
    <t>Florida Natural Gas</t>
  </si>
  <si>
    <t>Central Florida Gas</t>
  </si>
  <si>
    <t>Indiantown Gas</t>
  </si>
  <si>
    <t>OPC ROG 118</t>
  </si>
  <si>
    <t>Fort Meade</t>
  </si>
  <si>
    <t>Total Other Deferred Credits</t>
  </si>
  <si>
    <t>Docket # 20220003 / Order No. PSC-2022-0063-PCO-GU</t>
  </si>
  <si>
    <r>
      <rPr>
        <b/>
        <sz val="9.35"/>
        <rFont val="Calibri"/>
        <family val="2"/>
      </rPr>
      <t xml:space="preserve">Note A. </t>
    </r>
    <r>
      <rPr>
        <sz val="11"/>
        <rFont val="Calibri"/>
        <family val="2"/>
        <scheme val="minor"/>
      </rPr>
      <t xml:space="preserve">The Commission approved a temporary surcharge in Docket No. 20090125-GU, which was thereafter extended through August 31, 2015, by Order No. PSC-2014-0052-PAA-GU, issued January 27, 2014, </t>
    </r>
  </si>
  <si>
    <t xml:space="preserve">in Docket No. 20130273-GU.  By PSC-2016-0562-PAA-GU, issued December 16, 2016, in Docket No. 20160153-GU, the Commission allowed CFG to retain the final, over-collected amount of $313,430 in Account No. 254 </t>
  </si>
  <si>
    <t>Docket # 20200194 / Order No. PSC-2021-0266-S-PU</t>
  </si>
  <si>
    <t>Included In</t>
  </si>
  <si>
    <t>Cost of Capital</t>
  </si>
  <si>
    <t>Working Capital</t>
  </si>
  <si>
    <t>Part B</t>
  </si>
  <si>
    <t>Part C and D</t>
  </si>
  <si>
    <t>Part A</t>
  </si>
  <si>
    <t>Other deferred credits</t>
  </si>
  <si>
    <t>Other deferred debits</t>
  </si>
  <si>
    <t>Other regulatory assets</t>
  </si>
  <si>
    <t>Tax Rate Change</t>
  </si>
  <si>
    <t>Total regulatory Liability Tax Rate Change</t>
  </si>
  <si>
    <t>Other Deferred Credits</t>
  </si>
  <si>
    <t>File Reference for support</t>
  </si>
  <si>
    <t xml:space="preserve">Docket # 19941291-GU / PSC-1995-0162-FOF-GU </t>
  </si>
  <si>
    <t xml:space="preserve">Docket No 19980895-GU / Order No. PSC-1998-1485-FOF-GU </t>
  </si>
  <si>
    <t>Deducted from working capital</t>
  </si>
  <si>
    <t>Treatment/Explanations</t>
  </si>
  <si>
    <t>as a regulatory liability for purposes of addressing the future expected remediation costs associated with remaining remediation requirements, which would then be reviewed in the Company’s next rate case.</t>
  </si>
  <si>
    <r>
      <t xml:space="preserve">Docket # 19941291-GU / PSC-1995-0162-FOF-GU </t>
    </r>
    <r>
      <rPr>
        <b/>
        <sz val="9.35"/>
        <rFont val="Calibri"/>
        <family val="2"/>
      </rPr>
      <t>(Note A)</t>
    </r>
  </si>
  <si>
    <t>Included in working capital since they are part of our GRIP Program. We are allowed to recover the asset associated with GRIP.</t>
  </si>
  <si>
    <t>Included in working capital. The Commission authorized the Company to establish a regulatory asset associated with incremental expenses incurred serving customers during COVID-19 pandemic.</t>
  </si>
  <si>
    <t>Pending approval in Docket # 20220067-GU</t>
  </si>
  <si>
    <t>Included 50% of 2023 estimated costs from working capital, per the Commission's policy. No adjustment was made for 2021.</t>
  </si>
  <si>
    <t>Docket #20040216-GU/ Order No. PSC-2004-1110-PAA-GU</t>
  </si>
  <si>
    <t>Excluded from working capital. Per the Company's testimony in this docket, these are included in cost of capital</t>
  </si>
  <si>
    <t>This amount was not excluded from working capital because it is associated with the liability account 26PG2530.  Therefore, the two were net out and since the net amount was a liability, no adjustment was made.</t>
  </si>
  <si>
    <t xml:space="preserve">Remain in Working Capital in 2021.  </t>
  </si>
  <si>
    <t>The Company included in working capital, the deferred costs associated with pension and other post retirement benefits of the Company employees because it was approved in a Commission Order.</t>
  </si>
  <si>
    <t>Flex Rate Asset - Misc Current &amp; Accrued Liabilities</t>
  </si>
  <si>
    <t>Flex Rate Asset - Prior Yr-Misc Current &amp; Accr Liab</t>
  </si>
  <si>
    <t>Self Insurance Current-Accumulated Provision for Injuries</t>
  </si>
  <si>
    <t>Storm Reserve</t>
  </si>
  <si>
    <t>Remains in working capital in 2021</t>
  </si>
  <si>
    <t>Deducted from working capital because it is a contra account to 16302420.  The net is considered an asset account</t>
  </si>
  <si>
    <t>Included in working capital. The Commission authorized the Company to establish a regulatory asset associated with incremental expenses incurred serving customers during COVID-19 pandemic.  There was no mention of removing the asset from rate base.</t>
  </si>
  <si>
    <t>Included in working capital since they are part of our GRIP Program. GRIP is treated as part of our regular base rates.</t>
  </si>
  <si>
    <t>Included in Working Capital in 2021.  Offset by 2609253G.</t>
  </si>
  <si>
    <t>Deducted from working capital because it was net against accounts receivables from the gas marketer accounts.</t>
  </si>
  <si>
    <t>Net against 26PG1910</t>
  </si>
  <si>
    <t>Net against 26OB1911</t>
  </si>
  <si>
    <t>Included in working capital in 2021.</t>
  </si>
  <si>
    <t>1620-1823</t>
  </si>
  <si>
    <t>1720-1823</t>
  </si>
  <si>
    <t>1781-1823</t>
  </si>
  <si>
    <t>17CO-1823</t>
  </si>
  <si>
    <t>1609-186G</t>
  </si>
  <si>
    <t>16PG-1860</t>
  </si>
  <si>
    <t>1773-1860</t>
  </si>
  <si>
    <t>1760-1860</t>
  </si>
  <si>
    <t>1774-1420</t>
  </si>
  <si>
    <t>2620-2282</t>
  </si>
  <si>
    <t>2805-2281</t>
  </si>
  <si>
    <t>2600-2530</t>
  </si>
  <si>
    <t>2605-253G</t>
  </si>
  <si>
    <t>2609-253G</t>
  </si>
  <si>
    <t>26PG-2530</t>
  </si>
  <si>
    <t>280R-254N</t>
  </si>
  <si>
    <t>280R-254P</t>
  </si>
  <si>
    <t>Natural/FERC Acct.</t>
  </si>
  <si>
    <t>26PG-1910</t>
  </si>
  <si>
    <t>26OB-1911</t>
  </si>
  <si>
    <t>1799-1860</t>
  </si>
  <si>
    <t>1691-1911</t>
  </si>
  <si>
    <t>1630-2420</t>
  </si>
  <si>
    <t>1630-2421</t>
  </si>
  <si>
    <t>1799-1740</t>
  </si>
  <si>
    <t>1720-1865</t>
  </si>
  <si>
    <t>1729-1865</t>
  </si>
  <si>
    <t>2611-2421</t>
  </si>
  <si>
    <t>2620-2420</t>
  </si>
  <si>
    <t>Remains in working capital in 2021.  It was left in even though it was an asset because it had a negative balance.</t>
  </si>
  <si>
    <t>Included in Working Capital in 2021 consistent with prior rate case treatment.</t>
  </si>
  <si>
    <t>Included in working capital. Piping and conversion costs are deferred and written off over 5 to 7 years. They are revenue producing programs that enable us to be competitive in the cost of building homes utilizing natural gas a a fuel option. This methodology is consistent with prior rate cases.</t>
  </si>
  <si>
    <t>Deducted from working capital in accordance with the tariff.</t>
  </si>
  <si>
    <t>OPC ROG 118.3 FN 1720-1823 Environmental Regulatory Assets</t>
  </si>
  <si>
    <t>OPC ROG 118.4 1781 1823 Retirement Plans reg asset</t>
  </si>
  <si>
    <t>OPC ROG 118.5 Covid Reg Asset Entries Final_Revised</t>
  </si>
  <si>
    <t>OPC ROG 118.6  Dec 2021 FN-GRIP REPORT</t>
  </si>
  <si>
    <t>OPC ROG 118.8 1773-1860 Unrecovered Piping &amp; Conversion 12-2021</t>
  </si>
  <si>
    <t>OPC ROG 118.9 FN 1760-1860 Deferred Rate December 2021</t>
  </si>
  <si>
    <t>OPC ROG 118.5 Covid Reg Asset Entries Final_Revised, OPC ROG 118.5 FN 17CO_1823 Covid19 balancesheet 12_21</t>
  </si>
  <si>
    <r>
      <rPr>
        <b/>
        <sz val="9.35"/>
        <rFont val="Calibri"/>
        <family val="2"/>
      </rPr>
      <t>NOTE A</t>
    </r>
    <r>
      <rPr>
        <sz val="11"/>
        <rFont val="Calibri"/>
        <family val="2"/>
        <scheme val="minor"/>
      </rPr>
      <t xml:space="preserve"> - The Comission originally approved the AEP in 1995 per Docket # 19941291-G, in oder No. PSC-1995-0162-FOF-GU. The AEP was modified in Docket # 200808366-GU, in Order No. PSC-2009-0375-PAA-GU.</t>
    </r>
  </si>
  <si>
    <t>Docket # 200808366-GU / Order No. PSC-2009-0375-PAA-GU</t>
  </si>
  <si>
    <t>Remain in Working Capital in 2021.  Reserve was included in the prior rate case.</t>
  </si>
  <si>
    <t>Included in working capital because the reserve allowance for self-insurance was approved in the last rate order.</t>
  </si>
  <si>
    <t>OPC ROG 118.7 FN 26PG Over-recoverd PCG 2012-12</t>
  </si>
  <si>
    <t>Excluded from working capital. Per the Company's testimony in this docket, these are included in cost of capital.</t>
  </si>
  <si>
    <t>OPC ROG 118.11 FN 2805-2281 Storm Reserve.xls</t>
  </si>
  <si>
    <t>OPC ROG 118.12 2019 FN Support before After Fed Rate Change</t>
  </si>
  <si>
    <t>OPC ROG 118.13 Under Over Recoveries Conservation 2021</t>
  </si>
  <si>
    <t>OPC ROG 118.14 CF GRIP Report 1221</t>
  </si>
  <si>
    <t>OPC ROG 118.15 CFG 1799 - Self Insurance Reg Asset</t>
  </si>
  <si>
    <t>Docket # 200000108-GU / Order # PSC-2000-2263-FOF-GU</t>
  </si>
  <si>
    <t>Included in working capital since there was no order to remove it. Self insurance was included in the 2000 rate case working capital.</t>
  </si>
  <si>
    <t>OPC ROG 118.16 CFG 260 - Self Insurance Current</t>
  </si>
  <si>
    <t xml:space="preserve">OPC ROG 118.17 CFG 1630 &amp; 2611  Comp Rate Adjust </t>
  </si>
  <si>
    <t>OPC ROG 118.18 2019 CF Support before After Fed Rate Change</t>
  </si>
  <si>
    <t>OPC ROG 118.19 26OB-CF OBA FY2021</t>
  </si>
  <si>
    <t>Docket No. 020277-GU / Order No. PSC-02-1646-TRF-GU and Docket No. 20030952-GU / Order No. PSC-04-0083-PAA-GU</t>
  </si>
  <si>
    <t>OPC ROG 118.20 CFG 1720 1729 Environmental Regulatory Assets Contra</t>
  </si>
  <si>
    <t>OPC ROG 118.5 Covid Reg Asset Entries Final_Revised, OPC ROG 118.21  CFG 17CO COVID19 Reg Asset</t>
  </si>
  <si>
    <t>OPC ROG 118.24 CFG 1760 Deferred Rate Case Costs</t>
  </si>
  <si>
    <t>OPC ROG 118.26 FI OBA Details</t>
  </si>
  <si>
    <t>OPC ROG 118.25 FI 1760 - Deferred Rate Case</t>
  </si>
  <si>
    <t>OPC ROG 118.5 Covid Reg Asset Entries Final_Revised, OPC ROG 118.27 17CO - FI Covid 19 Reg Asset</t>
  </si>
  <si>
    <t>OPC ROG 118.28 Miscealleous debit 1799 - FI Sale</t>
  </si>
  <si>
    <t>Included in working capital, loss on sale of utility plant</t>
  </si>
  <si>
    <t>OPC ROG 118.30 02_FT_GRIP Report Report - 1221</t>
  </si>
  <si>
    <t>OPC ROG 118.29 FT 1760 - Deferred Rate Case</t>
  </si>
  <si>
    <t>OPC ROG 118.23 2019 FI Support before After Fed Rate Change</t>
  </si>
  <si>
    <t>OPC ROG 118.22 2019 FT Support before After Fed Rate Change</t>
  </si>
  <si>
    <t>CONFIDENTIAL OPC ROG 118.2 FN 2620 2282 Self Insurance_2021</t>
  </si>
  <si>
    <t>CONFIDENTIAL OPC ROG 118.10 AEP 1774-1420 12_31_2021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</si>
</sst>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#,##0;\(#,###,##0\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.35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/>
    <xf numFmtId="0" fontId="6" fillId="0" borderId="0"/>
    <xf numFmtId="0" fontId="3" fillId="0" borderId="0"/>
  </cellStyleXfs>
  <cellXfs count="90">
    <xf numFmtId="0" fontId="0" fillId="0" borderId="0" xfId="0"/>
    <xf numFmtId="0" fontId="0" fillId="0" borderId="0" xfId="0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0" xfId="2" applyFont="1" applyFill="1" applyBorder="1"/>
    <xf numFmtId="164" fontId="5" fillId="0" borderId="0" xfId="2" applyNumberFormat="1" applyFont="1" applyFill="1" applyBorder="1"/>
    <xf numFmtId="164" fontId="5" fillId="0" borderId="0" xfId="0" applyNumberFormat="1" applyFont="1" applyFill="1" applyBorder="1"/>
    <xf numFmtId="165" fontId="5" fillId="0" borderId="0" xfId="1" applyNumberFormat="1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5" fillId="0" borderId="0" xfId="0" applyFont="1" applyFill="1" applyBorder="1" applyAlignment="1"/>
    <xf numFmtId="49" fontId="5" fillId="0" borderId="0" xfId="2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0" fontId="5" fillId="0" borderId="0" xfId="4" applyFont="1" applyFill="1" applyBorder="1" applyAlignment="1">
      <alignment horizontal="left"/>
    </xf>
    <xf numFmtId="43" fontId="5" fillId="0" borderId="0" xfId="1" applyFont="1" applyFill="1" applyBorder="1"/>
    <xf numFmtId="164" fontId="5" fillId="0" borderId="1" xfId="0" applyNumberFormat="1" applyFont="1" applyFill="1" applyBorder="1"/>
    <xf numFmtId="165" fontId="5" fillId="0" borderId="1" xfId="0" applyNumberFormat="1" applyFont="1" applyFill="1" applyBorder="1"/>
    <xf numFmtId="0" fontId="8" fillId="0" borderId="0" xfId="0" applyFont="1" applyFill="1" applyBorder="1" applyAlignment="1"/>
    <xf numFmtId="14" fontId="5" fillId="0" borderId="0" xfId="0" applyNumberFormat="1" applyFont="1" applyFill="1" applyBorder="1"/>
    <xf numFmtId="49" fontId="3" fillId="0" borderId="0" xfId="2" applyNumberForma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0" fillId="0" borderId="0" xfId="0" applyNumberFormat="1" applyFill="1" applyBorder="1"/>
    <xf numFmtId="165" fontId="0" fillId="0" borderId="0" xfId="0" applyNumberFormat="1" applyFill="1" applyBorder="1"/>
    <xf numFmtId="0" fontId="4" fillId="0" borderId="0" xfId="0" applyFont="1" applyFill="1" applyBorder="1"/>
    <xf numFmtId="0" fontId="2" fillId="0" borderId="0" xfId="0" applyFont="1" applyFill="1" applyBorder="1"/>
    <xf numFmtId="49" fontId="9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3"/>
    </xf>
    <xf numFmtId="165" fontId="0" fillId="0" borderId="1" xfId="0" applyNumberFormat="1" applyFill="1" applyBorder="1"/>
    <xf numFmtId="0" fontId="10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8" fillId="0" borderId="0" xfId="4" applyFont="1" applyFill="1" applyBorder="1" applyAlignment="1">
      <alignment horizontal="left"/>
    </xf>
    <xf numFmtId="0" fontId="2" fillId="0" borderId="0" xfId="0" applyFont="1" applyFill="1"/>
    <xf numFmtId="0" fontId="1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indent="3"/>
    </xf>
    <xf numFmtId="0" fontId="2" fillId="0" borderId="0" xfId="0" applyFont="1" applyFill="1" applyBorder="1" applyAlignment="1">
      <alignment horizontal="left"/>
    </xf>
    <xf numFmtId="43" fontId="0" fillId="0" borderId="1" xfId="1" applyFont="1" applyFill="1" applyBorder="1"/>
    <xf numFmtId="165" fontId="5" fillId="0" borderId="1" xfId="1" applyNumberFormat="1" applyFont="1" applyFill="1" applyBorder="1"/>
    <xf numFmtId="165" fontId="5" fillId="0" borderId="0" xfId="1" applyNumberFormat="1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164" fontId="5" fillId="0" borderId="0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left" vertical="top" indent="2"/>
    </xf>
    <xf numFmtId="0" fontId="5" fillId="0" borderId="0" xfId="0" applyFont="1" applyFill="1" applyBorder="1" applyAlignment="1">
      <alignment horizontal="left" vertical="top" indent="3"/>
    </xf>
    <xf numFmtId="165" fontId="5" fillId="0" borderId="0" xfId="1" applyNumberFormat="1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65" fontId="0" fillId="0" borderId="0" xfId="1" applyNumberFormat="1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0" fillId="0" borderId="0" xfId="0" applyFill="1"/>
    <xf numFmtId="0" fontId="5" fillId="0" borderId="0" xfId="0" applyFont="1" applyFill="1" applyAlignment="1">
      <alignment horizontal="left" vertical="top" wrapText="1"/>
    </xf>
    <xf numFmtId="43" fontId="5" fillId="0" borderId="0" xfId="1" applyNumberFormat="1" applyFont="1" applyFill="1" applyBorder="1"/>
    <xf numFmtId="0" fontId="5" fillId="0" borderId="0" xfId="0" applyFont="1" applyFill="1" applyAlignment="1">
      <alignment horizontal="left" vertical="top"/>
    </xf>
    <xf numFmtId="164" fontId="3" fillId="0" borderId="0" xfId="2" applyFill="1"/>
    <xf numFmtId="0" fontId="5" fillId="0" borderId="0" xfId="0" applyFont="1" applyFill="1" applyBorder="1" applyAlignment="1">
      <alignment horizontal="left" vertical="top" wrapText="1"/>
    </xf>
    <xf numFmtId="43" fontId="5" fillId="0" borderId="0" xfId="1" applyFont="1" applyFill="1" applyBorder="1" applyAlignment="1">
      <alignment vertical="top"/>
    </xf>
    <xf numFmtId="0" fontId="1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left" vertical="top"/>
    </xf>
    <xf numFmtId="164" fontId="3" fillId="0" borderId="0" xfId="2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Fill="1" applyBorder="1" applyAlignment="1">
      <alignment horizontal="left" vertical="top"/>
    </xf>
    <xf numFmtId="165" fontId="0" fillId="0" borderId="0" xfId="0" applyNumberForma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 wrapText="1"/>
    </xf>
    <xf numFmtId="165" fontId="3" fillId="0" borderId="0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vertical="top"/>
    </xf>
  </cellXfs>
  <cellStyles count="5">
    <cellStyle name="Comma" xfId="1" builtinId="3"/>
    <cellStyle name="FRxAmtStyle" xfId="2"/>
    <cellStyle name="Normal" xfId="0" builtinId="0"/>
    <cellStyle name="Normal 2" xfId="3"/>
    <cellStyle name="Normal_FN" xfId="4"/>
  </cellStyles>
  <dxfs count="0"/>
  <tableStyles count="0" defaultTableStyle="TableStyleMedium9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44"/>
  <sheetViews>
    <sheetView zoomScale="85" zoomScaleNormal="85" zoomScaleSheetLayoutView="7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D32" sqref="D32:D33"/>
    </sheetView>
  </sheetViews>
  <sheetFormatPr defaultColWidth="9.140625" defaultRowHeight="15" x14ac:dyDescent="0.25"/>
  <cols>
    <col min="1" max="1" width="77" style="3" customWidth="1"/>
    <col min="2" max="2" width="17.42578125" style="3" bestFit="1" customWidth="1"/>
    <col min="3" max="3" width="53.28515625" style="3" bestFit="1" customWidth="1"/>
    <col min="4" max="4" width="52.42578125" style="6" customWidth="1"/>
    <col min="5" max="5" width="16" style="6" bestFit="1" customWidth="1"/>
    <col min="6" max="19" width="16.7109375" style="3" customWidth="1"/>
    <col min="20" max="20" width="46.7109375" style="2" bestFit="1" customWidth="1"/>
    <col min="21" max="24" width="9.140625" style="2"/>
    <col min="25" max="25" width="11.85546875" style="2" customWidth="1"/>
    <col min="26" max="16384" width="9.140625" style="2"/>
  </cols>
  <sheetData>
    <row r="1" spans="1:29" x14ac:dyDescent="0.25">
      <c r="A1" s="37" t="s">
        <v>62</v>
      </c>
      <c r="B1" s="14" t="s">
        <v>59</v>
      </c>
      <c r="F1" s="8" t="s">
        <v>32</v>
      </c>
      <c r="G1" s="8" t="s">
        <v>32</v>
      </c>
      <c r="H1" s="8" t="s">
        <v>32</v>
      </c>
      <c r="I1" s="8" t="s">
        <v>32</v>
      </c>
      <c r="J1" s="8" t="s">
        <v>32</v>
      </c>
      <c r="K1" s="8" t="s">
        <v>32</v>
      </c>
      <c r="L1" s="8" t="s">
        <v>32</v>
      </c>
      <c r="M1" s="8" t="s">
        <v>32</v>
      </c>
      <c r="N1" s="8" t="s">
        <v>32</v>
      </c>
      <c r="O1" s="8" t="s">
        <v>32</v>
      </c>
      <c r="P1" s="8" t="s">
        <v>32</v>
      </c>
      <c r="Q1" s="8" t="s">
        <v>32</v>
      </c>
      <c r="R1" s="8" t="s">
        <v>32</v>
      </c>
      <c r="S1" s="8" t="s">
        <v>57</v>
      </c>
    </row>
    <row r="2" spans="1:29" x14ac:dyDescent="0.25">
      <c r="C2" s="3" t="s">
        <v>74</v>
      </c>
      <c r="D2" s="6" t="s">
        <v>72</v>
      </c>
      <c r="E2" s="6" t="s">
        <v>73</v>
      </c>
      <c r="F2" s="16" t="s">
        <v>12</v>
      </c>
      <c r="G2" s="16" t="s">
        <v>13</v>
      </c>
      <c r="H2" s="16" t="s">
        <v>14</v>
      </c>
      <c r="I2" s="16" t="s">
        <v>15</v>
      </c>
      <c r="J2" s="16" t="s">
        <v>16</v>
      </c>
      <c r="K2" s="16" t="s">
        <v>5</v>
      </c>
      <c r="L2" s="16" t="s">
        <v>6</v>
      </c>
      <c r="M2" s="16" t="s">
        <v>7</v>
      </c>
      <c r="N2" s="16" t="s">
        <v>8</v>
      </c>
      <c r="O2" s="16" t="s">
        <v>9</v>
      </c>
      <c r="P2" s="16" t="s">
        <v>10</v>
      </c>
      <c r="Q2" s="16" t="s">
        <v>11</v>
      </c>
      <c r="R2" s="16" t="s">
        <v>12</v>
      </c>
      <c r="S2" s="16" t="s">
        <v>58</v>
      </c>
    </row>
    <row r="3" spans="1:29" x14ac:dyDescent="0.25">
      <c r="A3" s="2"/>
      <c r="B3" s="3" t="s">
        <v>127</v>
      </c>
      <c r="C3" s="15" t="s">
        <v>49</v>
      </c>
      <c r="D3" s="6" t="s">
        <v>81</v>
      </c>
      <c r="E3" s="6" t="s">
        <v>69</v>
      </c>
      <c r="F3" s="8">
        <v>2020</v>
      </c>
      <c r="G3" s="8">
        <v>2021</v>
      </c>
      <c r="H3" s="8">
        <v>2021</v>
      </c>
      <c r="I3" s="8">
        <v>2021</v>
      </c>
      <c r="J3" s="8">
        <v>2021</v>
      </c>
      <c r="K3" s="8">
        <v>2021</v>
      </c>
      <c r="L3" s="8">
        <v>2021</v>
      </c>
      <c r="M3" s="8">
        <v>2021</v>
      </c>
      <c r="N3" s="8">
        <v>2021</v>
      </c>
      <c r="O3" s="8">
        <v>2021</v>
      </c>
      <c r="P3" s="8">
        <v>2021</v>
      </c>
      <c r="Q3" s="8">
        <v>2021</v>
      </c>
      <c r="R3" s="8">
        <v>2021</v>
      </c>
      <c r="S3" s="8">
        <v>2021</v>
      </c>
      <c r="T3" s="2" t="s">
        <v>85</v>
      </c>
    </row>
    <row r="4" spans="1:29" ht="15.75" x14ac:dyDescent="0.25">
      <c r="A4" s="67" t="s">
        <v>0</v>
      </c>
      <c r="C4" s="15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29" x14ac:dyDescent="0.25">
      <c r="A5" s="13"/>
      <c r="C5" s="15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9" x14ac:dyDescent="0.25">
      <c r="A6" s="36" t="s">
        <v>77</v>
      </c>
      <c r="B6" s="6"/>
      <c r="C6" s="15"/>
      <c r="F6" s="19"/>
      <c r="G6" s="9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9"/>
    </row>
    <row r="7" spans="1:29" ht="30" x14ac:dyDescent="0.25">
      <c r="A7" s="39" t="s">
        <v>41</v>
      </c>
      <c r="B7" s="6" t="s">
        <v>110</v>
      </c>
      <c r="C7" s="15" t="s">
        <v>151</v>
      </c>
      <c r="D7" s="65" t="s">
        <v>180</v>
      </c>
      <c r="E7" s="6" t="s">
        <v>71</v>
      </c>
      <c r="F7" s="11">
        <v>54504</v>
      </c>
      <c r="G7" s="17">
        <v>19863</v>
      </c>
      <c r="H7" s="17">
        <v>21532</v>
      </c>
      <c r="I7" s="17">
        <v>6308</v>
      </c>
      <c r="J7" s="17">
        <v>4542</v>
      </c>
      <c r="K7" s="17">
        <v>3785.04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f>+SUM(F7:R7)/13</f>
        <v>8502.6184615384609</v>
      </c>
      <c r="T7" s="2" t="s">
        <v>153</v>
      </c>
    </row>
    <row r="8" spans="1:29" s="50" customFormat="1" ht="30" x14ac:dyDescent="0.25">
      <c r="A8" s="52" t="s">
        <v>18</v>
      </c>
      <c r="B8" s="47" t="s">
        <v>111</v>
      </c>
      <c r="C8" s="48" t="s">
        <v>92</v>
      </c>
      <c r="D8" s="65" t="s">
        <v>143</v>
      </c>
      <c r="E8" s="47" t="s">
        <v>71</v>
      </c>
      <c r="F8" s="49">
        <v>1603930</v>
      </c>
      <c r="G8" s="57">
        <v>1565901</v>
      </c>
      <c r="H8" s="57">
        <v>1527872</v>
      </c>
      <c r="I8" s="57">
        <v>1489843</v>
      </c>
      <c r="J8" s="57">
        <v>1451814</v>
      </c>
      <c r="K8" s="57">
        <v>1413785</v>
      </c>
      <c r="L8" s="57">
        <v>1375756</v>
      </c>
      <c r="M8" s="57">
        <v>1337727</v>
      </c>
      <c r="N8" s="57">
        <v>1299698</v>
      </c>
      <c r="O8" s="57">
        <v>1261669</v>
      </c>
      <c r="P8" s="57">
        <v>1223640</v>
      </c>
      <c r="Q8" s="57">
        <v>1185611</v>
      </c>
      <c r="R8" s="57">
        <v>1147582</v>
      </c>
      <c r="S8" s="57">
        <f>+SUM(F8:R8)/13</f>
        <v>1375756</v>
      </c>
      <c r="T8" s="50" t="s">
        <v>140</v>
      </c>
    </row>
    <row r="9" spans="1:29" s="50" customFormat="1" ht="33.75" customHeight="1" x14ac:dyDescent="0.25">
      <c r="A9" s="52" t="s">
        <v>2</v>
      </c>
      <c r="B9" s="47" t="s">
        <v>112</v>
      </c>
      <c r="C9" s="48" t="s">
        <v>47</v>
      </c>
      <c r="D9" s="65" t="s">
        <v>144</v>
      </c>
      <c r="E9" s="47" t="s">
        <v>71</v>
      </c>
      <c r="F9" s="49">
        <v>11239311</v>
      </c>
      <c r="G9" s="49">
        <v>11239311</v>
      </c>
      <c r="H9" s="49">
        <v>11239311</v>
      </c>
      <c r="I9" s="49">
        <v>11156314</v>
      </c>
      <c r="J9" s="49">
        <v>11156314</v>
      </c>
      <c r="K9" s="49">
        <v>11156314</v>
      </c>
      <c r="L9" s="49">
        <v>11073317</v>
      </c>
      <c r="M9" s="49">
        <v>11073317</v>
      </c>
      <c r="N9" s="49">
        <v>11073317</v>
      </c>
      <c r="O9" s="49">
        <v>10990320</v>
      </c>
      <c r="P9" s="49">
        <v>10990320</v>
      </c>
      <c r="Q9" s="49">
        <v>10990320</v>
      </c>
      <c r="R9" s="49">
        <v>9408304</v>
      </c>
      <c r="S9" s="49">
        <f>+SUM(F9:R9)/13</f>
        <v>10983545.384615384</v>
      </c>
      <c r="T9" s="84" t="s">
        <v>96</v>
      </c>
      <c r="U9" s="84"/>
      <c r="V9" s="84"/>
      <c r="W9" s="84"/>
      <c r="X9" s="84"/>
      <c r="Y9" s="84"/>
    </row>
    <row r="10" spans="1:29" s="50" customFormat="1" ht="39" customHeight="1" x14ac:dyDescent="0.25">
      <c r="A10" s="52" t="s">
        <v>42</v>
      </c>
      <c r="B10" s="47" t="s">
        <v>113</v>
      </c>
      <c r="C10" s="48" t="s">
        <v>45</v>
      </c>
      <c r="D10" s="65" t="s">
        <v>149</v>
      </c>
      <c r="E10" s="47" t="s">
        <v>71</v>
      </c>
      <c r="F10" s="49">
        <v>762138</v>
      </c>
      <c r="G10" s="49">
        <v>782422</v>
      </c>
      <c r="H10" s="49">
        <v>800094</v>
      </c>
      <c r="I10" s="49">
        <v>660389</v>
      </c>
      <c r="J10" s="49">
        <v>679298</v>
      </c>
      <c r="K10" s="49">
        <v>695717</v>
      </c>
      <c r="L10" s="49">
        <v>623580</v>
      </c>
      <c r="M10" s="49">
        <v>577153</v>
      </c>
      <c r="N10" s="49">
        <v>577153</v>
      </c>
      <c r="O10" s="49">
        <v>577153</v>
      </c>
      <c r="P10" s="49">
        <v>577153</v>
      </c>
      <c r="Q10" s="49">
        <v>577153</v>
      </c>
      <c r="R10" s="49">
        <v>577153</v>
      </c>
      <c r="S10" s="49">
        <f>+SUM(F10:R10)/13</f>
        <v>651273.5384615385</v>
      </c>
      <c r="T10" s="84" t="s">
        <v>89</v>
      </c>
      <c r="U10" s="84"/>
      <c r="V10" s="84"/>
      <c r="W10" s="84"/>
      <c r="X10" s="84"/>
      <c r="Y10" s="84"/>
      <c r="Z10" s="84"/>
      <c r="AA10" s="84"/>
      <c r="AB10" s="84"/>
      <c r="AC10" s="84"/>
    </row>
    <row r="11" spans="1:29" x14ac:dyDescent="0.25">
      <c r="A11" s="6"/>
      <c r="B11" s="6"/>
      <c r="C11" s="15"/>
      <c r="D11" s="65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29" x14ac:dyDescent="0.25">
      <c r="A12" s="36" t="s">
        <v>76</v>
      </c>
      <c r="C12" s="15"/>
      <c r="D12" s="65"/>
    </row>
    <row r="13" spans="1:29" s="50" customFormat="1" ht="21.75" customHeight="1" x14ac:dyDescent="0.25">
      <c r="A13" s="52" t="s">
        <v>17</v>
      </c>
      <c r="B13" s="47" t="s">
        <v>114</v>
      </c>
      <c r="C13" s="48" t="s">
        <v>44</v>
      </c>
      <c r="D13" s="65" t="s">
        <v>146</v>
      </c>
      <c r="E13" s="47" t="s">
        <v>71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66">
        <v>0</v>
      </c>
      <c r="M13" s="49">
        <v>246006</v>
      </c>
      <c r="N13" s="49">
        <v>657100</v>
      </c>
      <c r="O13" s="49">
        <v>1028609</v>
      </c>
      <c r="P13" s="49">
        <v>1430062</v>
      </c>
      <c r="Q13" s="49">
        <v>1688294</v>
      </c>
      <c r="R13" s="49">
        <v>1786752</v>
      </c>
      <c r="S13" s="49">
        <f t="shared" ref="S13:S15" si="0">+SUM(F13:R13)/13</f>
        <v>525909.4615384615</v>
      </c>
      <c r="T13" s="63" t="s">
        <v>88</v>
      </c>
      <c r="U13" s="61"/>
      <c r="V13" s="61"/>
      <c r="W13" s="61"/>
      <c r="X13" s="61"/>
      <c r="Y13" s="61"/>
    </row>
    <row r="14" spans="1:29" s="50" customFormat="1" ht="50.25" customHeight="1" x14ac:dyDescent="0.25">
      <c r="A14" s="52" t="s">
        <v>31</v>
      </c>
      <c r="B14" s="47" t="s">
        <v>115</v>
      </c>
      <c r="C14" s="48" t="s">
        <v>46</v>
      </c>
      <c r="D14" s="65" t="s">
        <v>154</v>
      </c>
      <c r="E14" s="47" t="s">
        <v>71</v>
      </c>
      <c r="F14" s="49">
        <v>179296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1378445</v>
      </c>
      <c r="S14" s="57">
        <f t="shared" si="0"/>
        <v>119826.23076923077</v>
      </c>
      <c r="T14" s="84" t="s">
        <v>94</v>
      </c>
      <c r="U14" s="84"/>
      <c r="V14" s="84"/>
      <c r="W14" s="84"/>
      <c r="X14" s="84"/>
      <c r="Y14" s="84"/>
    </row>
    <row r="15" spans="1:29" s="50" customFormat="1" ht="50.25" customHeight="1" x14ac:dyDescent="0.25">
      <c r="A15" s="52" t="s">
        <v>19</v>
      </c>
      <c r="B15" s="47" t="s">
        <v>116</v>
      </c>
      <c r="C15" s="48" t="s">
        <v>82</v>
      </c>
      <c r="D15" s="65" t="s">
        <v>147</v>
      </c>
      <c r="E15" s="47" t="s">
        <v>71</v>
      </c>
      <c r="F15" s="49">
        <v>838066</v>
      </c>
      <c r="G15" s="49">
        <f>F15+11769-18182</f>
        <v>831653</v>
      </c>
      <c r="H15" s="49">
        <f>G15+11769-4152</f>
        <v>839270</v>
      </c>
      <c r="I15" s="49">
        <f>H15+11769-1242</f>
        <v>849797</v>
      </c>
      <c r="J15" s="49">
        <f>I15+11769-15660</f>
        <v>845906</v>
      </c>
      <c r="K15" s="49">
        <f>J15+11769-9551</f>
        <v>848124</v>
      </c>
      <c r="L15" s="49">
        <f>K15+11769-23719</f>
        <v>836174</v>
      </c>
      <c r="M15" s="49">
        <f>L15+11769-14890</f>
        <v>833053</v>
      </c>
      <c r="N15" s="49">
        <f>M15+11769-24426</f>
        <v>820396</v>
      </c>
      <c r="O15" s="49">
        <f>N15-11442</f>
        <v>808954</v>
      </c>
      <c r="P15" s="49">
        <f>O15-7042</f>
        <v>801912</v>
      </c>
      <c r="Q15" s="49">
        <f>P15-4532</f>
        <v>797380</v>
      </c>
      <c r="R15" s="49">
        <f>Q15-13984</f>
        <v>783396</v>
      </c>
      <c r="S15" s="49">
        <f t="shared" si="0"/>
        <v>825698.5384615385</v>
      </c>
      <c r="T15" s="84" t="s">
        <v>141</v>
      </c>
      <c r="U15" s="84"/>
      <c r="V15" s="84"/>
      <c r="W15" s="84"/>
      <c r="X15" s="84"/>
      <c r="Y15" s="84"/>
    </row>
    <row r="16" spans="1:29" x14ac:dyDescent="0.25">
      <c r="A16" s="6"/>
      <c r="B16" s="6"/>
      <c r="C16" s="15"/>
      <c r="D16" s="65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20" ht="30" x14ac:dyDescent="0.25">
      <c r="A17" s="13" t="s">
        <v>1</v>
      </c>
      <c r="B17" s="6" t="s">
        <v>117</v>
      </c>
      <c r="C17" s="5" t="s">
        <v>90</v>
      </c>
      <c r="D17" s="65" t="s">
        <v>148</v>
      </c>
      <c r="E17" s="6" t="s">
        <v>71</v>
      </c>
      <c r="F17" s="19">
        <v>0</v>
      </c>
      <c r="G17" s="9">
        <v>701</v>
      </c>
      <c r="H17" s="9">
        <v>7198</v>
      </c>
      <c r="I17" s="9">
        <v>20113</v>
      </c>
      <c r="J17" s="9">
        <v>25354</v>
      </c>
      <c r="K17" s="9">
        <v>28441.360000000001</v>
      </c>
      <c r="L17" s="9">
        <v>34488</v>
      </c>
      <c r="M17" s="10">
        <v>39304</v>
      </c>
      <c r="N17" s="9">
        <v>66450</v>
      </c>
      <c r="O17" s="9">
        <v>74394</v>
      </c>
      <c r="P17" s="9">
        <v>108375</v>
      </c>
      <c r="Q17" s="9">
        <v>135703</v>
      </c>
      <c r="R17" s="9">
        <v>289795</v>
      </c>
      <c r="S17" s="9">
        <f t="shared" ref="S17:S33" si="1">+SUM(F17:R17)/13</f>
        <v>63870.489230769228</v>
      </c>
      <c r="T17" s="3" t="s">
        <v>91</v>
      </c>
    </row>
    <row r="18" spans="1:20" x14ac:dyDescent="0.25">
      <c r="A18" s="6"/>
      <c r="B18" s="6"/>
      <c r="C18" s="15"/>
      <c r="D18" s="65"/>
      <c r="F18" s="19"/>
      <c r="G18" s="9"/>
      <c r="H18" s="9"/>
      <c r="I18" s="9"/>
      <c r="J18" s="9"/>
      <c r="K18" s="9"/>
      <c r="L18" s="9"/>
      <c r="M18" s="10"/>
      <c r="N18" s="9"/>
      <c r="O18" s="9"/>
      <c r="P18" s="9"/>
      <c r="Q18" s="9"/>
      <c r="R18" s="9"/>
      <c r="S18" s="9"/>
    </row>
    <row r="19" spans="1:20" ht="30" x14ac:dyDescent="0.25">
      <c r="A19" s="13" t="s">
        <v>20</v>
      </c>
      <c r="B19" s="6" t="s">
        <v>118</v>
      </c>
      <c r="C19" s="15" t="s">
        <v>87</v>
      </c>
      <c r="D19" s="65" t="s">
        <v>181</v>
      </c>
      <c r="E19" s="6" t="s">
        <v>71</v>
      </c>
      <c r="F19" s="11">
        <v>2717505</v>
      </c>
      <c r="G19" s="11">
        <f>F19-10961</f>
        <v>2706544</v>
      </c>
      <c r="H19" s="11">
        <f>G19-11314</f>
        <v>2695230</v>
      </c>
      <c r="I19" s="11">
        <f>H19-12108</f>
        <v>2683122</v>
      </c>
      <c r="J19" s="11">
        <f>I19-13408</f>
        <v>2669714</v>
      </c>
      <c r="K19" s="11">
        <f>J19+386157.54</f>
        <v>3055871.54</v>
      </c>
      <c r="L19" s="11">
        <f>K19-15056</f>
        <v>3040815.54</v>
      </c>
      <c r="M19" s="11">
        <f>L19+600634</f>
        <v>3641449.54</v>
      </c>
      <c r="N19" s="11">
        <f>M19-7795</f>
        <v>3633654.54</v>
      </c>
      <c r="O19" s="11">
        <f>N19-9323</f>
        <v>3624331.54</v>
      </c>
      <c r="P19" s="11">
        <f>O19-12046</f>
        <v>3612285.54</v>
      </c>
      <c r="Q19" s="11">
        <f>P19-13506</f>
        <v>3598779.54</v>
      </c>
      <c r="R19" s="11">
        <f>Q19+47103</f>
        <v>3645882.54</v>
      </c>
      <c r="S19" s="11">
        <f t="shared" si="1"/>
        <v>3178860.4092307687</v>
      </c>
      <c r="T19" s="2" t="s">
        <v>142</v>
      </c>
    </row>
    <row r="20" spans="1:20" x14ac:dyDescent="0.25">
      <c r="C20" s="15"/>
      <c r="D20" s="65"/>
      <c r="E20" s="3"/>
    </row>
    <row r="21" spans="1:20" x14ac:dyDescent="0.25">
      <c r="C21" s="15"/>
      <c r="D21" s="65"/>
      <c r="F21" s="17"/>
      <c r="G21" s="17"/>
      <c r="H21" s="17"/>
      <c r="I21" s="17"/>
      <c r="J21" s="17"/>
    </row>
    <row r="22" spans="1:20" ht="15.75" x14ac:dyDescent="0.25">
      <c r="A22" s="67" t="s">
        <v>4</v>
      </c>
      <c r="C22" s="15"/>
      <c r="D22" s="65"/>
    </row>
    <row r="23" spans="1:20" s="50" customFormat="1" ht="30" x14ac:dyDescent="0.25">
      <c r="A23" s="47" t="s">
        <v>99</v>
      </c>
      <c r="B23" s="47" t="s">
        <v>119</v>
      </c>
      <c r="C23" s="48" t="s">
        <v>151</v>
      </c>
      <c r="D23" s="82" t="s">
        <v>180</v>
      </c>
      <c r="E23" s="47" t="s">
        <v>71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-13747</v>
      </c>
      <c r="M23" s="88">
        <v>-9621</v>
      </c>
      <c r="N23" s="88">
        <v>-20095</v>
      </c>
      <c r="O23" s="88">
        <v>-30484</v>
      </c>
      <c r="P23" s="88">
        <v>-41055</v>
      </c>
      <c r="Q23" s="88">
        <v>-37117</v>
      </c>
      <c r="R23" s="89">
        <v>-44618</v>
      </c>
      <c r="S23" s="49">
        <f t="shared" si="1"/>
        <v>-15133.615384615385</v>
      </c>
      <c r="T23" s="50" t="s">
        <v>152</v>
      </c>
    </row>
    <row r="24" spans="1:20" x14ac:dyDescent="0.25">
      <c r="A24" s="6" t="s">
        <v>100</v>
      </c>
      <c r="B24" s="6" t="s">
        <v>120</v>
      </c>
      <c r="C24" s="15" t="s">
        <v>151</v>
      </c>
      <c r="D24" s="65" t="s">
        <v>156</v>
      </c>
      <c r="E24" s="6" t="s">
        <v>71</v>
      </c>
      <c r="F24" s="64">
        <v>-662950</v>
      </c>
      <c r="G24" s="64">
        <v>-663450</v>
      </c>
      <c r="H24" s="64">
        <v>-663950</v>
      </c>
      <c r="I24" s="64">
        <v>-664450</v>
      </c>
      <c r="J24" s="64">
        <v>-664950</v>
      </c>
      <c r="K24" s="64">
        <v>-665450</v>
      </c>
      <c r="L24" s="64">
        <v>-665950</v>
      </c>
      <c r="M24" s="64">
        <v>-666450</v>
      </c>
      <c r="N24" s="64">
        <v>-666950</v>
      </c>
      <c r="O24" s="64">
        <v>-667450</v>
      </c>
      <c r="P24" s="64">
        <v>-667950</v>
      </c>
      <c r="Q24" s="64">
        <v>-668450</v>
      </c>
      <c r="R24" s="64">
        <v>-655534</v>
      </c>
      <c r="S24" s="11">
        <f t="shared" si="1"/>
        <v>-664918</v>
      </c>
      <c r="T24" s="2" t="s">
        <v>95</v>
      </c>
    </row>
    <row r="25" spans="1:20" x14ac:dyDescent="0.25">
      <c r="A25" s="36" t="s">
        <v>75</v>
      </c>
      <c r="C25" s="15"/>
      <c r="D25" s="65"/>
    </row>
    <row r="26" spans="1:20" ht="30" x14ac:dyDescent="0.25">
      <c r="A26" s="39" t="s">
        <v>21</v>
      </c>
      <c r="B26" s="6" t="s">
        <v>121</v>
      </c>
      <c r="C26" s="6" t="s">
        <v>43</v>
      </c>
      <c r="D26" s="65" t="s">
        <v>158</v>
      </c>
      <c r="E26" s="68" t="s">
        <v>71</v>
      </c>
      <c r="F26" s="11">
        <v>-275836</v>
      </c>
      <c r="G26" s="12">
        <v>-407900</v>
      </c>
      <c r="H26" s="12">
        <v>-535579</v>
      </c>
      <c r="I26" s="12">
        <v>-395513</v>
      </c>
      <c r="J26" s="12">
        <v>-435166</v>
      </c>
      <c r="K26" s="12">
        <v>-383773.8</v>
      </c>
      <c r="L26" s="12">
        <v>-552602</v>
      </c>
      <c r="M26" s="12">
        <v>-583535</v>
      </c>
      <c r="N26" s="12">
        <v>-437818</v>
      </c>
      <c r="O26" s="12">
        <v>-616588</v>
      </c>
      <c r="P26" s="12">
        <v>-648715</v>
      </c>
      <c r="Q26" s="12">
        <v>-560686</v>
      </c>
      <c r="R26" s="12">
        <v>-566599</v>
      </c>
      <c r="S26" s="12">
        <f t="shared" si="1"/>
        <v>-492331.6</v>
      </c>
      <c r="T26" s="2" t="s">
        <v>95</v>
      </c>
    </row>
    <row r="27" spans="1:20" x14ac:dyDescent="0.25">
      <c r="A27" s="39" t="s">
        <v>23</v>
      </c>
      <c r="B27" s="6" t="s">
        <v>122</v>
      </c>
      <c r="C27" s="6" t="s">
        <v>44</v>
      </c>
      <c r="D27" s="86" t="s">
        <v>146</v>
      </c>
      <c r="E27" s="6" t="s">
        <v>71</v>
      </c>
      <c r="F27" s="11">
        <v>1293720</v>
      </c>
      <c r="G27" s="9">
        <v>1044528</v>
      </c>
      <c r="H27" s="9">
        <v>1008367</v>
      </c>
      <c r="I27" s="9">
        <v>994148</v>
      </c>
      <c r="J27" s="9">
        <v>1045278</v>
      </c>
      <c r="K27" s="9">
        <v>1241230</v>
      </c>
      <c r="L27" s="9">
        <v>1551755</v>
      </c>
      <c r="M27" s="9">
        <v>1622865</v>
      </c>
      <c r="N27" s="9">
        <v>1622865</v>
      </c>
      <c r="O27" s="9">
        <v>1622865</v>
      </c>
      <c r="P27" s="9">
        <v>1622865</v>
      </c>
      <c r="Q27" s="9">
        <v>1622865</v>
      </c>
      <c r="R27" s="9">
        <f>Q27</f>
        <v>1622865</v>
      </c>
      <c r="S27" s="9">
        <f t="shared" si="1"/>
        <v>1378170.4615384615</v>
      </c>
      <c r="T27" s="2" t="s">
        <v>95</v>
      </c>
    </row>
    <row r="28" spans="1:20" x14ac:dyDescent="0.25">
      <c r="A28" s="39" t="s">
        <v>24</v>
      </c>
      <c r="B28" s="6" t="s">
        <v>123</v>
      </c>
      <c r="C28" s="6" t="s">
        <v>44</v>
      </c>
      <c r="D28" s="86"/>
      <c r="E28" s="6" t="s">
        <v>71</v>
      </c>
      <c r="F28" s="11">
        <v>-1622865</v>
      </c>
      <c r="G28" s="11">
        <f>F28</f>
        <v>-1622865</v>
      </c>
      <c r="H28" s="11">
        <f>G28</f>
        <v>-1622865</v>
      </c>
      <c r="I28" s="9">
        <v>-1622865</v>
      </c>
      <c r="J28" s="9">
        <v>-1622865</v>
      </c>
      <c r="K28" s="9">
        <v>-1622865</v>
      </c>
      <c r="L28" s="9">
        <v>-1622865</v>
      </c>
      <c r="M28" s="9">
        <v>-1622865</v>
      </c>
      <c r="N28" s="9">
        <v>-1622865</v>
      </c>
      <c r="O28" s="9">
        <f t="shared" ref="O28:R28" si="2">-O27</f>
        <v>-1622865</v>
      </c>
      <c r="P28" s="9">
        <f t="shared" si="2"/>
        <v>-1622865</v>
      </c>
      <c r="Q28" s="9">
        <f t="shared" si="2"/>
        <v>-1622865</v>
      </c>
      <c r="R28" s="9">
        <f t="shared" si="2"/>
        <v>-1622865</v>
      </c>
      <c r="S28" s="9">
        <f t="shared" si="1"/>
        <v>-1622865</v>
      </c>
      <c r="T28" s="2" t="s">
        <v>95</v>
      </c>
    </row>
    <row r="29" spans="1:20" x14ac:dyDescent="0.25">
      <c r="A29" s="39" t="s">
        <v>25</v>
      </c>
      <c r="B29" s="6" t="s">
        <v>124</v>
      </c>
      <c r="C29" s="6" t="s">
        <v>65</v>
      </c>
      <c r="D29" s="65" t="s">
        <v>154</v>
      </c>
      <c r="E29" s="6" t="s">
        <v>71</v>
      </c>
      <c r="F29" s="11">
        <v>0</v>
      </c>
      <c r="G29" s="11">
        <v>-1139527</v>
      </c>
      <c r="H29" s="11">
        <v>-1948008</v>
      </c>
      <c r="I29" s="11">
        <v>-2250464</v>
      </c>
      <c r="J29" s="11">
        <v>-3036496</v>
      </c>
      <c r="K29" s="11">
        <v>-3312801.9</v>
      </c>
      <c r="L29" s="11">
        <v>-3333872</v>
      </c>
      <c r="M29" s="11">
        <v>-3093692</v>
      </c>
      <c r="N29" s="11">
        <v>-2461557</v>
      </c>
      <c r="O29" s="11">
        <v>-2314355</v>
      </c>
      <c r="P29" s="11">
        <v>-1464123</v>
      </c>
      <c r="Q29" s="11">
        <v>-209619</v>
      </c>
      <c r="R29" s="11">
        <v>0</v>
      </c>
      <c r="S29" s="11">
        <f t="shared" si="1"/>
        <v>-1889578.0692307691</v>
      </c>
      <c r="T29" s="2" t="s">
        <v>95</v>
      </c>
    </row>
    <row r="30" spans="1:20" x14ac:dyDescent="0.25">
      <c r="A30" s="6"/>
      <c r="B30" s="6"/>
      <c r="C30" s="6"/>
      <c r="D30" s="65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0" x14ac:dyDescent="0.25">
      <c r="A31" s="36" t="s">
        <v>78</v>
      </c>
      <c r="C31" s="15"/>
      <c r="D31" s="65"/>
    </row>
    <row r="32" spans="1:20" x14ac:dyDescent="0.25">
      <c r="A32" s="39" t="s">
        <v>40</v>
      </c>
      <c r="B32" s="6" t="s">
        <v>125</v>
      </c>
      <c r="C32" s="6" t="s">
        <v>48</v>
      </c>
      <c r="D32" s="85" t="s">
        <v>157</v>
      </c>
      <c r="E32" s="6" t="s">
        <v>70</v>
      </c>
      <c r="F32" s="17">
        <v>1803913.0000000002</v>
      </c>
      <c r="G32" s="17">
        <v>1782437.666666667</v>
      </c>
      <c r="H32" s="17">
        <v>1760963.3333333337</v>
      </c>
      <c r="I32" s="17">
        <v>1739488.0000000005</v>
      </c>
      <c r="J32" s="17">
        <v>1718012.6666666672</v>
      </c>
      <c r="K32" s="17">
        <v>1696537.333333334</v>
      </c>
      <c r="L32" s="17">
        <v>1675062.0000000007</v>
      </c>
      <c r="M32" s="17">
        <v>1653586.6666666674</v>
      </c>
      <c r="N32" s="17">
        <v>1632112.3333333342</v>
      </c>
      <c r="O32" s="17">
        <v>1610637.0000000009</v>
      </c>
      <c r="P32" s="17">
        <v>1589161.6666666677</v>
      </c>
      <c r="Q32" s="17">
        <v>1567687.3333333344</v>
      </c>
      <c r="R32" s="17">
        <v>1546212.0000000012</v>
      </c>
      <c r="S32" s="17">
        <f t="shared" si="1"/>
        <v>1675062.3846153854</v>
      </c>
      <c r="T32" s="3" t="s">
        <v>155</v>
      </c>
    </row>
    <row r="33" spans="1:20" x14ac:dyDescent="0.25">
      <c r="A33" s="39" t="s">
        <v>39</v>
      </c>
      <c r="B33" s="6" t="s">
        <v>126</v>
      </c>
      <c r="C33" s="6" t="s">
        <v>48</v>
      </c>
      <c r="D33" s="85"/>
      <c r="E33" s="6" t="s">
        <v>70</v>
      </c>
      <c r="F33" s="17">
        <v>-20986666</v>
      </c>
      <c r="G33" s="17">
        <v>-20959542</v>
      </c>
      <c r="H33" s="17">
        <v>-20932418</v>
      </c>
      <c r="I33" s="17">
        <v>-20905294</v>
      </c>
      <c r="J33" s="17">
        <v>-20878170</v>
      </c>
      <c r="K33" s="17">
        <v>-20851046</v>
      </c>
      <c r="L33" s="17">
        <v>-20823922</v>
      </c>
      <c r="M33" s="17">
        <v>-20796798</v>
      </c>
      <c r="N33" s="17">
        <v>-20769674</v>
      </c>
      <c r="O33" s="17">
        <v>-20742550</v>
      </c>
      <c r="P33" s="17">
        <v>-20715426</v>
      </c>
      <c r="Q33" s="17">
        <v>-20688302</v>
      </c>
      <c r="R33" s="17">
        <v>-20661178</v>
      </c>
      <c r="S33" s="17">
        <f t="shared" si="1"/>
        <v>-20823922</v>
      </c>
      <c r="T33" s="3" t="s">
        <v>155</v>
      </c>
    </row>
    <row r="34" spans="1:20" x14ac:dyDescent="0.25">
      <c r="A34" s="39"/>
      <c r="B34" s="6"/>
      <c r="C34" s="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3"/>
    </row>
    <row r="35" spans="1:20" x14ac:dyDescent="0.25">
      <c r="A35" s="6"/>
      <c r="B35" s="6"/>
      <c r="C35" s="6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20" x14ac:dyDescent="0.25">
      <c r="A36" s="6"/>
      <c r="B36" s="6"/>
      <c r="C36" s="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20" x14ac:dyDescent="0.25">
      <c r="A37" s="6" t="s">
        <v>150</v>
      </c>
      <c r="B37" s="6"/>
      <c r="C37" s="6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40" spans="1:20" x14ac:dyDescent="0.25">
      <c r="A40" s="6"/>
    </row>
    <row r="42" spans="1:20" x14ac:dyDescent="0.25"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20" x14ac:dyDescent="0.25">
      <c r="R43" s="17"/>
      <c r="S43" s="17"/>
    </row>
    <row r="44" spans="1:20" x14ac:dyDescent="0.25">
      <c r="F44" s="17"/>
      <c r="G44" s="17"/>
      <c r="H44" s="17"/>
    </row>
  </sheetData>
  <mergeCells count="6">
    <mergeCell ref="T15:Y15"/>
    <mergeCell ref="T9:Y9"/>
    <mergeCell ref="T10:AC10"/>
    <mergeCell ref="T14:Y14"/>
    <mergeCell ref="D32:D33"/>
    <mergeCell ref="D27:D28"/>
  </mergeCells>
  <pageMargins left="0.7" right="0.7" top="0.75" bottom="0.75" header="0.3" footer="0.3"/>
  <pageSetup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P51"/>
  <sheetViews>
    <sheetView zoomScale="85" zoomScaleNormal="8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G23" sqref="G23"/>
    </sheetView>
  </sheetViews>
  <sheetFormatPr defaultColWidth="9.140625" defaultRowHeight="15" x14ac:dyDescent="0.25"/>
  <cols>
    <col min="1" max="1" width="75" style="3" customWidth="1"/>
    <col min="2" max="2" width="16" style="3" bestFit="1" customWidth="1"/>
    <col min="3" max="3" width="47.42578125" style="3" customWidth="1"/>
    <col min="4" max="4" width="45.140625" style="3" customWidth="1"/>
    <col min="5" max="5" width="23.28515625" style="3" customWidth="1"/>
    <col min="6" max="18" width="11.28515625" style="3" bestFit="1" customWidth="1"/>
    <col min="19" max="19" width="14" style="3" bestFit="1" customWidth="1"/>
    <col min="20" max="20" width="42.42578125" style="3" bestFit="1" customWidth="1"/>
    <col min="21" max="16384" width="9.140625" style="3"/>
  </cols>
  <sheetData>
    <row r="1" spans="1:42" x14ac:dyDescent="0.25">
      <c r="A1" s="37" t="s">
        <v>62</v>
      </c>
      <c r="B1" s="14" t="s">
        <v>60</v>
      </c>
      <c r="D1" s="6"/>
      <c r="E1" s="8"/>
      <c r="F1" s="8" t="s">
        <v>32</v>
      </c>
      <c r="G1" s="8" t="s">
        <v>32</v>
      </c>
      <c r="H1" s="8" t="s">
        <v>32</v>
      </c>
      <c r="I1" s="8" t="s">
        <v>32</v>
      </c>
      <c r="J1" s="8" t="s">
        <v>32</v>
      </c>
      <c r="K1" s="8" t="s">
        <v>32</v>
      </c>
      <c r="L1" s="8" t="s">
        <v>32</v>
      </c>
      <c r="M1" s="8" t="s">
        <v>32</v>
      </c>
      <c r="N1" s="8" t="s">
        <v>32</v>
      </c>
      <c r="O1" s="8" t="s">
        <v>32</v>
      </c>
      <c r="P1" s="8" t="s">
        <v>32</v>
      </c>
      <c r="Q1" s="8" t="s">
        <v>32</v>
      </c>
      <c r="R1" s="8" t="s">
        <v>32</v>
      </c>
      <c r="S1" s="8" t="s">
        <v>57</v>
      </c>
    </row>
    <row r="2" spans="1:42" x14ac:dyDescent="0.25">
      <c r="C2" s="3" t="s">
        <v>74</v>
      </c>
      <c r="D2" s="6" t="s">
        <v>72</v>
      </c>
      <c r="E2" s="6" t="s">
        <v>73</v>
      </c>
      <c r="F2" s="16" t="s">
        <v>12</v>
      </c>
      <c r="G2" s="16" t="s">
        <v>13</v>
      </c>
      <c r="H2" s="16" t="s">
        <v>14</v>
      </c>
      <c r="I2" s="16" t="s">
        <v>15</v>
      </c>
      <c r="J2" s="16" t="s">
        <v>16</v>
      </c>
      <c r="K2" s="16" t="s">
        <v>5</v>
      </c>
      <c r="L2" s="16" t="s">
        <v>6</v>
      </c>
      <c r="M2" s="16" t="s">
        <v>7</v>
      </c>
      <c r="N2" s="16" t="s">
        <v>8</v>
      </c>
      <c r="O2" s="16" t="s">
        <v>9</v>
      </c>
      <c r="P2" s="16" t="s">
        <v>10</v>
      </c>
      <c r="Q2" s="16" t="s">
        <v>11</v>
      </c>
      <c r="R2" s="16" t="s">
        <v>12</v>
      </c>
      <c r="S2" s="16" t="s">
        <v>58</v>
      </c>
    </row>
    <row r="3" spans="1:42" x14ac:dyDescent="0.25">
      <c r="B3" s="3" t="s">
        <v>127</v>
      </c>
      <c r="C3" s="15" t="s">
        <v>49</v>
      </c>
      <c r="D3" s="6" t="s">
        <v>81</v>
      </c>
      <c r="E3" s="6" t="s">
        <v>69</v>
      </c>
      <c r="F3" s="8">
        <v>2020</v>
      </c>
      <c r="G3" s="8">
        <v>2021</v>
      </c>
      <c r="H3" s="8">
        <v>2021</v>
      </c>
      <c r="I3" s="8">
        <v>2021</v>
      </c>
      <c r="J3" s="8">
        <v>2021</v>
      </c>
      <c r="K3" s="8">
        <v>2021</v>
      </c>
      <c r="L3" s="8">
        <v>2021</v>
      </c>
      <c r="M3" s="8">
        <v>2021</v>
      </c>
      <c r="N3" s="8">
        <v>2021</v>
      </c>
      <c r="O3" s="8">
        <v>2021</v>
      </c>
      <c r="P3" s="8">
        <v>2021</v>
      </c>
      <c r="Q3" s="8">
        <v>2021</v>
      </c>
      <c r="R3" s="8">
        <v>2021</v>
      </c>
      <c r="S3" s="8">
        <v>2021</v>
      </c>
    </row>
    <row r="4" spans="1:42" x14ac:dyDescent="0.25">
      <c r="A4" s="13" t="s">
        <v>0</v>
      </c>
      <c r="B4" s="14"/>
      <c r="C4" s="22"/>
      <c r="D4" s="22"/>
      <c r="E4" s="22"/>
      <c r="T4" s="2" t="s">
        <v>85</v>
      </c>
    </row>
    <row r="5" spans="1:42" x14ac:dyDescent="0.25">
      <c r="A5" s="13"/>
      <c r="B5" s="14"/>
      <c r="C5" s="22"/>
      <c r="D5" s="22"/>
      <c r="E5" s="22"/>
    </row>
    <row r="6" spans="1:42" x14ac:dyDescent="0.25">
      <c r="A6" s="13"/>
      <c r="B6" s="14"/>
      <c r="C6" s="22"/>
      <c r="D6" s="22"/>
      <c r="E6" s="22"/>
    </row>
    <row r="7" spans="1:42" ht="45" x14ac:dyDescent="0.25">
      <c r="A7" s="47" t="s">
        <v>34</v>
      </c>
      <c r="B7" s="47" t="s">
        <v>131</v>
      </c>
      <c r="C7" s="74" t="s">
        <v>167</v>
      </c>
      <c r="D7" s="72" t="s">
        <v>166</v>
      </c>
      <c r="E7" s="48" t="s">
        <v>71</v>
      </c>
      <c r="F7" s="53">
        <v>39681</v>
      </c>
      <c r="G7" s="53">
        <v>39681</v>
      </c>
      <c r="H7" s="53">
        <v>0</v>
      </c>
      <c r="I7" s="53">
        <v>0</v>
      </c>
      <c r="J7" s="53">
        <v>141366</v>
      </c>
      <c r="K7" s="53">
        <v>266154.57</v>
      </c>
      <c r="L7" s="53">
        <v>0</v>
      </c>
      <c r="M7" s="53">
        <v>0</v>
      </c>
      <c r="N7" s="53">
        <v>0</v>
      </c>
      <c r="O7" s="53">
        <v>0</v>
      </c>
      <c r="P7" s="53">
        <v>0</v>
      </c>
      <c r="Q7" s="53">
        <v>0</v>
      </c>
      <c r="R7" s="53">
        <f>Q7</f>
        <v>0</v>
      </c>
      <c r="S7" s="53">
        <f>SUM(F7:R7)/13</f>
        <v>37452.505384615382</v>
      </c>
      <c r="T7" s="48" t="s">
        <v>84</v>
      </c>
      <c r="U7" s="48"/>
    </row>
    <row r="8" spans="1:42" s="48" customFormat="1" ht="30" x14ac:dyDescent="0.25">
      <c r="A8" s="75" t="s">
        <v>97</v>
      </c>
      <c r="B8" s="75" t="s">
        <v>132</v>
      </c>
      <c r="C8" s="74" t="s">
        <v>83</v>
      </c>
      <c r="D8" s="72" t="s">
        <v>164</v>
      </c>
      <c r="E8" s="48" t="s">
        <v>71</v>
      </c>
      <c r="F8" s="76">
        <v>842256</v>
      </c>
      <c r="G8" s="76">
        <v>842315</v>
      </c>
      <c r="H8" s="76">
        <v>842357</v>
      </c>
      <c r="I8" s="76">
        <v>842391</v>
      </c>
      <c r="J8" s="76">
        <v>842416</v>
      </c>
      <c r="K8" s="76">
        <v>842441</v>
      </c>
      <c r="L8" s="76">
        <v>842466</v>
      </c>
      <c r="M8" s="76">
        <v>842500</v>
      </c>
      <c r="N8" s="76">
        <v>842534</v>
      </c>
      <c r="O8" s="76">
        <v>842568</v>
      </c>
      <c r="P8" s="76">
        <v>842610</v>
      </c>
      <c r="Q8" s="76">
        <v>842652</v>
      </c>
      <c r="R8" s="76">
        <v>842694</v>
      </c>
      <c r="S8" s="53">
        <f t="shared" ref="S8:S9" si="0">SUM(F8:R8)/13</f>
        <v>842476.92307692312</v>
      </c>
      <c r="T8" s="48" t="s">
        <v>84</v>
      </c>
    </row>
    <row r="9" spans="1:42" s="48" customFormat="1" ht="30" x14ac:dyDescent="0.25">
      <c r="A9" s="75" t="s">
        <v>98</v>
      </c>
      <c r="B9" s="75" t="s">
        <v>133</v>
      </c>
      <c r="C9" s="74" t="s">
        <v>83</v>
      </c>
      <c r="D9" s="72" t="s">
        <v>164</v>
      </c>
      <c r="E9" s="48" t="s">
        <v>71</v>
      </c>
      <c r="F9" s="76">
        <v>-842256</v>
      </c>
      <c r="G9" s="76">
        <v>-842315</v>
      </c>
      <c r="H9" s="76">
        <v>-842357</v>
      </c>
      <c r="I9" s="76">
        <v>-842391</v>
      </c>
      <c r="J9" s="76">
        <v>-836248</v>
      </c>
      <c r="K9" s="76">
        <v>-831417</v>
      </c>
      <c r="L9" s="76">
        <v>-826932</v>
      </c>
      <c r="M9" s="76">
        <v>-822369</v>
      </c>
      <c r="N9" s="76">
        <v>-817987</v>
      </c>
      <c r="O9" s="76">
        <v>-842568</v>
      </c>
      <c r="P9" s="76">
        <v>-842610</v>
      </c>
      <c r="Q9" s="76">
        <v>-842652</v>
      </c>
      <c r="R9" s="76">
        <v>-842694</v>
      </c>
      <c r="S9" s="53">
        <f t="shared" si="0"/>
        <v>-836522.76923076925</v>
      </c>
      <c r="T9" s="48" t="s">
        <v>102</v>
      </c>
    </row>
    <row r="10" spans="1:42" ht="45" x14ac:dyDescent="0.25">
      <c r="A10" s="47" t="s">
        <v>30</v>
      </c>
      <c r="B10" s="47" t="s">
        <v>129</v>
      </c>
      <c r="C10" s="74" t="s">
        <v>167</v>
      </c>
      <c r="D10" s="72" t="s">
        <v>166</v>
      </c>
      <c r="E10" s="48" t="s">
        <v>71</v>
      </c>
      <c r="F10" s="53">
        <v>0</v>
      </c>
      <c r="G10" s="53">
        <v>-11570</v>
      </c>
      <c r="H10" s="53">
        <v>-49117</v>
      </c>
      <c r="I10" s="53">
        <v>-228313</v>
      </c>
      <c r="J10" s="53">
        <v>0</v>
      </c>
      <c r="K10" s="53">
        <v>0</v>
      </c>
      <c r="L10" s="53">
        <v>-8358</v>
      </c>
      <c r="M10" s="53">
        <v>-173322</v>
      </c>
      <c r="N10" s="53">
        <v>-387227</v>
      </c>
      <c r="O10" s="53">
        <v>-497930</v>
      </c>
      <c r="P10" s="53">
        <v>-163523</v>
      </c>
      <c r="Q10" s="53">
        <v>-170829</v>
      </c>
      <c r="R10" s="53">
        <v>-291411</v>
      </c>
      <c r="S10" s="53">
        <f>SUM(F10:R10)/13</f>
        <v>-152430.76923076922</v>
      </c>
      <c r="T10" s="48" t="s">
        <v>139</v>
      </c>
    </row>
    <row r="11" spans="1:42" x14ac:dyDescent="0.25">
      <c r="A11" s="6"/>
      <c r="B11" s="6"/>
      <c r="C11" s="69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42" x14ac:dyDescent="0.25">
      <c r="A12" s="6"/>
      <c r="B12" s="6"/>
      <c r="C12" s="6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42" s="48" customFormat="1" ht="30" x14ac:dyDescent="0.25">
      <c r="A13" s="59" t="s">
        <v>3</v>
      </c>
      <c r="B13" s="47" t="s">
        <v>134</v>
      </c>
      <c r="C13" s="70" t="s">
        <v>161</v>
      </c>
      <c r="D13" s="65" t="s">
        <v>160</v>
      </c>
      <c r="E13" s="48" t="s">
        <v>71</v>
      </c>
      <c r="F13" s="53">
        <v>49955</v>
      </c>
      <c r="G13" s="53">
        <v>35555</v>
      </c>
      <c r="H13" s="53">
        <v>35555</v>
      </c>
      <c r="I13" s="53">
        <v>17555</v>
      </c>
      <c r="J13" s="53">
        <v>17555</v>
      </c>
      <c r="K13" s="53">
        <v>15154.8</v>
      </c>
      <c r="L13" s="53">
        <v>13954.8</v>
      </c>
      <c r="M13" s="53">
        <v>12754.8</v>
      </c>
      <c r="N13" s="53">
        <v>11554.8</v>
      </c>
      <c r="O13" s="53">
        <v>10354.799999999999</v>
      </c>
      <c r="P13" s="53">
        <v>9154.7999999999993</v>
      </c>
      <c r="Q13" s="53">
        <v>7954.7999999999993</v>
      </c>
      <c r="R13" s="53">
        <f>Q13-1200</f>
        <v>6754.7999999999993</v>
      </c>
      <c r="S13" s="53">
        <f>SUM(F13:R13)/13</f>
        <v>18754.876923076918</v>
      </c>
      <c r="T13" s="85" t="s">
        <v>162</v>
      </c>
      <c r="U13" s="85"/>
      <c r="V13" s="85"/>
      <c r="W13" s="85"/>
      <c r="X13" s="85"/>
      <c r="Y13" s="85"/>
      <c r="Z13" s="85"/>
      <c r="AA13" s="85"/>
    </row>
    <row r="14" spans="1:42" x14ac:dyDescent="0.25">
      <c r="A14" s="6"/>
      <c r="B14" s="6"/>
      <c r="C14" s="69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2"/>
    </row>
    <row r="15" spans="1:42" ht="45" x14ac:dyDescent="0.25">
      <c r="A15" s="59" t="s">
        <v>42</v>
      </c>
      <c r="B15" s="48" t="s">
        <v>113</v>
      </c>
      <c r="C15" s="70" t="s">
        <v>45</v>
      </c>
      <c r="D15" s="65" t="s">
        <v>169</v>
      </c>
      <c r="E15" s="48" t="s">
        <v>71</v>
      </c>
      <c r="F15" s="53">
        <v>105738</v>
      </c>
      <c r="G15" s="53">
        <v>114536</v>
      </c>
      <c r="H15" s="53">
        <v>122465</v>
      </c>
      <c r="I15" s="53">
        <v>107341</v>
      </c>
      <c r="J15" s="53">
        <v>112322</v>
      </c>
      <c r="K15" s="53">
        <v>116961.67</v>
      </c>
      <c r="L15" s="53">
        <v>73451</v>
      </c>
      <c r="M15" s="53">
        <v>149438</v>
      </c>
      <c r="N15" s="53">
        <v>149438</v>
      </c>
      <c r="O15" s="53">
        <v>149438</v>
      </c>
      <c r="P15" s="53">
        <v>149438</v>
      </c>
      <c r="Q15" s="53">
        <v>149438</v>
      </c>
      <c r="R15" s="53">
        <v>149438</v>
      </c>
      <c r="S15" s="53">
        <f>SUM(F15:R15)/13</f>
        <v>126880.20538461537</v>
      </c>
      <c r="T15" s="84" t="s">
        <v>103</v>
      </c>
      <c r="U15" s="84"/>
      <c r="V15" s="84"/>
      <c r="W15" s="84"/>
      <c r="X15" s="84"/>
      <c r="Y15" s="84"/>
      <c r="Z15" s="84"/>
      <c r="AA15" s="84"/>
      <c r="AB15" s="84"/>
      <c r="AC15" s="84"/>
    </row>
    <row r="16" spans="1:42" x14ac:dyDescent="0.25">
      <c r="A16" s="6"/>
      <c r="B16" s="6"/>
      <c r="C16" s="6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9" x14ac:dyDescent="0.25">
      <c r="A17" s="13" t="s">
        <v>76</v>
      </c>
      <c r="B17" s="6"/>
      <c r="C17" s="69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9" ht="30" x14ac:dyDescent="0.25">
      <c r="A18" s="51" t="s">
        <v>17</v>
      </c>
      <c r="B18" s="47" t="s">
        <v>114</v>
      </c>
      <c r="C18" s="70" t="s">
        <v>44</v>
      </c>
      <c r="D18" s="65" t="s">
        <v>159</v>
      </c>
      <c r="E18" s="48" t="s">
        <v>71</v>
      </c>
      <c r="F18" s="53">
        <v>278276</v>
      </c>
      <c r="G18" s="53">
        <v>278276</v>
      </c>
      <c r="H18" s="53">
        <v>194635</v>
      </c>
      <c r="I18" s="53">
        <v>136971</v>
      </c>
      <c r="J18" s="53">
        <v>106287</v>
      </c>
      <c r="K18" s="53">
        <v>129524.04</v>
      </c>
      <c r="L18" s="53">
        <v>178389</v>
      </c>
      <c r="M18" s="53">
        <v>209618</v>
      </c>
      <c r="N18" s="53">
        <v>244590</v>
      </c>
      <c r="O18" s="53">
        <v>309111</v>
      </c>
      <c r="P18" s="53">
        <v>342238</v>
      </c>
      <c r="Q18" s="53">
        <v>349131</v>
      </c>
      <c r="R18" s="53">
        <v>314117</v>
      </c>
      <c r="S18" s="53">
        <f t="shared" ref="S18:S37" si="1">SUM(F18:R18)/13</f>
        <v>236243.31076923077</v>
      </c>
      <c r="T18" s="84" t="s">
        <v>104</v>
      </c>
      <c r="U18" s="84"/>
      <c r="V18" s="84"/>
      <c r="W18" s="84"/>
      <c r="X18" s="84"/>
      <c r="Y18" s="84"/>
    </row>
    <row r="19" spans="1:29" s="48" customFormat="1" ht="30" customHeight="1" x14ac:dyDescent="0.25">
      <c r="A19" s="51" t="s">
        <v>26</v>
      </c>
      <c r="B19" s="47" t="s">
        <v>135</v>
      </c>
      <c r="C19" s="70" t="s">
        <v>56</v>
      </c>
      <c r="D19" s="87" t="s">
        <v>168</v>
      </c>
      <c r="E19" s="48" t="s">
        <v>71</v>
      </c>
      <c r="F19" s="53">
        <v>2420000</v>
      </c>
      <c r="G19" s="53">
        <v>2420000</v>
      </c>
      <c r="H19" s="53">
        <v>2420000</v>
      </c>
      <c r="I19" s="53">
        <v>2420000</v>
      </c>
      <c r="J19" s="53">
        <v>2420000</v>
      </c>
      <c r="K19" s="53">
        <v>2438112.61</v>
      </c>
      <c r="L19" s="53">
        <v>2438112.61</v>
      </c>
      <c r="M19" s="53">
        <v>2441354.61</v>
      </c>
      <c r="N19" s="53">
        <v>2445661.61</v>
      </c>
      <c r="O19" s="53">
        <v>2448671.61</v>
      </c>
      <c r="P19" s="53">
        <v>2460631.61</v>
      </c>
      <c r="Q19" s="53">
        <v>2460808.61</v>
      </c>
      <c r="R19" s="53">
        <f>Q19+7580</f>
        <v>2468388.61</v>
      </c>
      <c r="S19" s="53">
        <f t="shared" si="1"/>
        <v>2438595.5292307688</v>
      </c>
      <c r="T19" s="48" t="s">
        <v>84</v>
      </c>
      <c r="U19" s="50"/>
      <c r="V19" s="50"/>
      <c r="W19" s="50"/>
      <c r="X19" s="50"/>
      <c r="Y19" s="50"/>
    </row>
    <row r="20" spans="1:29" x14ac:dyDescent="0.25">
      <c r="A20" s="35" t="s">
        <v>27</v>
      </c>
      <c r="B20" s="6" t="s">
        <v>136</v>
      </c>
      <c r="C20" s="69" t="s">
        <v>56</v>
      </c>
      <c r="D20" s="87"/>
      <c r="E20" s="3" t="s">
        <v>71</v>
      </c>
      <c r="F20" s="12">
        <v>-2420000</v>
      </c>
      <c r="G20" s="12">
        <v>-2420000</v>
      </c>
      <c r="H20" s="12">
        <v>-2420000</v>
      </c>
      <c r="I20" s="12">
        <v>-2420000</v>
      </c>
      <c r="J20" s="12">
        <v>-2416757</v>
      </c>
      <c r="K20" s="12">
        <v>-2416757</v>
      </c>
      <c r="L20" s="12">
        <v>-2416757</v>
      </c>
      <c r="M20" s="12">
        <v>-2420000</v>
      </c>
      <c r="N20" s="12">
        <v>-2420000</v>
      </c>
      <c r="O20" s="12">
        <v>-2420000</v>
      </c>
      <c r="P20" s="12">
        <v>-2420000</v>
      </c>
      <c r="Q20" s="12">
        <v>-2420000</v>
      </c>
      <c r="R20" s="12">
        <f>Q20</f>
        <v>-2420000</v>
      </c>
      <c r="S20" s="12">
        <f t="shared" si="1"/>
        <v>-2419251.6153846155</v>
      </c>
      <c r="T20" s="3" t="s">
        <v>84</v>
      </c>
    </row>
    <row r="21" spans="1:29" x14ac:dyDescent="0.25">
      <c r="A21" s="6"/>
      <c r="B21" s="6"/>
      <c r="C21" s="69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29" x14ac:dyDescent="0.25">
      <c r="C22" s="6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9" s="48" customFormat="1" ht="30" x14ac:dyDescent="0.25">
      <c r="A23" s="59" t="s">
        <v>1</v>
      </c>
      <c r="B23" s="47" t="s">
        <v>117</v>
      </c>
      <c r="C23" s="81" t="s">
        <v>90</v>
      </c>
      <c r="D23" s="72" t="s">
        <v>170</v>
      </c>
      <c r="E23" s="48" t="s">
        <v>71</v>
      </c>
      <c r="F23" s="53"/>
      <c r="G23" s="53">
        <v>140</v>
      </c>
      <c r="H23" s="53">
        <v>7138</v>
      </c>
      <c r="I23" s="53">
        <v>11226</v>
      </c>
      <c r="J23" s="53">
        <v>13889</v>
      </c>
      <c r="K23" s="53">
        <v>13978.15</v>
      </c>
      <c r="L23" s="53">
        <v>18224</v>
      </c>
      <c r="M23" s="53">
        <v>20437</v>
      </c>
      <c r="N23" s="53">
        <v>22804</v>
      </c>
      <c r="O23" s="53">
        <v>23504</v>
      </c>
      <c r="P23" s="53">
        <v>24167</v>
      </c>
      <c r="Q23" s="53">
        <v>23768</v>
      </c>
      <c r="R23" s="53">
        <v>26013</v>
      </c>
      <c r="S23" s="53">
        <f t="shared" si="1"/>
        <v>15791.396153846154</v>
      </c>
      <c r="T23" s="48" t="s">
        <v>91</v>
      </c>
    </row>
    <row r="24" spans="1:29" x14ac:dyDescent="0.25">
      <c r="A24" s="6"/>
      <c r="B24" s="6"/>
      <c r="C24" s="69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29" x14ac:dyDescent="0.25">
      <c r="A25" s="13" t="s">
        <v>4</v>
      </c>
      <c r="B25" s="14"/>
      <c r="C25" s="69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29" s="48" customFormat="1" ht="30" x14ac:dyDescent="0.25">
      <c r="A26" s="52" t="s">
        <v>21</v>
      </c>
      <c r="B26" s="47" t="s">
        <v>121</v>
      </c>
      <c r="C26" s="70" t="s">
        <v>50</v>
      </c>
      <c r="D26" s="65" t="s">
        <v>158</v>
      </c>
      <c r="E26" s="48" t="s">
        <v>71</v>
      </c>
      <c r="F26" s="53">
        <v>-83065</v>
      </c>
      <c r="G26" s="53">
        <v>-122835</v>
      </c>
      <c r="H26" s="53">
        <v>-161284</v>
      </c>
      <c r="I26" s="53">
        <v>-119104</v>
      </c>
      <c r="J26" s="53">
        <v>-131045</v>
      </c>
      <c r="K26" s="53">
        <v>-115569.34</v>
      </c>
      <c r="L26" s="53">
        <v>-166410</v>
      </c>
      <c r="M26" s="53">
        <v>-175725</v>
      </c>
      <c r="N26" s="53">
        <v>-131844</v>
      </c>
      <c r="O26" s="53">
        <v>-185679</v>
      </c>
      <c r="P26" s="53">
        <v>-195354</v>
      </c>
      <c r="Q26" s="53">
        <v>-168844</v>
      </c>
      <c r="R26" s="53">
        <v>-170625</v>
      </c>
      <c r="S26" s="53">
        <f t="shared" si="1"/>
        <v>-148260.2569230769</v>
      </c>
      <c r="T26" s="48" t="s">
        <v>106</v>
      </c>
    </row>
    <row r="27" spans="1:29" ht="30" x14ac:dyDescent="0.25">
      <c r="A27" s="52" t="s">
        <v>23</v>
      </c>
      <c r="B27" s="47" t="s">
        <v>122</v>
      </c>
      <c r="C27" s="69" t="s">
        <v>44</v>
      </c>
      <c r="D27" s="65" t="s">
        <v>159</v>
      </c>
      <c r="E27" s="3" t="s">
        <v>71</v>
      </c>
      <c r="F27" s="12">
        <v>278276</v>
      </c>
      <c r="G27" s="12">
        <v>208058</v>
      </c>
      <c r="H27" s="12">
        <v>194635</v>
      </c>
      <c r="I27" s="12">
        <v>136971</v>
      </c>
      <c r="J27" s="12">
        <v>106287</v>
      </c>
      <c r="K27" s="12">
        <v>129524.04</v>
      </c>
      <c r="L27" s="12">
        <v>178389</v>
      </c>
      <c r="M27" s="12">
        <v>178389</v>
      </c>
      <c r="N27" s="12">
        <v>178389</v>
      </c>
      <c r="O27" s="12">
        <v>178389</v>
      </c>
      <c r="P27" s="12">
        <v>178389</v>
      </c>
      <c r="Q27" s="12">
        <v>178389</v>
      </c>
      <c r="R27" s="12">
        <v>178389</v>
      </c>
      <c r="S27" s="12">
        <f t="shared" si="1"/>
        <v>177113.3876923077</v>
      </c>
      <c r="T27" s="3" t="s">
        <v>105</v>
      </c>
    </row>
    <row r="28" spans="1:29" ht="30" x14ac:dyDescent="0.25">
      <c r="A28" s="52" t="s">
        <v>24</v>
      </c>
      <c r="B28" s="47" t="s">
        <v>123</v>
      </c>
      <c r="C28" s="69" t="s">
        <v>44</v>
      </c>
      <c r="D28" s="65" t="s">
        <v>159</v>
      </c>
      <c r="E28" s="3" t="s">
        <v>71</v>
      </c>
      <c r="F28" s="12">
        <v>-278276</v>
      </c>
      <c r="G28" s="12">
        <v>-278276</v>
      </c>
      <c r="H28" s="12">
        <v>-194635</v>
      </c>
      <c r="I28" s="12">
        <v>-136971</v>
      </c>
      <c r="J28" s="12">
        <v>-106287</v>
      </c>
      <c r="K28" s="12">
        <v>-129524.04</v>
      </c>
      <c r="L28" s="12">
        <v>-178389</v>
      </c>
      <c r="M28" s="12">
        <v>-178389</v>
      </c>
      <c r="N28" s="12">
        <v>-178389</v>
      </c>
      <c r="O28" s="12">
        <v>-178389</v>
      </c>
      <c r="P28" s="12">
        <v>-178389</v>
      </c>
      <c r="Q28" s="12">
        <v>-178389</v>
      </c>
      <c r="R28" s="12">
        <v>-178389</v>
      </c>
      <c r="S28" s="12">
        <f t="shared" si="1"/>
        <v>-182514.7723076923</v>
      </c>
      <c r="T28" s="3" t="s">
        <v>105</v>
      </c>
    </row>
    <row r="29" spans="1:29" x14ac:dyDescent="0.25">
      <c r="A29" s="71"/>
      <c r="B29" s="48"/>
      <c r="C29" s="69"/>
      <c r="F29" s="12"/>
      <c r="G29" s="12"/>
      <c r="H29" s="12"/>
      <c r="I29" s="12"/>
      <c r="J29" s="12"/>
      <c r="K29" s="12"/>
      <c r="L29" s="12"/>
      <c r="M29" s="12"/>
      <c r="N29" s="43"/>
      <c r="O29" s="12"/>
      <c r="P29" s="12"/>
      <c r="Q29" s="12"/>
      <c r="R29" s="12"/>
      <c r="S29" s="12"/>
    </row>
    <row r="30" spans="1:29" s="48" customFormat="1" ht="30" x14ac:dyDescent="0.25">
      <c r="A30" s="52" t="s">
        <v>28</v>
      </c>
      <c r="B30" s="48" t="s">
        <v>137</v>
      </c>
      <c r="C30" s="70" t="s">
        <v>83</v>
      </c>
      <c r="D30" s="65" t="s">
        <v>164</v>
      </c>
      <c r="E30" s="48" t="s">
        <v>71</v>
      </c>
      <c r="F30" s="53">
        <v>-64662</v>
      </c>
      <c r="G30" s="53">
        <v>-64666</v>
      </c>
      <c r="H30" s="53">
        <v>-64669</v>
      </c>
      <c r="I30" s="53">
        <v>-64671</v>
      </c>
      <c r="J30" s="53">
        <v>-64673</v>
      </c>
      <c r="K30" s="53">
        <v>-64675</v>
      </c>
      <c r="L30" s="53">
        <v>-64677</v>
      </c>
      <c r="M30" s="53">
        <v>-64679</v>
      </c>
      <c r="N30" s="53">
        <v>-64680</v>
      </c>
      <c r="O30" s="53">
        <v>-35670</v>
      </c>
      <c r="P30" s="53">
        <v>-30899</v>
      </c>
      <c r="Q30" s="53">
        <v>-25586</v>
      </c>
      <c r="R30" s="53">
        <f>Q30+6856</f>
        <v>-18730</v>
      </c>
      <c r="S30" s="53">
        <f t="shared" si="1"/>
        <v>-53302.846153846156</v>
      </c>
      <c r="T30" s="84" t="s">
        <v>84</v>
      </c>
      <c r="U30" s="84"/>
      <c r="V30" s="84"/>
      <c r="W30" s="84"/>
      <c r="X30" s="84"/>
      <c r="Y30" s="84"/>
      <c r="Z30" s="84"/>
      <c r="AA30" s="84"/>
      <c r="AB30" s="84"/>
      <c r="AC30" s="84"/>
    </row>
    <row r="31" spans="1:29" ht="30" x14ac:dyDescent="0.25">
      <c r="A31" s="52" t="s">
        <v>29</v>
      </c>
      <c r="B31" s="47" t="s">
        <v>138</v>
      </c>
      <c r="C31" s="69" t="s">
        <v>161</v>
      </c>
      <c r="D31" s="65" t="s">
        <v>163</v>
      </c>
      <c r="E31" s="3" t="s">
        <v>71</v>
      </c>
      <c r="F31" s="12">
        <v>-28800</v>
      </c>
      <c r="G31" s="12">
        <v>-15600</v>
      </c>
      <c r="H31" s="12">
        <v>-16800</v>
      </c>
      <c r="I31" s="12">
        <v>0</v>
      </c>
      <c r="J31" s="12">
        <v>-1200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>Q31</f>
        <v>0</v>
      </c>
      <c r="S31" s="12">
        <f t="shared" si="1"/>
        <v>-4800</v>
      </c>
      <c r="T31" s="3" t="s">
        <v>84</v>
      </c>
    </row>
    <row r="32" spans="1:29" x14ac:dyDescent="0.25">
      <c r="A32" s="6"/>
      <c r="B32" s="6"/>
      <c r="C32" s="69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20" x14ac:dyDescent="0.25">
      <c r="A33" s="6"/>
      <c r="B33" s="6"/>
      <c r="C33" s="69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20" x14ac:dyDescent="0.25">
      <c r="A34" s="36" t="s">
        <v>78</v>
      </c>
      <c r="B34" s="6"/>
      <c r="C34" s="69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20" x14ac:dyDescent="0.25">
      <c r="A35" s="39" t="s">
        <v>40</v>
      </c>
      <c r="B35" s="6" t="s">
        <v>125</v>
      </c>
      <c r="C35" s="69" t="s">
        <v>51</v>
      </c>
      <c r="D35" s="87" t="s">
        <v>165</v>
      </c>
      <c r="E35" s="3" t="s">
        <v>70</v>
      </c>
      <c r="F35" s="12">
        <v>746296.5</v>
      </c>
      <c r="G35" s="12">
        <v>737412</v>
      </c>
      <c r="H35" s="12">
        <v>728526.5</v>
      </c>
      <c r="I35" s="12">
        <v>719642.5</v>
      </c>
      <c r="J35" s="12">
        <v>710758.5</v>
      </c>
      <c r="K35" s="12">
        <v>701873.5</v>
      </c>
      <c r="L35" s="12">
        <v>692989.5</v>
      </c>
      <c r="M35" s="12">
        <v>684105.5</v>
      </c>
      <c r="N35" s="12">
        <v>675221.5</v>
      </c>
      <c r="O35" s="12">
        <v>666337.5</v>
      </c>
      <c r="P35" s="12">
        <v>657453.5</v>
      </c>
      <c r="Q35" s="12">
        <v>648569.5</v>
      </c>
      <c r="R35" s="12">
        <v>639686</v>
      </c>
      <c r="S35" s="62">
        <f>SUM(F35:R35)/13</f>
        <v>692990.19230769225</v>
      </c>
      <c r="T35" s="3" t="s">
        <v>93</v>
      </c>
    </row>
    <row r="36" spans="1:20" x14ac:dyDescent="0.25">
      <c r="A36" s="39" t="s">
        <v>39</v>
      </c>
      <c r="B36" s="6" t="s">
        <v>126</v>
      </c>
      <c r="C36" s="69" t="s">
        <v>51</v>
      </c>
      <c r="D36" s="87"/>
      <c r="E36" s="3" t="s">
        <v>70</v>
      </c>
      <c r="F36" s="12">
        <v>-8930627.2499999981</v>
      </c>
      <c r="G36" s="12">
        <v>-8909064.6666666642</v>
      </c>
      <c r="H36" s="12">
        <v>-8887502.0833333302</v>
      </c>
      <c r="I36" s="12">
        <v>-8865939.7499999963</v>
      </c>
      <c r="J36" s="12">
        <v>-8844378.4166666623</v>
      </c>
      <c r="K36" s="12">
        <v>-8822815.0833333284</v>
      </c>
      <c r="L36" s="12">
        <v>-8801252.7499999944</v>
      </c>
      <c r="M36" s="12">
        <v>-8779691.4166666605</v>
      </c>
      <c r="N36" s="12">
        <v>-8758129.0833333265</v>
      </c>
      <c r="O36" s="12">
        <v>-8736566.7499999925</v>
      </c>
      <c r="P36" s="12">
        <v>-8715004.4166666586</v>
      </c>
      <c r="Q36" s="12">
        <v>-8693443.0833333246</v>
      </c>
      <c r="R36" s="12">
        <v>-8671881</v>
      </c>
      <c r="S36" s="62">
        <f>SUM(F36:R36)/13</f>
        <v>-8801253.5192307644</v>
      </c>
      <c r="T36" s="3" t="s">
        <v>93</v>
      </c>
    </row>
    <row r="37" spans="1:20" x14ac:dyDescent="0.25">
      <c r="A37" s="36" t="s">
        <v>79</v>
      </c>
      <c r="F37" s="42">
        <f>SUM(F35:F36)</f>
        <v>-8184330.7499999981</v>
      </c>
      <c r="G37" s="42">
        <f t="shared" ref="G37:R37" si="2">SUM(G35:G36)</f>
        <v>-8171652.6666666642</v>
      </c>
      <c r="H37" s="42">
        <f t="shared" si="2"/>
        <v>-8158975.5833333302</v>
      </c>
      <c r="I37" s="42">
        <f t="shared" si="2"/>
        <v>-8146297.2499999963</v>
      </c>
      <c r="J37" s="42">
        <f t="shared" si="2"/>
        <v>-8133619.9166666623</v>
      </c>
      <c r="K37" s="42">
        <f t="shared" si="2"/>
        <v>-8120941.5833333284</v>
      </c>
      <c r="L37" s="42">
        <f t="shared" si="2"/>
        <v>-8108263.2499999944</v>
      </c>
      <c r="M37" s="42">
        <f t="shared" si="2"/>
        <v>-8095585.9166666605</v>
      </c>
      <c r="N37" s="42">
        <f t="shared" si="2"/>
        <v>-8082907.5833333265</v>
      </c>
      <c r="O37" s="42">
        <f t="shared" si="2"/>
        <v>-8070229.2499999925</v>
      </c>
      <c r="P37" s="42">
        <f t="shared" si="2"/>
        <v>-8057550.9166666586</v>
      </c>
      <c r="Q37" s="42">
        <f t="shared" si="2"/>
        <v>-8044873.5833333246</v>
      </c>
      <c r="R37" s="42">
        <f t="shared" si="2"/>
        <v>-8032195</v>
      </c>
      <c r="S37" s="42">
        <f t="shared" si="1"/>
        <v>-8108263.3269230714</v>
      </c>
    </row>
    <row r="38" spans="1:20" x14ac:dyDescent="0.25">
      <c r="A38" s="13"/>
      <c r="B38" s="1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20" x14ac:dyDescent="0.25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1" spans="1:20" x14ac:dyDescent="0.25">
      <c r="A41" s="3" t="s">
        <v>66</v>
      </c>
    </row>
    <row r="42" spans="1:20" x14ac:dyDescent="0.25">
      <c r="A42" s="3" t="s">
        <v>67</v>
      </c>
    </row>
    <row r="43" spans="1:20" x14ac:dyDescent="0.25">
      <c r="A43" s="3" t="s">
        <v>86</v>
      </c>
      <c r="R43" s="23"/>
    </row>
    <row r="46" spans="1:20" x14ac:dyDescent="0.25">
      <c r="Q46" s="17"/>
    </row>
    <row r="47" spans="1:20" x14ac:dyDescent="0.25">
      <c r="A47" s="34"/>
    </row>
    <row r="49" spans="1:18" x14ac:dyDescent="0.25">
      <c r="R49" s="17"/>
    </row>
    <row r="50" spans="1:18" x14ac:dyDescent="0.25">
      <c r="R50" s="17"/>
    </row>
    <row r="51" spans="1:18" x14ac:dyDescent="0.25">
      <c r="A51" s="18"/>
      <c r="N51" s="18"/>
      <c r="R51" s="17"/>
    </row>
  </sheetData>
  <mergeCells count="6">
    <mergeCell ref="T18:Y18"/>
    <mergeCell ref="T15:AC15"/>
    <mergeCell ref="T13:AA13"/>
    <mergeCell ref="T30:AC30"/>
    <mergeCell ref="D35:D36"/>
    <mergeCell ref="D19:D20"/>
  </mergeCells>
  <pageMargins left="0.7" right="0.7" top="0.75" bottom="0.75" header="0.3" footer="0.3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C33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11" sqref="A11"/>
    </sheetView>
  </sheetViews>
  <sheetFormatPr defaultColWidth="9.140625" defaultRowHeight="15" x14ac:dyDescent="0.25"/>
  <cols>
    <col min="1" max="1" width="75.28515625" style="5" bestFit="1" customWidth="1"/>
    <col min="2" max="2" width="16" style="5" bestFit="1" customWidth="1"/>
    <col min="3" max="3" width="49.7109375" style="5" bestFit="1" customWidth="1"/>
    <col min="4" max="4" width="58.28515625" style="83" bestFit="1" customWidth="1"/>
    <col min="5" max="5" width="16" style="5" bestFit="1" customWidth="1"/>
    <col min="6" max="18" width="13.85546875" style="5" customWidth="1"/>
    <col min="19" max="19" width="13.85546875" style="7" customWidth="1"/>
    <col min="20" max="16384" width="9.140625" style="5"/>
  </cols>
  <sheetData>
    <row r="1" spans="1:29" x14ac:dyDescent="0.25">
      <c r="A1" s="37" t="s">
        <v>62</v>
      </c>
      <c r="B1" s="14" t="s">
        <v>61</v>
      </c>
      <c r="C1" s="3"/>
      <c r="D1" s="15"/>
      <c r="E1" s="6"/>
      <c r="F1" s="4" t="s">
        <v>32</v>
      </c>
      <c r="G1" s="4" t="s">
        <v>32</v>
      </c>
      <c r="H1" s="4" t="s">
        <v>32</v>
      </c>
      <c r="I1" s="4" t="s">
        <v>32</v>
      </c>
      <c r="J1" s="4" t="s">
        <v>32</v>
      </c>
      <c r="K1" s="4" t="s">
        <v>32</v>
      </c>
      <c r="L1" s="4" t="s">
        <v>32</v>
      </c>
      <c r="M1" s="4" t="s">
        <v>32</v>
      </c>
      <c r="N1" s="4" t="s">
        <v>32</v>
      </c>
      <c r="O1" s="4" t="s">
        <v>32</v>
      </c>
      <c r="P1" s="4" t="s">
        <v>32</v>
      </c>
      <c r="Q1" s="4" t="s">
        <v>32</v>
      </c>
      <c r="R1" s="4" t="s">
        <v>32</v>
      </c>
      <c r="S1" s="44" t="s">
        <v>57</v>
      </c>
    </row>
    <row r="2" spans="1:29" x14ac:dyDescent="0.25">
      <c r="A2" s="29"/>
      <c r="C2" s="3" t="s">
        <v>74</v>
      </c>
      <c r="D2" s="15" t="s">
        <v>72</v>
      </c>
      <c r="E2" s="6" t="s">
        <v>73</v>
      </c>
      <c r="F2" s="24" t="s">
        <v>12</v>
      </c>
      <c r="G2" s="24" t="s">
        <v>13</v>
      </c>
      <c r="H2" s="24" t="s">
        <v>14</v>
      </c>
      <c r="I2" s="24" t="s">
        <v>15</v>
      </c>
      <c r="J2" s="24" t="s">
        <v>16</v>
      </c>
      <c r="K2" s="24" t="s">
        <v>5</v>
      </c>
      <c r="L2" s="24" t="s">
        <v>6</v>
      </c>
      <c r="M2" s="24" t="s">
        <v>7</v>
      </c>
      <c r="N2" s="24" t="s">
        <v>8</v>
      </c>
      <c r="O2" s="24" t="s">
        <v>9</v>
      </c>
      <c r="P2" s="24" t="s">
        <v>10</v>
      </c>
      <c r="Q2" s="24" t="s">
        <v>11</v>
      </c>
      <c r="R2" s="24" t="s">
        <v>12</v>
      </c>
      <c r="S2" s="45" t="s">
        <v>58</v>
      </c>
    </row>
    <row r="3" spans="1:29" x14ac:dyDescent="0.25">
      <c r="B3" s="3" t="s">
        <v>127</v>
      </c>
      <c r="C3" s="15" t="s">
        <v>49</v>
      </c>
      <c r="D3" s="15" t="s">
        <v>81</v>
      </c>
      <c r="E3" s="6" t="s">
        <v>69</v>
      </c>
      <c r="F3" s="4">
        <v>2020</v>
      </c>
      <c r="G3" s="4">
        <v>2021</v>
      </c>
      <c r="H3" s="4">
        <v>2021</v>
      </c>
      <c r="I3" s="4">
        <v>2021</v>
      </c>
      <c r="J3" s="4">
        <v>2021</v>
      </c>
      <c r="K3" s="4">
        <v>2021</v>
      </c>
      <c r="L3" s="4">
        <v>2021</v>
      </c>
      <c r="M3" s="4">
        <v>2021</v>
      </c>
      <c r="N3" s="4">
        <v>2021</v>
      </c>
      <c r="O3" s="4">
        <v>2021</v>
      </c>
      <c r="P3" s="4">
        <v>2021</v>
      </c>
      <c r="Q3" s="4">
        <v>2021</v>
      </c>
      <c r="R3" s="4">
        <v>2021</v>
      </c>
      <c r="S3" s="4">
        <v>2021</v>
      </c>
      <c r="T3" s="2" t="s">
        <v>85</v>
      </c>
    </row>
    <row r="4" spans="1:29" x14ac:dyDescent="0.25">
      <c r="A4" s="25" t="s">
        <v>0</v>
      </c>
      <c r="B4" s="14"/>
      <c r="C4" s="22"/>
      <c r="D4" s="22"/>
      <c r="E4" s="22"/>
    </row>
    <row r="5" spans="1:29" x14ac:dyDescent="0.25">
      <c r="A5" s="25"/>
      <c r="B5" s="14"/>
      <c r="C5" s="22"/>
      <c r="D5" s="22"/>
      <c r="E5" s="22"/>
    </row>
    <row r="6" spans="1:29" ht="45" x14ac:dyDescent="0.25">
      <c r="A6" s="54" t="s">
        <v>42</v>
      </c>
      <c r="B6" s="48" t="s">
        <v>113</v>
      </c>
      <c r="C6" s="77" t="s">
        <v>45</v>
      </c>
      <c r="D6" s="70" t="s">
        <v>173</v>
      </c>
      <c r="E6" s="48" t="s">
        <v>71</v>
      </c>
      <c r="F6" s="56">
        <v>1534</v>
      </c>
      <c r="G6" s="56">
        <v>1534</v>
      </c>
      <c r="H6" s="56">
        <v>1534</v>
      </c>
      <c r="I6" s="56">
        <v>187</v>
      </c>
      <c r="J6" s="56">
        <v>187</v>
      </c>
      <c r="K6" s="56">
        <v>187</v>
      </c>
      <c r="L6" s="56">
        <v>187</v>
      </c>
      <c r="M6" s="56">
        <v>550</v>
      </c>
      <c r="N6" s="56">
        <v>550</v>
      </c>
      <c r="O6" s="56">
        <v>550</v>
      </c>
      <c r="P6" s="56">
        <v>550</v>
      </c>
      <c r="Q6" s="56">
        <v>550</v>
      </c>
      <c r="R6" s="56">
        <v>550</v>
      </c>
      <c r="S6" s="56">
        <f>SUM(F6:R6)/13</f>
        <v>665.38461538461536</v>
      </c>
      <c r="T6" s="84" t="s">
        <v>89</v>
      </c>
      <c r="U6" s="84"/>
      <c r="V6" s="84"/>
      <c r="W6" s="84"/>
      <c r="X6" s="84"/>
      <c r="Y6" s="84"/>
      <c r="Z6" s="84"/>
      <c r="AA6" s="84"/>
      <c r="AB6" s="84"/>
      <c r="AC6" s="84"/>
    </row>
    <row r="7" spans="1:29" x14ac:dyDescent="0.25">
      <c r="A7" s="14"/>
      <c r="B7" s="3"/>
      <c r="C7" s="4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29" x14ac:dyDescent="0.25">
      <c r="A8" s="40" t="s">
        <v>1</v>
      </c>
      <c r="B8" s="1" t="s">
        <v>117</v>
      </c>
      <c r="C8" s="60" t="s">
        <v>90</v>
      </c>
      <c r="D8" s="70" t="s">
        <v>172</v>
      </c>
      <c r="E8" s="4"/>
      <c r="F8" s="12">
        <v>0</v>
      </c>
      <c r="G8" s="12">
        <v>0</v>
      </c>
      <c r="H8" s="5">
        <v>7</v>
      </c>
      <c r="I8" s="5">
        <v>126</v>
      </c>
      <c r="J8" s="5">
        <v>191</v>
      </c>
      <c r="K8" s="26">
        <v>206.74</v>
      </c>
      <c r="L8" s="5">
        <v>249</v>
      </c>
      <c r="M8" s="5">
        <v>287</v>
      </c>
      <c r="N8" s="5">
        <v>335</v>
      </c>
      <c r="O8" s="5">
        <v>382</v>
      </c>
      <c r="P8" s="5">
        <v>395</v>
      </c>
      <c r="Q8" s="5">
        <v>387</v>
      </c>
      <c r="R8" s="5">
        <v>403</v>
      </c>
      <c r="S8" s="7">
        <f>SUM(F8:R8)/13</f>
        <v>228.36461538461538</v>
      </c>
      <c r="T8" s="3" t="s">
        <v>91</v>
      </c>
    </row>
    <row r="9" spans="1:29" s="3" customFormat="1" x14ac:dyDescent="0.25">
      <c r="A9" s="32"/>
      <c r="B9" s="6"/>
      <c r="C9" s="6"/>
      <c r="D9" s="15"/>
      <c r="E9" s="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2">
        <f t="shared" ref="S9:S25" si="0">SUM(F9:R9)/13</f>
        <v>0</v>
      </c>
    </row>
    <row r="10" spans="1:29" x14ac:dyDescent="0.25">
      <c r="A10" s="3"/>
      <c r="S10" s="7">
        <f t="shared" si="0"/>
        <v>0</v>
      </c>
    </row>
    <row r="11" spans="1:29" x14ac:dyDescent="0.25">
      <c r="A11" s="40" t="s">
        <v>35</v>
      </c>
      <c r="B11" s="1" t="s">
        <v>130</v>
      </c>
      <c r="D11" s="70" t="s">
        <v>174</v>
      </c>
      <c r="E11" s="3" t="s">
        <v>71</v>
      </c>
      <c r="F11" s="27">
        <v>35140</v>
      </c>
      <c r="G11" s="27">
        <f t="shared" ref="G11:R11" si="1">F11</f>
        <v>35140</v>
      </c>
      <c r="H11" s="27">
        <f t="shared" si="1"/>
        <v>35140</v>
      </c>
      <c r="I11" s="27">
        <f t="shared" si="1"/>
        <v>35140</v>
      </c>
      <c r="J11" s="27">
        <f t="shared" si="1"/>
        <v>35140</v>
      </c>
      <c r="K11" s="27">
        <f t="shared" si="1"/>
        <v>35140</v>
      </c>
      <c r="L11" s="27">
        <f t="shared" si="1"/>
        <v>35140</v>
      </c>
      <c r="M11" s="27">
        <f t="shared" si="1"/>
        <v>35140</v>
      </c>
      <c r="N11" s="27">
        <f t="shared" si="1"/>
        <v>35140</v>
      </c>
      <c r="O11" s="27">
        <f t="shared" si="1"/>
        <v>35140</v>
      </c>
      <c r="P11" s="27">
        <f t="shared" si="1"/>
        <v>35140</v>
      </c>
      <c r="Q11" s="27">
        <f t="shared" si="1"/>
        <v>35140</v>
      </c>
      <c r="R11" s="27">
        <f t="shared" si="1"/>
        <v>35140</v>
      </c>
      <c r="S11" s="7">
        <f t="shared" si="0"/>
        <v>35140</v>
      </c>
      <c r="T11" s="5" t="s">
        <v>175</v>
      </c>
    </row>
    <row r="12" spans="1:29" x14ac:dyDescent="0.25">
      <c r="S12" s="7">
        <f t="shared" si="0"/>
        <v>0</v>
      </c>
    </row>
    <row r="13" spans="1:29" x14ac:dyDescent="0.25">
      <c r="A13" s="25" t="s">
        <v>4</v>
      </c>
      <c r="B13" s="28"/>
      <c r="S13" s="7">
        <f t="shared" si="0"/>
        <v>0</v>
      </c>
    </row>
    <row r="14" spans="1:29" x14ac:dyDescent="0.25">
      <c r="A14" s="25"/>
      <c r="B14" s="28"/>
      <c r="S14" s="7">
        <f t="shared" si="0"/>
        <v>0</v>
      </c>
    </row>
    <row r="15" spans="1:29" s="80" customFormat="1" ht="30" x14ac:dyDescent="0.25">
      <c r="A15" s="78" t="s">
        <v>21</v>
      </c>
      <c r="B15" s="75" t="s">
        <v>22</v>
      </c>
      <c r="C15" s="55" t="s">
        <v>52</v>
      </c>
      <c r="D15" s="70" t="s">
        <v>158</v>
      </c>
      <c r="E15" s="48" t="s">
        <v>71</v>
      </c>
      <c r="F15" s="79">
        <v>-2991</v>
      </c>
      <c r="G15" s="56">
        <v>-4423</v>
      </c>
      <c r="H15" s="56">
        <v>-5807</v>
      </c>
      <c r="I15" s="56">
        <v>-4289</v>
      </c>
      <c r="J15" s="56">
        <v>-4718</v>
      </c>
      <c r="K15" s="56">
        <v>-4161.24</v>
      </c>
      <c r="L15" s="56">
        <v>-5992</v>
      </c>
      <c r="M15" s="56">
        <v>-6327</v>
      </c>
      <c r="N15" s="56">
        <v>-4747</v>
      </c>
      <c r="O15" s="56">
        <v>-6686</v>
      </c>
      <c r="P15" s="56">
        <v>-7034</v>
      </c>
      <c r="Q15" s="56">
        <v>-6079</v>
      </c>
      <c r="R15" s="56">
        <v>-6144</v>
      </c>
      <c r="S15" s="56">
        <f t="shared" si="0"/>
        <v>-5338.3261538461529</v>
      </c>
      <c r="T15" s="80" t="s">
        <v>101</v>
      </c>
    </row>
    <row r="16" spans="1:29" x14ac:dyDescent="0.25">
      <c r="A16" s="1"/>
      <c r="B16" s="1"/>
      <c r="C16" s="4"/>
      <c r="E16" s="4"/>
      <c r="S16" s="7">
        <f t="shared" si="0"/>
        <v>0</v>
      </c>
    </row>
    <row r="17" spans="1:20" x14ac:dyDescent="0.25">
      <c r="A17" s="1"/>
      <c r="B17" s="1"/>
      <c r="C17" s="4"/>
      <c r="E17" s="4"/>
      <c r="S17" s="7">
        <f t="shared" si="0"/>
        <v>0</v>
      </c>
    </row>
    <row r="18" spans="1:20" x14ac:dyDescent="0.25">
      <c r="A18" s="1" t="s">
        <v>30</v>
      </c>
      <c r="B18" s="1" t="s">
        <v>129</v>
      </c>
      <c r="C18" s="4" t="s">
        <v>52</v>
      </c>
      <c r="D18" s="83" t="s">
        <v>171</v>
      </c>
      <c r="E18" s="3" t="s">
        <v>71</v>
      </c>
      <c r="F18" s="12">
        <v>53482</v>
      </c>
      <c r="G18" s="12">
        <f t="shared" ref="G18" si="2">F18</f>
        <v>53482</v>
      </c>
      <c r="H18" s="12">
        <f t="shared" ref="H18" si="3">G18</f>
        <v>53482</v>
      </c>
      <c r="I18" s="12">
        <f t="shared" ref="I18" si="4">H18</f>
        <v>53482</v>
      </c>
      <c r="J18" s="12">
        <f t="shared" ref="J18" si="5">I18</f>
        <v>53482</v>
      </c>
      <c r="K18" s="12">
        <f t="shared" ref="K18" si="6">J18</f>
        <v>53482</v>
      </c>
      <c r="L18" s="12">
        <f t="shared" ref="L18" si="7">K18</f>
        <v>53482</v>
      </c>
      <c r="M18" s="12">
        <f t="shared" ref="M18" si="8">L18</f>
        <v>53482</v>
      </c>
      <c r="N18" s="12">
        <f t="shared" ref="N18" si="9">M18</f>
        <v>53482</v>
      </c>
      <c r="O18" s="12">
        <f t="shared" ref="O18" si="10">N18</f>
        <v>53482</v>
      </c>
      <c r="P18" s="12">
        <f t="shared" ref="P18" si="11">O18</f>
        <v>53482</v>
      </c>
      <c r="Q18" s="12">
        <f t="shared" ref="Q18" si="12">P18</f>
        <v>53482</v>
      </c>
      <c r="R18" s="12">
        <f t="shared" ref="R18" si="13">Q18</f>
        <v>53482</v>
      </c>
      <c r="S18" s="12">
        <f t="shared" si="0"/>
        <v>53482</v>
      </c>
      <c r="T18" s="5" t="s">
        <v>107</v>
      </c>
    </row>
    <row r="19" spans="1:20" x14ac:dyDescent="0.25">
      <c r="A19" s="1" t="s">
        <v>36</v>
      </c>
      <c r="B19" s="1" t="s">
        <v>128</v>
      </c>
      <c r="C19" s="4" t="s">
        <v>52</v>
      </c>
      <c r="D19" s="83" t="s">
        <v>171</v>
      </c>
      <c r="E19" s="3" t="s">
        <v>71</v>
      </c>
      <c r="F19" s="12">
        <v>-53482</v>
      </c>
      <c r="G19" s="12">
        <f t="shared" ref="G19:R19" si="14">-G18</f>
        <v>-53482</v>
      </c>
      <c r="H19" s="12">
        <f t="shared" si="14"/>
        <v>-53482</v>
      </c>
      <c r="I19" s="12">
        <f t="shared" si="14"/>
        <v>-53482</v>
      </c>
      <c r="J19" s="12">
        <f t="shared" si="14"/>
        <v>-53482</v>
      </c>
      <c r="K19" s="12">
        <f t="shared" si="14"/>
        <v>-53482</v>
      </c>
      <c r="L19" s="12">
        <f t="shared" si="14"/>
        <v>-53482</v>
      </c>
      <c r="M19" s="12">
        <f t="shared" si="14"/>
        <v>-53482</v>
      </c>
      <c r="N19" s="12">
        <f t="shared" si="14"/>
        <v>-53482</v>
      </c>
      <c r="O19" s="12">
        <f t="shared" si="14"/>
        <v>-53482</v>
      </c>
      <c r="P19" s="12">
        <f t="shared" si="14"/>
        <v>-53482</v>
      </c>
      <c r="Q19" s="12">
        <f t="shared" si="14"/>
        <v>-53482</v>
      </c>
      <c r="R19" s="12">
        <f t="shared" si="14"/>
        <v>-53482</v>
      </c>
      <c r="S19" s="12">
        <f t="shared" si="0"/>
        <v>-53482</v>
      </c>
      <c r="T19" s="5" t="s">
        <v>108</v>
      </c>
    </row>
    <row r="20" spans="1:20" x14ac:dyDescent="0.25">
      <c r="F20" s="41">
        <f>SUM(F18:F19)</f>
        <v>0</v>
      </c>
      <c r="G20" s="41">
        <f t="shared" ref="G20:R20" si="15">SUM(G18:G19)</f>
        <v>0</v>
      </c>
      <c r="H20" s="41">
        <f t="shared" si="15"/>
        <v>0</v>
      </c>
      <c r="I20" s="41">
        <f t="shared" si="15"/>
        <v>0</v>
      </c>
      <c r="J20" s="41">
        <f t="shared" si="15"/>
        <v>0</v>
      </c>
      <c r="K20" s="41">
        <f t="shared" si="15"/>
        <v>0</v>
      </c>
      <c r="L20" s="41">
        <f t="shared" si="15"/>
        <v>0</v>
      </c>
      <c r="M20" s="41">
        <f t="shared" si="15"/>
        <v>0</v>
      </c>
      <c r="N20" s="41">
        <f t="shared" si="15"/>
        <v>0</v>
      </c>
      <c r="O20" s="41">
        <f t="shared" si="15"/>
        <v>0</v>
      </c>
      <c r="P20" s="41">
        <f t="shared" si="15"/>
        <v>0</v>
      </c>
      <c r="Q20" s="41">
        <f t="shared" si="15"/>
        <v>0</v>
      </c>
      <c r="R20" s="41">
        <f t="shared" si="15"/>
        <v>0</v>
      </c>
      <c r="S20" s="46">
        <f t="shared" si="0"/>
        <v>0</v>
      </c>
    </row>
    <row r="22" spans="1:20" x14ac:dyDescent="0.25">
      <c r="A22" s="36" t="s">
        <v>78</v>
      </c>
    </row>
    <row r="23" spans="1:20" x14ac:dyDescent="0.25">
      <c r="A23" s="39" t="s">
        <v>40</v>
      </c>
      <c r="B23" s="1" t="s">
        <v>125</v>
      </c>
      <c r="C23" s="4" t="s">
        <v>53</v>
      </c>
      <c r="D23" s="83" t="s">
        <v>178</v>
      </c>
      <c r="E23" s="3" t="s">
        <v>70</v>
      </c>
      <c r="F23" s="12">
        <v>-8215.6666666666661</v>
      </c>
      <c r="G23" s="12">
        <v>-8243.8333333333321</v>
      </c>
      <c r="H23" s="12">
        <v>-8272.9999999999982</v>
      </c>
      <c r="I23" s="12">
        <v>-8301.1666666666642</v>
      </c>
      <c r="J23" s="12">
        <v>-8329.3333333333303</v>
      </c>
      <c r="K23" s="12">
        <v>-8357.4999999999964</v>
      </c>
      <c r="L23" s="12">
        <v>-8385.6666666666624</v>
      </c>
      <c r="M23" s="12">
        <v>-8413.8333333333285</v>
      </c>
      <c r="N23" s="12">
        <v>-8441.9999999999945</v>
      </c>
      <c r="O23" s="12">
        <v>2135.8333333333394</v>
      </c>
      <c r="P23" s="12">
        <v>2107.6666666666729</v>
      </c>
      <c r="Q23" s="12">
        <v>2079.5000000000064</v>
      </c>
      <c r="R23" s="12">
        <v>2052.3333333333394</v>
      </c>
      <c r="S23" s="12">
        <f t="shared" si="0"/>
        <v>-5122.0512820512777</v>
      </c>
      <c r="T23" s="3" t="s">
        <v>93</v>
      </c>
    </row>
    <row r="24" spans="1:20" x14ac:dyDescent="0.25">
      <c r="A24" s="39" t="s">
        <v>39</v>
      </c>
      <c r="B24" s="1" t="s">
        <v>126</v>
      </c>
      <c r="C24" s="4" t="s">
        <v>53</v>
      </c>
      <c r="D24" s="83" t="s">
        <v>178</v>
      </c>
      <c r="E24" s="3" t="s">
        <v>70</v>
      </c>
      <c r="F24" s="12">
        <v>-205203</v>
      </c>
      <c r="G24" s="12">
        <v>-204744.75</v>
      </c>
      <c r="H24" s="12">
        <v>-204286.5</v>
      </c>
      <c r="I24" s="12">
        <v>-203828.25</v>
      </c>
      <c r="J24" s="12">
        <v>-203370</v>
      </c>
      <c r="K24" s="12">
        <v>-202911.75</v>
      </c>
      <c r="L24" s="12">
        <v>-202453.5</v>
      </c>
      <c r="M24" s="12">
        <v>-201996.25</v>
      </c>
      <c r="N24" s="12">
        <v>-201538</v>
      </c>
      <c r="O24" s="12">
        <v>-201079.75</v>
      </c>
      <c r="P24" s="12">
        <v>-200621.5</v>
      </c>
      <c r="Q24" s="12">
        <v>-200164.25</v>
      </c>
      <c r="R24" s="12">
        <v>-199706</v>
      </c>
      <c r="S24" s="12">
        <f t="shared" si="0"/>
        <v>-202454.11538461538</v>
      </c>
      <c r="T24" s="3" t="s">
        <v>93</v>
      </c>
    </row>
    <row r="25" spans="1:20" x14ac:dyDescent="0.25">
      <c r="A25" s="36" t="s">
        <v>79</v>
      </c>
      <c r="B25" s="28"/>
      <c r="E25" s="3"/>
      <c r="F25" s="33">
        <f>SUM(F23:F24)</f>
        <v>-213418.66666666666</v>
      </c>
      <c r="G25" s="33">
        <f t="shared" ref="G25:R25" si="16">SUM(G23:G24)</f>
        <v>-212988.58333333334</v>
      </c>
      <c r="H25" s="33">
        <f t="shared" si="16"/>
        <v>-212559.5</v>
      </c>
      <c r="I25" s="33">
        <f t="shared" si="16"/>
        <v>-212129.41666666666</v>
      </c>
      <c r="J25" s="33">
        <f t="shared" si="16"/>
        <v>-211699.33333333334</v>
      </c>
      <c r="K25" s="33">
        <f t="shared" si="16"/>
        <v>-211269.25</v>
      </c>
      <c r="L25" s="33">
        <f t="shared" si="16"/>
        <v>-210839.16666666666</v>
      </c>
      <c r="M25" s="33">
        <f t="shared" si="16"/>
        <v>-210410.08333333331</v>
      </c>
      <c r="N25" s="33">
        <f t="shared" si="16"/>
        <v>-209980</v>
      </c>
      <c r="O25" s="33">
        <f t="shared" si="16"/>
        <v>-198943.91666666666</v>
      </c>
      <c r="P25" s="33">
        <f t="shared" si="16"/>
        <v>-198513.83333333331</v>
      </c>
      <c r="Q25" s="33">
        <f t="shared" si="16"/>
        <v>-198084.75</v>
      </c>
      <c r="R25" s="33">
        <f t="shared" si="16"/>
        <v>-197653.66666666666</v>
      </c>
      <c r="S25" s="46">
        <f t="shared" si="0"/>
        <v>-207576.16666666666</v>
      </c>
    </row>
    <row r="26" spans="1:20" x14ac:dyDescent="0.25">
      <c r="A26" s="1"/>
    </row>
    <row r="27" spans="1:20" x14ac:dyDescent="0.25">
      <c r="F27" s="27"/>
      <c r="G27" s="27"/>
      <c r="H27" s="27"/>
      <c r="I27" s="27"/>
      <c r="J27" s="27"/>
      <c r="K27" s="27"/>
      <c r="L27" s="27"/>
      <c r="M27" s="27"/>
      <c r="N27" s="27">
        <f>+N24-O24</f>
        <v>-458.25</v>
      </c>
      <c r="O27" s="27">
        <f>+O24-P24</f>
        <v>-458.25</v>
      </c>
      <c r="P27" s="27">
        <f>+P24-Q24</f>
        <v>-457.25</v>
      </c>
      <c r="Q27" s="27">
        <f>+Q24-R24</f>
        <v>-458.25</v>
      </c>
      <c r="R27" s="27">
        <v>-198726</v>
      </c>
    </row>
    <row r="28" spans="1:20" x14ac:dyDescent="0.25">
      <c r="R28" s="27">
        <f>+R24-R27</f>
        <v>-980</v>
      </c>
    </row>
    <row r="31" spans="1:20" x14ac:dyDescent="0.25">
      <c r="L31" s="5">
        <v>-84</v>
      </c>
    </row>
    <row r="32" spans="1:20" x14ac:dyDescent="0.25">
      <c r="L32" s="5">
        <v>-340</v>
      </c>
    </row>
    <row r="33" spans="12:12" x14ac:dyDescent="0.25">
      <c r="L33" s="5">
        <f>+L31+L32</f>
        <v>-424</v>
      </c>
    </row>
  </sheetData>
  <mergeCells count="1">
    <mergeCell ref="T6:AC6"/>
  </mergeCells>
  <pageMargins left="0.7" right="0.7" top="0.75" bottom="0.75" header="0.3" footer="0.3"/>
  <pageSetup scale="3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24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18" sqref="D18"/>
    </sheetView>
  </sheetViews>
  <sheetFormatPr defaultColWidth="9.140625" defaultRowHeight="15" x14ac:dyDescent="0.25"/>
  <cols>
    <col min="1" max="1" width="75.28515625" style="3" bestFit="1" customWidth="1"/>
    <col min="2" max="2" width="16" style="3" bestFit="1" customWidth="1"/>
    <col min="3" max="3" width="50.42578125" style="6" bestFit="1" customWidth="1"/>
    <col min="4" max="4" width="57.42578125" style="6" customWidth="1"/>
    <col min="5" max="5" width="18.42578125" style="6" customWidth="1"/>
    <col min="6" max="17" width="10.28515625" style="3" customWidth="1"/>
    <col min="18" max="19" width="10.28515625" style="3" bestFit="1" customWidth="1"/>
    <col min="20" max="16384" width="9.140625" style="3"/>
  </cols>
  <sheetData>
    <row r="1" spans="1:29" x14ac:dyDescent="0.25">
      <c r="A1" s="37" t="s">
        <v>62</v>
      </c>
      <c r="B1" s="14" t="s">
        <v>63</v>
      </c>
      <c r="C1" s="3"/>
      <c r="F1" s="8" t="s">
        <v>32</v>
      </c>
      <c r="G1" s="8" t="s">
        <v>32</v>
      </c>
      <c r="H1" s="8" t="s">
        <v>32</v>
      </c>
      <c r="I1" s="8" t="s">
        <v>32</v>
      </c>
      <c r="J1" s="8" t="s">
        <v>32</v>
      </c>
      <c r="K1" s="8" t="s">
        <v>32</v>
      </c>
      <c r="L1" s="8" t="s">
        <v>32</v>
      </c>
      <c r="M1" s="8" t="s">
        <v>32</v>
      </c>
      <c r="N1" s="8" t="s">
        <v>32</v>
      </c>
      <c r="O1" s="8" t="s">
        <v>32</v>
      </c>
      <c r="P1" s="8" t="s">
        <v>32</v>
      </c>
      <c r="Q1" s="8" t="s">
        <v>32</v>
      </c>
      <c r="R1" s="8" t="s">
        <v>33</v>
      </c>
      <c r="S1" s="8" t="s">
        <v>57</v>
      </c>
    </row>
    <row r="2" spans="1:29" x14ac:dyDescent="0.25">
      <c r="C2" s="3" t="s">
        <v>74</v>
      </c>
      <c r="D2" s="6" t="s">
        <v>72</v>
      </c>
      <c r="E2" s="6" t="s">
        <v>73</v>
      </c>
      <c r="F2" s="30" t="s">
        <v>12</v>
      </c>
      <c r="G2" s="30" t="s">
        <v>13</v>
      </c>
      <c r="H2" s="30" t="s">
        <v>14</v>
      </c>
      <c r="I2" s="30" t="s">
        <v>15</v>
      </c>
      <c r="J2" s="30" t="s">
        <v>16</v>
      </c>
      <c r="K2" s="30" t="s">
        <v>5</v>
      </c>
      <c r="L2" s="30" t="s">
        <v>6</v>
      </c>
      <c r="M2" s="30" t="s">
        <v>7</v>
      </c>
      <c r="N2" s="30" t="s">
        <v>8</v>
      </c>
      <c r="O2" s="30" t="s">
        <v>9</v>
      </c>
      <c r="P2" s="30" t="s">
        <v>10</v>
      </c>
      <c r="Q2" s="30" t="s">
        <v>11</v>
      </c>
      <c r="R2" s="30" t="s">
        <v>12</v>
      </c>
      <c r="S2" s="30" t="s">
        <v>58</v>
      </c>
    </row>
    <row r="3" spans="1:29" x14ac:dyDescent="0.25">
      <c r="B3" s="3" t="s">
        <v>127</v>
      </c>
      <c r="C3" s="15" t="s">
        <v>49</v>
      </c>
      <c r="D3" s="6" t="s">
        <v>81</v>
      </c>
      <c r="E3" s="6" t="s">
        <v>69</v>
      </c>
      <c r="F3" s="8">
        <v>2020</v>
      </c>
      <c r="G3" s="8">
        <v>2021</v>
      </c>
      <c r="H3" s="8">
        <v>2021</v>
      </c>
      <c r="I3" s="8">
        <v>2021</v>
      </c>
      <c r="J3" s="8">
        <v>2021</v>
      </c>
      <c r="K3" s="8">
        <v>2021</v>
      </c>
      <c r="L3" s="8">
        <v>2021</v>
      </c>
      <c r="M3" s="8">
        <v>2021</v>
      </c>
      <c r="N3" s="8">
        <v>2021</v>
      </c>
      <c r="O3" s="8">
        <v>2021</v>
      </c>
      <c r="P3" s="8">
        <v>2021</v>
      </c>
      <c r="Q3" s="8">
        <v>2021</v>
      </c>
      <c r="R3" s="8">
        <v>2021</v>
      </c>
      <c r="S3" s="8">
        <v>2021</v>
      </c>
      <c r="T3" s="2" t="s">
        <v>85</v>
      </c>
    </row>
    <row r="4" spans="1:29" x14ac:dyDescent="0.25">
      <c r="A4" s="31" t="s">
        <v>0</v>
      </c>
      <c r="B4" s="14"/>
      <c r="C4" s="13"/>
      <c r="D4" s="38"/>
      <c r="E4" s="13"/>
    </row>
    <row r="5" spans="1:29" x14ac:dyDescent="0.25">
      <c r="A5" s="31"/>
      <c r="B5" s="14"/>
      <c r="C5" s="13"/>
      <c r="D5" s="38"/>
      <c r="E5" s="13"/>
    </row>
    <row r="6" spans="1:29" x14ac:dyDescent="0.25">
      <c r="A6" s="59" t="s">
        <v>42</v>
      </c>
      <c r="B6" s="47" t="s">
        <v>113</v>
      </c>
      <c r="C6" s="47" t="s">
        <v>68</v>
      </c>
      <c r="D6" s="65" t="s">
        <v>145</v>
      </c>
      <c r="E6" s="47" t="s">
        <v>71</v>
      </c>
      <c r="F6" s="57">
        <v>2475</v>
      </c>
      <c r="G6" s="57">
        <v>2698</v>
      </c>
      <c r="H6" s="58">
        <v>2901</v>
      </c>
      <c r="I6" s="58">
        <v>4011</v>
      </c>
      <c r="J6" s="58">
        <v>4082</v>
      </c>
      <c r="K6" s="58">
        <v>4144</v>
      </c>
      <c r="L6" s="58">
        <v>3887</v>
      </c>
      <c r="M6" s="58">
        <v>4498</v>
      </c>
      <c r="N6" s="58">
        <v>4498</v>
      </c>
      <c r="O6" s="58">
        <v>4498</v>
      </c>
      <c r="P6" s="58">
        <v>4498</v>
      </c>
      <c r="Q6" s="58">
        <v>4498</v>
      </c>
      <c r="R6" s="58">
        <v>4498</v>
      </c>
      <c r="S6" s="58">
        <f>SUM(F6:R6)/13</f>
        <v>3937.3846153846152</v>
      </c>
      <c r="T6" s="84" t="s">
        <v>89</v>
      </c>
      <c r="U6" s="84"/>
      <c r="V6" s="84"/>
      <c r="W6" s="84"/>
      <c r="X6" s="84"/>
      <c r="Y6" s="84"/>
      <c r="Z6" s="84"/>
      <c r="AA6" s="84"/>
      <c r="AB6" s="84"/>
      <c r="AC6" s="84"/>
    </row>
    <row r="7" spans="1:29" x14ac:dyDescent="0.25">
      <c r="A7" s="31"/>
      <c r="B7" s="14"/>
      <c r="C7" s="13"/>
      <c r="D7" s="38"/>
      <c r="E7" s="13"/>
    </row>
    <row r="8" spans="1:29" x14ac:dyDescent="0.25">
      <c r="A8" s="13" t="s">
        <v>1</v>
      </c>
      <c r="B8" s="6" t="s">
        <v>117</v>
      </c>
      <c r="C8" s="60" t="s">
        <v>90</v>
      </c>
      <c r="D8" s="73" t="s">
        <v>177</v>
      </c>
      <c r="E8" s="6" t="s">
        <v>71</v>
      </c>
      <c r="F8" s="12">
        <v>0</v>
      </c>
      <c r="G8" s="12">
        <v>0</v>
      </c>
      <c r="H8" s="12">
        <v>2</v>
      </c>
      <c r="I8" s="12">
        <v>40</v>
      </c>
      <c r="J8" s="12">
        <v>61</v>
      </c>
      <c r="K8" s="12">
        <v>65</v>
      </c>
      <c r="L8" s="12">
        <v>79</v>
      </c>
      <c r="M8" s="12">
        <v>90</v>
      </c>
      <c r="N8" s="12">
        <v>105</v>
      </c>
      <c r="O8" s="12">
        <v>120</v>
      </c>
      <c r="P8" s="12">
        <v>124</v>
      </c>
      <c r="Q8" s="12">
        <v>122</v>
      </c>
      <c r="R8" s="12">
        <v>126</v>
      </c>
      <c r="S8" s="12">
        <f>SUM(F8:R8)/13</f>
        <v>71.84615384615384</v>
      </c>
      <c r="T8" s="3" t="s">
        <v>91</v>
      </c>
    </row>
    <row r="9" spans="1:29" x14ac:dyDescent="0.25">
      <c r="A9" s="6"/>
      <c r="B9" s="6"/>
    </row>
    <row r="10" spans="1:29" x14ac:dyDescent="0.25">
      <c r="A10" s="13" t="s">
        <v>37</v>
      </c>
      <c r="B10" s="6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29" x14ac:dyDescent="0.25">
      <c r="A11" s="13"/>
      <c r="B11" s="6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29" x14ac:dyDescent="0.25">
      <c r="A12" s="13" t="s">
        <v>80</v>
      </c>
      <c r="B12" s="6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29" x14ac:dyDescent="0.25">
      <c r="A13" s="35" t="s">
        <v>23</v>
      </c>
      <c r="B13" s="6" t="s">
        <v>122</v>
      </c>
      <c r="C13" s="6" t="s">
        <v>54</v>
      </c>
      <c r="D13" s="73" t="s">
        <v>176</v>
      </c>
      <c r="E13" s="6" t="s">
        <v>71</v>
      </c>
      <c r="F13" s="11">
        <v>-8435</v>
      </c>
      <c r="G13" s="11">
        <v>-9616</v>
      </c>
      <c r="H13" s="11">
        <v>-10373</v>
      </c>
      <c r="I13" s="11">
        <v>-10676</v>
      </c>
      <c r="J13" s="11">
        <v>-11132</v>
      </c>
      <c r="K13" s="11">
        <v>-11195</v>
      </c>
      <c r="L13" s="11">
        <v>-11062</v>
      </c>
      <c r="M13" s="11">
        <v>-10140</v>
      </c>
      <c r="N13" s="11">
        <v>-10202</v>
      </c>
      <c r="O13" s="11">
        <v>-9820</v>
      </c>
      <c r="P13" s="11">
        <v>-9639</v>
      </c>
      <c r="Q13" s="11">
        <v>-9875</v>
      </c>
      <c r="R13" s="11">
        <v>-10701</v>
      </c>
      <c r="S13" s="11">
        <f t="shared" ref="S13:S20" si="0">SUM(F13:R13)/13</f>
        <v>-10220.461538461539</v>
      </c>
      <c r="T13" s="3" t="s">
        <v>109</v>
      </c>
    </row>
    <row r="14" spans="1:29" x14ac:dyDescent="0.25">
      <c r="A14" s="35" t="s">
        <v>38</v>
      </c>
      <c r="B14" s="6" t="s">
        <v>121</v>
      </c>
      <c r="C14" s="6" t="s">
        <v>50</v>
      </c>
      <c r="D14" s="65" t="s">
        <v>158</v>
      </c>
      <c r="E14" s="6" t="s">
        <v>71</v>
      </c>
      <c r="F14" s="11">
        <v>-2554</v>
      </c>
      <c r="G14" s="12">
        <v>-3776</v>
      </c>
      <c r="H14" s="12">
        <v>-4958</v>
      </c>
      <c r="I14" s="12">
        <v>-3662</v>
      </c>
      <c r="J14" s="12">
        <v>-4029</v>
      </c>
      <c r="K14" s="12">
        <v>-3553.01</v>
      </c>
      <c r="L14" s="12">
        <v>-5116</v>
      </c>
      <c r="M14" s="12">
        <v>-5402</v>
      </c>
      <c r="N14" s="12">
        <v>-4053</v>
      </c>
      <c r="O14" s="12">
        <v>-5708</v>
      </c>
      <c r="P14" s="12">
        <v>-6006</v>
      </c>
      <c r="Q14" s="12">
        <v>-5191</v>
      </c>
      <c r="R14" s="12">
        <v>-5246</v>
      </c>
      <c r="S14" s="12">
        <f t="shared" si="0"/>
        <v>-4558.000769230769</v>
      </c>
      <c r="T14" s="3" t="s">
        <v>109</v>
      </c>
    </row>
    <row r="15" spans="1:29" x14ac:dyDescent="0.25">
      <c r="A15" s="13" t="s">
        <v>64</v>
      </c>
      <c r="B15" s="6"/>
      <c r="F15" s="20">
        <f t="shared" ref="F15:R15" si="1">SUM(F13:F14)</f>
        <v>-10989</v>
      </c>
      <c r="G15" s="20">
        <f t="shared" si="1"/>
        <v>-13392</v>
      </c>
      <c r="H15" s="20">
        <f t="shared" si="1"/>
        <v>-15331</v>
      </c>
      <c r="I15" s="20">
        <f t="shared" si="1"/>
        <v>-14338</v>
      </c>
      <c r="J15" s="20">
        <f t="shared" si="1"/>
        <v>-15161</v>
      </c>
      <c r="K15" s="20">
        <f t="shared" si="1"/>
        <v>-14748.01</v>
      </c>
      <c r="L15" s="20">
        <f t="shared" si="1"/>
        <v>-16178</v>
      </c>
      <c r="M15" s="20">
        <f t="shared" si="1"/>
        <v>-15542</v>
      </c>
      <c r="N15" s="20">
        <f t="shared" si="1"/>
        <v>-14255</v>
      </c>
      <c r="O15" s="20">
        <f t="shared" si="1"/>
        <v>-15528</v>
      </c>
      <c r="P15" s="20">
        <f t="shared" si="1"/>
        <v>-15645</v>
      </c>
      <c r="Q15" s="20">
        <f t="shared" si="1"/>
        <v>-15066</v>
      </c>
      <c r="R15" s="20">
        <f t="shared" si="1"/>
        <v>-15947</v>
      </c>
      <c r="S15" s="20">
        <f t="shared" si="0"/>
        <v>-14778.462307692309</v>
      </c>
    </row>
    <row r="16" spans="1:29" x14ac:dyDescent="0.25">
      <c r="A16" s="13"/>
      <c r="B16" s="6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20" x14ac:dyDescent="0.25">
      <c r="A17" s="36" t="s">
        <v>78</v>
      </c>
      <c r="B17" s="6"/>
      <c r="F17" s="1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0" x14ac:dyDescent="0.25">
      <c r="A18" s="39" t="s">
        <v>40</v>
      </c>
      <c r="B18" s="6" t="s">
        <v>125</v>
      </c>
      <c r="C18" s="6" t="s">
        <v>55</v>
      </c>
      <c r="D18" s="6" t="s">
        <v>179</v>
      </c>
      <c r="E18" s="6" t="s">
        <v>70</v>
      </c>
      <c r="F18" s="12">
        <v>-52655.083333333321</v>
      </c>
      <c r="G18" s="12">
        <v>-52219.499999999985</v>
      </c>
      <c r="H18" s="12">
        <v>-51785.91666666665</v>
      </c>
      <c r="I18" s="12">
        <v>-51351.333333333314</v>
      </c>
      <c r="J18" s="12">
        <v>-50916.749999999978</v>
      </c>
      <c r="K18" s="12">
        <v>-50482.166666666642</v>
      </c>
      <c r="L18" s="12">
        <v>-50046.583333333307</v>
      </c>
      <c r="M18" s="12">
        <v>-49611.999999999971</v>
      </c>
      <c r="N18" s="12">
        <v>-49177.416666666635</v>
      </c>
      <c r="O18" s="12">
        <v>-32583.833333333299</v>
      </c>
      <c r="P18" s="12">
        <v>-32149.249999999967</v>
      </c>
      <c r="Q18" s="12">
        <v>-31713.666666666635</v>
      </c>
      <c r="R18" s="12">
        <v>-31279.083333333303</v>
      </c>
      <c r="S18" s="12">
        <f t="shared" si="0"/>
        <v>-45074.814102564073</v>
      </c>
      <c r="T18" s="3" t="s">
        <v>93</v>
      </c>
    </row>
    <row r="19" spans="1:20" x14ac:dyDescent="0.25">
      <c r="A19" s="39" t="s">
        <v>39</v>
      </c>
      <c r="B19" s="6" t="s">
        <v>126</v>
      </c>
      <c r="C19" s="6" t="s">
        <v>55</v>
      </c>
      <c r="D19" s="6" t="s">
        <v>179</v>
      </c>
      <c r="E19" s="6" t="s">
        <v>70</v>
      </c>
      <c r="F19" s="12">
        <v>-42990.25</v>
      </c>
      <c r="G19" s="12">
        <v>-42889</v>
      </c>
      <c r="H19" s="12">
        <v>-42788.25</v>
      </c>
      <c r="I19" s="12">
        <v>-42686.5</v>
      </c>
      <c r="J19" s="12">
        <v>-42585.75</v>
      </c>
      <c r="K19" s="12">
        <v>-42485</v>
      </c>
      <c r="L19" s="12">
        <v>-42384.25</v>
      </c>
      <c r="M19" s="12">
        <v>-42282.5</v>
      </c>
      <c r="N19" s="12">
        <v>-42181.75</v>
      </c>
      <c r="O19" s="12">
        <v>-42081</v>
      </c>
      <c r="P19" s="12">
        <v>-41980.25</v>
      </c>
      <c r="Q19" s="12">
        <v>-41878.5</v>
      </c>
      <c r="R19" s="12">
        <v>-41777.75</v>
      </c>
      <c r="S19" s="12">
        <f t="shared" si="0"/>
        <v>-42383.903846153844</v>
      </c>
      <c r="T19" s="3" t="s">
        <v>93</v>
      </c>
    </row>
    <row r="20" spans="1:20" x14ac:dyDescent="0.25">
      <c r="A20" s="36" t="s">
        <v>79</v>
      </c>
      <c r="F20" s="21">
        <f>SUM(F18:F19)</f>
        <v>-95645.333333333314</v>
      </c>
      <c r="G20" s="21">
        <f t="shared" ref="G20:R20" si="2">SUM(G18:G19)</f>
        <v>-95108.499999999985</v>
      </c>
      <c r="H20" s="21">
        <f t="shared" si="2"/>
        <v>-94574.166666666657</v>
      </c>
      <c r="I20" s="21">
        <f t="shared" si="2"/>
        <v>-94037.833333333314</v>
      </c>
      <c r="J20" s="21">
        <f t="shared" si="2"/>
        <v>-93502.499999999971</v>
      </c>
      <c r="K20" s="21">
        <f t="shared" si="2"/>
        <v>-92967.166666666642</v>
      </c>
      <c r="L20" s="21">
        <f t="shared" si="2"/>
        <v>-92430.833333333314</v>
      </c>
      <c r="M20" s="21">
        <f t="shared" si="2"/>
        <v>-91894.499999999971</v>
      </c>
      <c r="N20" s="21">
        <f t="shared" si="2"/>
        <v>-91359.166666666628</v>
      </c>
      <c r="O20" s="21">
        <f t="shared" si="2"/>
        <v>-74664.833333333299</v>
      </c>
      <c r="P20" s="21">
        <f t="shared" si="2"/>
        <v>-74129.499999999971</v>
      </c>
      <c r="Q20" s="21">
        <f t="shared" si="2"/>
        <v>-73592.166666666628</v>
      </c>
      <c r="R20" s="21">
        <f t="shared" si="2"/>
        <v>-73056.833333333299</v>
      </c>
      <c r="S20" s="21">
        <f t="shared" si="0"/>
        <v>-87458.717948717924</v>
      </c>
    </row>
    <row r="21" spans="1:20" x14ac:dyDescent="0.25"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4" spans="1:20" x14ac:dyDescent="0.25">
      <c r="F24" s="17"/>
    </row>
  </sheetData>
  <mergeCells count="1">
    <mergeCell ref="T6:AC6"/>
  </mergeCells>
  <pageMargins left="0.7" right="0.7" top="0.75" bottom="0.75" header="0.3" footer="0.3"/>
  <pageSetup scale="34" orientation="landscape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 A C T I V E ! 1 5 6 5 1 9 6 4 . 1 < / d o c u m e n t i d >  
     < s e n d e r i d > K E A B E T < / s e n d e r i d >  
     < s e n d e r e m a i l > B K E A T I N G @ G U N S T E R . C O M < / s e n d e r e m a i l >  
     < l a s t m o d i f i e d > 2 0 2 2 - 0 6 - 2 2 T 1 5 : 2 6 : 4 1 . 0 0 0 0 0 0 0 - 0 4 : 0 0 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FN</vt:lpstr>
      <vt:lpstr>CFG</vt:lpstr>
      <vt:lpstr>FI</vt:lpstr>
      <vt:lpstr>FT</vt:lpstr>
      <vt:lpstr>FN!Print_Area</vt:lpstr>
    </vt:vector>
  </TitlesOfParts>
  <Company>Chesapeake Utilities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Welch, Kathy</cp:lastModifiedBy>
  <cp:lastPrinted>2015-07-15T11:57:29Z</cp:lastPrinted>
  <dcterms:created xsi:type="dcterms:W3CDTF">2015-07-06T11:22:47Z</dcterms:created>
  <dcterms:modified xsi:type="dcterms:W3CDTF">2022-06-22T19:26:41Z</dcterms:modified>
</cp:coreProperties>
</file>